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3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6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-45" yWindow="-15" windowWidth="19320" windowHeight="5790" tabRatio="864" firstSheet="9" activeTab="12"/>
  </bookViews>
  <sheets>
    <sheet name="Лист1" sheetId="1" state="hidden" r:id="rId1"/>
    <sheet name="январь 2019 Эпотос-К" sheetId="2" r:id="rId2"/>
    <sheet name="январь 2019" sheetId="3" r:id="rId3"/>
    <sheet name="февраль 2019 Эпотос-К" sheetId="4" r:id="rId4"/>
    <sheet name="февраль 2019" sheetId="5" r:id="rId5"/>
    <sheet name="март 2019 Эпотос-К" sheetId="6" r:id="rId6"/>
    <sheet name="март 2019" sheetId="7" r:id="rId7"/>
    <sheet name="апрель 2019 Эпотос-К" sheetId="8" r:id="rId8"/>
    <sheet name="апрель 2019" sheetId="9" r:id="rId9"/>
    <sheet name="май 2019 Эпотос-К" sheetId="10" r:id="rId10"/>
    <sheet name="май 2019" sheetId="11" r:id="rId11"/>
    <sheet name="июнь 2019 Эпотос-К" sheetId="12" r:id="rId12"/>
    <sheet name="июнь 2019" sheetId="13" r:id="rId13"/>
    <sheet name="обзор 2019" sheetId="14" r:id="rId14"/>
    <sheet name="обзор 2018" sheetId="15" r:id="rId15"/>
    <sheet name="обзор 2017" sheetId="16" r:id="rId16"/>
    <sheet name="обзор 2016" sheetId="17" r:id="rId17"/>
    <sheet name="объёмы 2019" sheetId="18" r:id="rId18"/>
    <sheet name="загрузка Эпотос-К" sheetId="19" r:id="rId19"/>
  </sheets>
  <externalReferences>
    <externalReference r:id="rId20"/>
    <externalReference r:id="rId21"/>
    <externalReference r:id="rId22"/>
  </externalReferences>
  <definedNames>
    <definedName name="Excel_BuiltIn__FilterDatabase_4">"$#ССЫЛ!.$#ССЫЛ!$#ССЫЛ!:$#ССЫЛ!$#ССЫЛ!"</definedName>
    <definedName name="Z_06317133_151B_4DBC_8EB3_9345BA061F91_.wvu.Cols" localSheetId="12" hidden="1">'июнь 2019'!$S:$V</definedName>
    <definedName name="Z_06317133_151B_4DBC_8EB3_9345BA061F91_.wvu.Cols" localSheetId="11" hidden="1">'июнь 2019 Эпотос-К'!$S:$V</definedName>
    <definedName name="Z_06317133_151B_4DBC_8EB3_9345BA061F91_.wvu.Cols" localSheetId="10" hidden="1">'май 2019'!$S:$V</definedName>
    <definedName name="Z_06317133_151B_4DBC_8EB3_9345BA061F91_.wvu.Cols" localSheetId="9" hidden="1">'май 2019 Эпотос-К'!$S:$V</definedName>
    <definedName name="Z_06317133_151B_4DBC_8EB3_9345BA061F91_.wvu.Cols" localSheetId="16" hidden="1">'обзор 2016'!$A:$A</definedName>
    <definedName name="Z_06317133_151B_4DBC_8EB3_9345BA061F91_.wvu.PrintArea" localSheetId="7" hidden="1">'апрель 2019 Эпотос-К'!$B$7:$G$93</definedName>
    <definedName name="Z_06317133_151B_4DBC_8EB3_9345BA061F91_.wvu.PrintArea" localSheetId="11" hidden="1">'июнь 2019 Эпотос-К'!$B$47:$D$56</definedName>
    <definedName name="Z_06317133_151B_4DBC_8EB3_9345BA061F91_.wvu.PrintArea" localSheetId="9" hidden="1">'май 2019 Эпотос-К'!$A$7:$B$82</definedName>
    <definedName name="Z_06317133_151B_4DBC_8EB3_9345BA061F91_.wvu.PrintArea" localSheetId="5" hidden="1">'март 2019 Эпотос-К'!$B$7:$G$93</definedName>
    <definedName name="Z_06317133_151B_4DBC_8EB3_9345BA061F91_.wvu.PrintArea" localSheetId="16" hidden="1">'обзор 2016'!$B$3:$Q$19</definedName>
    <definedName name="Z_06317133_151B_4DBC_8EB3_9345BA061F91_.wvu.PrintArea" localSheetId="15" hidden="1">'обзор 2017'!$B$3:$M$18</definedName>
    <definedName name="Z_06317133_151B_4DBC_8EB3_9345BA061F91_.wvu.PrintArea" localSheetId="14" hidden="1">'обзор 2018'!$B$3:$M$18</definedName>
    <definedName name="Z_06317133_151B_4DBC_8EB3_9345BA061F91_.wvu.PrintArea" localSheetId="13" hidden="1">'обзор 2019'!$B$3:$M$18</definedName>
    <definedName name="Z_06317133_151B_4DBC_8EB3_9345BA061F91_.wvu.PrintArea" localSheetId="17" hidden="1">'объёмы 2019'!$A$3:$U$98</definedName>
    <definedName name="Z_06317133_151B_4DBC_8EB3_9345BA061F91_.wvu.PrintTitles" localSheetId="8" hidden="1">'апрель 2019'!$4:$7</definedName>
    <definedName name="Z_06317133_151B_4DBC_8EB3_9345BA061F91_.wvu.PrintTitles" localSheetId="12" hidden="1">'июнь 2019'!$4:$7</definedName>
    <definedName name="Z_06317133_151B_4DBC_8EB3_9345BA061F91_.wvu.PrintTitles" localSheetId="10" hidden="1">'май 2019'!$4:$7</definedName>
    <definedName name="Z_06317133_151B_4DBC_8EB3_9345BA061F91_.wvu.PrintTitles" localSheetId="6" hidden="1">'март 2019'!$4:$7</definedName>
    <definedName name="Z_06317133_151B_4DBC_8EB3_9345BA061F91_.wvu.PrintTitles" localSheetId="17" hidden="1">'объёмы 2019'!$5:$6</definedName>
    <definedName name="Z_06317133_151B_4DBC_8EB3_9345BA061F91_.wvu.PrintTitles" localSheetId="4" hidden="1">'февраль 2019'!$4:$7</definedName>
    <definedName name="Z_06317133_151B_4DBC_8EB3_9345BA061F91_.wvu.PrintTitles" localSheetId="2" hidden="1">'январь 2019'!$4:$7</definedName>
    <definedName name="Z_1168776E_3CE1_4C5E_BCD8_35079C55D78E_.wvu.Cols" localSheetId="16" hidden="1">'обзор 2016'!$A:$A</definedName>
    <definedName name="Z_1168776E_3CE1_4C5E_BCD8_35079C55D78E_.wvu.PrintArea" localSheetId="8" hidden="1">'апрель 2019'!#REF!</definedName>
    <definedName name="Z_1168776E_3CE1_4C5E_BCD8_35079C55D78E_.wvu.PrintArea" localSheetId="12" hidden="1">'июнь 2019'!#REF!</definedName>
    <definedName name="Z_1168776E_3CE1_4C5E_BCD8_35079C55D78E_.wvu.PrintArea" localSheetId="10" hidden="1">'май 2019'!#REF!</definedName>
    <definedName name="Z_1168776E_3CE1_4C5E_BCD8_35079C55D78E_.wvu.PrintArea" localSheetId="6" hidden="1">'март 2019'!#REF!</definedName>
    <definedName name="Z_1168776E_3CE1_4C5E_BCD8_35079C55D78E_.wvu.PrintArea" localSheetId="16" hidden="1">'обзор 2016'!$B$3:$Q$19</definedName>
    <definedName name="Z_1168776E_3CE1_4C5E_BCD8_35079C55D78E_.wvu.PrintArea" localSheetId="15" hidden="1">'обзор 2017'!$B$3:$M$18</definedName>
    <definedName name="Z_1168776E_3CE1_4C5E_BCD8_35079C55D78E_.wvu.PrintArea" localSheetId="14" hidden="1">'обзор 2018'!$B$3:$M$18</definedName>
    <definedName name="Z_1168776E_3CE1_4C5E_BCD8_35079C55D78E_.wvu.PrintArea" localSheetId="13" hidden="1">'обзор 2019'!$B$3:$M$18</definedName>
    <definedName name="Z_1168776E_3CE1_4C5E_BCD8_35079C55D78E_.wvu.PrintArea" localSheetId="17" hidden="1">'объёмы 2019'!$A$3:$U$98</definedName>
    <definedName name="Z_1168776E_3CE1_4C5E_BCD8_35079C55D78E_.wvu.PrintArea" localSheetId="4" hidden="1">'февраль 2019'!#REF!</definedName>
    <definedName name="Z_1168776E_3CE1_4C5E_BCD8_35079C55D78E_.wvu.PrintArea" localSheetId="2" hidden="1">'январь 2019'!#REF!</definedName>
    <definedName name="Z_1168776E_3CE1_4C5E_BCD8_35079C55D78E_.wvu.PrintTitles" localSheetId="8" hidden="1">'апрель 2019'!$4:$7</definedName>
    <definedName name="Z_1168776E_3CE1_4C5E_BCD8_35079C55D78E_.wvu.PrintTitles" localSheetId="12" hidden="1">'июнь 2019'!$4:$7</definedName>
    <definedName name="Z_1168776E_3CE1_4C5E_BCD8_35079C55D78E_.wvu.PrintTitles" localSheetId="10" hidden="1">'май 2019'!$4:$7</definedName>
    <definedName name="Z_1168776E_3CE1_4C5E_BCD8_35079C55D78E_.wvu.PrintTitles" localSheetId="6" hidden="1">'март 2019'!$4:$7</definedName>
    <definedName name="Z_1168776E_3CE1_4C5E_BCD8_35079C55D78E_.wvu.PrintTitles" localSheetId="17" hidden="1">'объёмы 2019'!$5:$6</definedName>
    <definedName name="Z_1168776E_3CE1_4C5E_BCD8_35079C55D78E_.wvu.PrintTitles" localSheetId="4" hidden="1">'февраль 2019'!$4:$7</definedName>
    <definedName name="Z_1168776E_3CE1_4C5E_BCD8_35079C55D78E_.wvu.PrintTitles" localSheetId="2" hidden="1">'январь 2019'!$4:$7</definedName>
    <definedName name="Z_1E46D0D2_5EB1_4B45_84E6_5E310F8CA863_.wvu.PrintArea" localSheetId="8" hidden="1">'апрель 2019'!$A$8:$D$11</definedName>
    <definedName name="Z_1E46D0D2_5EB1_4B45_84E6_5E310F8CA863_.wvu.PrintArea" localSheetId="12" hidden="1">'июнь 2019'!$A$8:$D$11</definedName>
    <definedName name="Z_1E46D0D2_5EB1_4B45_84E6_5E310F8CA863_.wvu.PrintArea" localSheetId="10" hidden="1">'май 2019'!$A$8:$D$11</definedName>
    <definedName name="Z_1E46D0D2_5EB1_4B45_84E6_5E310F8CA863_.wvu.PrintArea" localSheetId="6" hidden="1">'март 2019'!$A$8:$D$11</definedName>
    <definedName name="Z_1E46D0D2_5EB1_4B45_84E6_5E310F8CA863_.wvu.PrintArea" localSheetId="4" hidden="1">'февраль 2019'!$A$8:$D$11</definedName>
    <definedName name="Z_1E46D0D2_5EB1_4B45_84E6_5E310F8CA863_.wvu.PrintArea" localSheetId="2" hidden="1">'январь 2019'!$A$8:$D$11</definedName>
    <definedName name="Z_202332C7_DEBA_470A_9C98_20F63CD557EC_.wvu.PrintArea" localSheetId="8" hidden="1">'апрель 2019'!$A$1:$M$84</definedName>
    <definedName name="Z_202332C7_DEBA_470A_9C98_20F63CD557EC_.wvu.PrintArea" localSheetId="7" hidden="1">'апрель 2019 Эпотос-К'!$A$1:$L$97</definedName>
    <definedName name="Z_202332C7_DEBA_470A_9C98_20F63CD557EC_.wvu.PrintArea" localSheetId="12" hidden="1">'июнь 2019'!$A$1:$M$55</definedName>
    <definedName name="Z_202332C7_DEBA_470A_9C98_20F63CD557EC_.wvu.PrintArea" localSheetId="11" hidden="1">'июнь 2019 Эпотос-К'!$A$1:$L$97</definedName>
    <definedName name="Z_202332C7_DEBA_470A_9C98_20F63CD557EC_.wvu.PrintArea" localSheetId="10" hidden="1">'май 2019'!$A$1:$M$62</definedName>
    <definedName name="Z_202332C7_DEBA_470A_9C98_20F63CD557EC_.wvu.PrintArea" localSheetId="9" hidden="1">'май 2019 Эпотос-К'!$A$1:$L$97</definedName>
    <definedName name="Z_202332C7_DEBA_470A_9C98_20F63CD557EC_.wvu.PrintArea" localSheetId="6" hidden="1">'март 2019'!$A$1:$M$116</definedName>
    <definedName name="Z_202332C7_DEBA_470A_9C98_20F63CD557EC_.wvu.PrintArea" localSheetId="5" hidden="1">'март 2019 Эпотос-К'!$A$1:$L$97</definedName>
    <definedName name="Z_202332C7_DEBA_470A_9C98_20F63CD557EC_.wvu.PrintArea" localSheetId="17" hidden="1">'объёмы 2019'!$A$1:$T$98</definedName>
    <definedName name="Z_202332C7_DEBA_470A_9C98_20F63CD557EC_.wvu.PrintArea" localSheetId="4" hidden="1">'февраль 2019'!$A$1:$M$96</definedName>
    <definedName name="Z_202332C7_DEBA_470A_9C98_20F63CD557EC_.wvu.PrintArea" localSheetId="3" hidden="1">'февраль 2019 Эпотос-К'!$A$1:$L$100</definedName>
    <definedName name="Z_202332C7_DEBA_470A_9C98_20F63CD557EC_.wvu.PrintArea" localSheetId="2" hidden="1">'январь 2019'!$A$1:$M$108</definedName>
    <definedName name="Z_202332C7_DEBA_470A_9C98_20F63CD557EC_.wvu.PrintArea" localSheetId="1" hidden="1">'январь 2019 Эпотос-К'!$A$1:$L$100</definedName>
    <definedName name="Z_202332C7_DEBA_470A_9C98_20F63CD557EC_.wvu.PrintTitles" localSheetId="8" hidden="1">'апрель 2019'!$6:$7</definedName>
    <definedName name="Z_202332C7_DEBA_470A_9C98_20F63CD557EC_.wvu.PrintTitles" localSheetId="12" hidden="1">'июнь 2019'!$6:$7</definedName>
    <definedName name="Z_202332C7_DEBA_470A_9C98_20F63CD557EC_.wvu.PrintTitles" localSheetId="10" hidden="1">'май 2019'!$6:$7</definedName>
    <definedName name="Z_202332C7_DEBA_470A_9C98_20F63CD557EC_.wvu.PrintTitles" localSheetId="6" hidden="1">'март 2019'!$6:$7</definedName>
    <definedName name="Z_202332C7_DEBA_470A_9C98_20F63CD557EC_.wvu.PrintTitles" localSheetId="4" hidden="1">'февраль 2019'!$6:$7</definedName>
    <definedName name="Z_202332C7_DEBA_470A_9C98_20F63CD557EC_.wvu.PrintTitles" localSheetId="2" hidden="1">'январь 2019'!$6:$7</definedName>
    <definedName name="Z_202332C7_DEBA_470A_9C98_20F63CD557EC_.wvu.Rows" localSheetId="8" hidden="1">'апрель 2019'!#REF!</definedName>
    <definedName name="Z_202332C7_DEBA_470A_9C98_20F63CD557EC_.wvu.Rows" localSheetId="7" hidden="1">'апрель 2019 Эпотос-К'!#REF!</definedName>
    <definedName name="Z_202332C7_DEBA_470A_9C98_20F63CD557EC_.wvu.Rows" localSheetId="12" hidden="1">'июнь 2019'!#REF!</definedName>
    <definedName name="Z_202332C7_DEBA_470A_9C98_20F63CD557EC_.wvu.Rows" localSheetId="11" hidden="1">'июнь 2019 Эпотос-К'!#REF!</definedName>
    <definedName name="Z_202332C7_DEBA_470A_9C98_20F63CD557EC_.wvu.Rows" localSheetId="10" hidden="1">'май 2019'!#REF!</definedName>
    <definedName name="Z_202332C7_DEBA_470A_9C98_20F63CD557EC_.wvu.Rows" localSheetId="9" hidden="1">'май 2019 Эпотос-К'!#REF!</definedName>
    <definedName name="Z_202332C7_DEBA_470A_9C98_20F63CD557EC_.wvu.Rows" localSheetId="6" hidden="1">'март 2019'!#REF!</definedName>
    <definedName name="Z_202332C7_DEBA_470A_9C98_20F63CD557EC_.wvu.Rows" localSheetId="5" hidden="1">'март 2019 Эпотос-К'!#REF!</definedName>
    <definedName name="Z_202332C7_DEBA_470A_9C98_20F63CD557EC_.wvu.Rows" localSheetId="17" hidden="1">'объёмы 2019'!#REF!</definedName>
    <definedName name="Z_202332C7_DEBA_470A_9C98_20F63CD557EC_.wvu.Rows" localSheetId="4" hidden="1">'февраль 2019'!#REF!</definedName>
    <definedName name="Z_202332C7_DEBA_470A_9C98_20F63CD557EC_.wvu.Rows" localSheetId="3" hidden="1">'февраль 2019 Эпотос-К'!#REF!</definedName>
    <definedName name="Z_202332C7_DEBA_470A_9C98_20F63CD557EC_.wvu.Rows" localSheetId="2" hidden="1">'январь 2019'!#REF!</definedName>
    <definedName name="Z_202332C7_DEBA_470A_9C98_20F63CD557EC_.wvu.Rows" localSheetId="1" hidden="1">'январь 2019 Эпотос-К'!#REF!</definedName>
    <definedName name="Z_284DBE66_ADFD_4F9E_A431_13ED7075966F_.wvu.Cols" localSheetId="16" hidden="1">'обзор 2016'!$A:$A</definedName>
    <definedName name="Z_284DBE66_ADFD_4F9E_A431_13ED7075966F_.wvu.Cols" localSheetId="17" hidden="1">'объёмы 2019'!$G:$N</definedName>
    <definedName name="Z_284DBE66_ADFD_4F9E_A431_13ED7075966F_.wvu.PrintArea" localSheetId="16" hidden="1">'обзор 2016'!$B$3:$Q$19</definedName>
    <definedName name="Z_284DBE66_ADFD_4F9E_A431_13ED7075966F_.wvu.PrintArea" localSheetId="15" hidden="1">'обзор 2017'!$B$2:$Q$18</definedName>
    <definedName name="Z_284DBE66_ADFD_4F9E_A431_13ED7075966F_.wvu.PrintArea" localSheetId="14" hidden="1">'обзор 2018'!$B$2:$Q$18</definedName>
    <definedName name="Z_284DBE66_ADFD_4F9E_A431_13ED7075966F_.wvu.PrintArea" localSheetId="13" hidden="1">'обзор 2019'!$B$2:$Q$18</definedName>
    <definedName name="Z_284DBE66_ADFD_4F9E_A431_13ED7075966F_.wvu.PrintArea" localSheetId="17" hidden="1">'объёмы 2019'!$A$3:$U$98</definedName>
    <definedName name="Z_284DBE66_ADFD_4F9E_A431_13ED7075966F_.wvu.PrintTitles" localSheetId="8" hidden="1">'апрель 2019'!$4:$7</definedName>
    <definedName name="Z_284DBE66_ADFD_4F9E_A431_13ED7075966F_.wvu.PrintTitles" localSheetId="12" hidden="1">'июнь 2019'!$4:$7</definedName>
    <definedName name="Z_284DBE66_ADFD_4F9E_A431_13ED7075966F_.wvu.PrintTitles" localSheetId="10" hidden="1">'май 2019'!$4:$7</definedName>
    <definedName name="Z_284DBE66_ADFD_4F9E_A431_13ED7075966F_.wvu.PrintTitles" localSheetId="6" hidden="1">'март 2019'!$4:$7</definedName>
    <definedName name="Z_284DBE66_ADFD_4F9E_A431_13ED7075966F_.wvu.PrintTitles" localSheetId="17" hidden="1">'объёмы 2019'!$5:$6</definedName>
    <definedName name="Z_284DBE66_ADFD_4F9E_A431_13ED7075966F_.wvu.PrintTitles" localSheetId="4" hidden="1">'февраль 2019'!$4:$7</definedName>
    <definedName name="Z_284DBE66_ADFD_4F9E_A431_13ED7075966F_.wvu.PrintTitles" localSheetId="2" hidden="1">'январь 2019'!$4:$7</definedName>
    <definedName name="Z_2B7B653A_372A_4774_893A_AD64DFF55EED_.wvu.PrintArea" localSheetId="8" hidden="1">'апрель 2019'!$A$1:$M$84</definedName>
    <definedName name="Z_2B7B653A_372A_4774_893A_AD64DFF55EED_.wvu.PrintArea" localSheetId="7" hidden="1">'апрель 2019 Эпотос-К'!$A$1:$K$97</definedName>
    <definedName name="Z_2B7B653A_372A_4774_893A_AD64DFF55EED_.wvu.PrintArea" localSheetId="12" hidden="1">'июнь 2019'!$A$1:$M$55</definedName>
    <definedName name="Z_2B7B653A_372A_4774_893A_AD64DFF55EED_.wvu.PrintArea" localSheetId="11" hidden="1">'июнь 2019 Эпотос-К'!$A$1:$K$97</definedName>
    <definedName name="Z_2B7B653A_372A_4774_893A_AD64DFF55EED_.wvu.PrintArea" localSheetId="10" hidden="1">'май 2019'!$A$1:$M$62</definedName>
    <definedName name="Z_2B7B653A_372A_4774_893A_AD64DFF55EED_.wvu.PrintArea" localSheetId="9" hidden="1">'май 2019 Эпотос-К'!$A$1:$K$97</definedName>
    <definedName name="Z_2B7B653A_372A_4774_893A_AD64DFF55EED_.wvu.PrintArea" localSheetId="6" hidden="1">'март 2019'!$A$1:$M$116</definedName>
    <definedName name="Z_2B7B653A_372A_4774_893A_AD64DFF55EED_.wvu.PrintArea" localSheetId="5" hidden="1">'март 2019 Эпотос-К'!$A$1:$K$97</definedName>
    <definedName name="Z_2B7B653A_372A_4774_893A_AD64DFF55EED_.wvu.PrintArea" localSheetId="17" hidden="1">'объёмы 2019'!$A$1:$T$98</definedName>
    <definedName name="Z_2B7B653A_372A_4774_893A_AD64DFF55EED_.wvu.PrintArea" localSheetId="4" hidden="1">'февраль 2019'!$A$1:$M$96</definedName>
    <definedName name="Z_2B7B653A_372A_4774_893A_AD64DFF55EED_.wvu.PrintArea" localSheetId="3" hidden="1">'февраль 2019 Эпотос-К'!$A$1:$K$100</definedName>
    <definedName name="Z_2B7B653A_372A_4774_893A_AD64DFF55EED_.wvu.PrintArea" localSheetId="2" hidden="1">'январь 2019'!$A$1:$M$108</definedName>
    <definedName name="Z_2B7B653A_372A_4774_893A_AD64DFF55EED_.wvu.PrintArea" localSheetId="1" hidden="1">'январь 2019 Эпотос-К'!$A$1:$K$100</definedName>
    <definedName name="Z_368B64E8_7AD6_4BC7_A731_9903B52ABB0C_.wvu.Cols" localSheetId="16" hidden="1">'обзор 2016'!$A:$A</definedName>
    <definedName name="Z_368B64E8_7AD6_4BC7_A731_9903B52ABB0C_.wvu.PrintArea" localSheetId="8" hidden="1">'апрель 2019'!$B$8:$H$227</definedName>
    <definedName name="Z_368B64E8_7AD6_4BC7_A731_9903B52ABB0C_.wvu.PrintArea" localSheetId="7" hidden="1">'апрель 2019 Эпотос-К'!$B$7:$G$93</definedName>
    <definedName name="Z_368B64E8_7AD6_4BC7_A731_9903B52ABB0C_.wvu.PrintArea" localSheetId="12" hidden="1">'июнь 2019'!$B$8:$H$156</definedName>
    <definedName name="Z_368B64E8_7AD6_4BC7_A731_9903B52ABB0C_.wvu.PrintArea" localSheetId="11" hidden="1">'июнь 2019 Эпотос-К'!$B$7:$G$93</definedName>
    <definedName name="Z_368B64E8_7AD6_4BC7_A731_9903B52ABB0C_.wvu.PrintArea" localSheetId="10" hidden="1">'май 2019'!$B$8:$H$225</definedName>
    <definedName name="Z_368B64E8_7AD6_4BC7_A731_9903B52ABB0C_.wvu.PrintArea" localSheetId="9" hidden="1">'май 2019 Эпотос-К'!$B$7:$G$93</definedName>
    <definedName name="Z_368B64E8_7AD6_4BC7_A731_9903B52ABB0C_.wvu.PrintArea" localSheetId="6" hidden="1">'март 2019'!$B$8:$H$246</definedName>
    <definedName name="Z_368B64E8_7AD6_4BC7_A731_9903B52ABB0C_.wvu.PrintArea" localSheetId="5" hidden="1">'март 2019 Эпотос-К'!$B$7:$G$93</definedName>
    <definedName name="Z_368B64E8_7AD6_4BC7_A731_9903B52ABB0C_.wvu.PrintArea" localSheetId="16" hidden="1">'обзор 2016'!$B$3:$Q$19</definedName>
    <definedName name="Z_368B64E8_7AD6_4BC7_A731_9903B52ABB0C_.wvu.PrintArea" localSheetId="15" hidden="1">'обзор 2017'!$B$3:$M$18</definedName>
    <definedName name="Z_368B64E8_7AD6_4BC7_A731_9903B52ABB0C_.wvu.PrintArea" localSheetId="14" hidden="1">'обзор 2018'!$B$3:$M$18</definedName>
    <definedName name="Z_368B64E8_7AD6_4BC7_A731_9903B52ABB0C_.wvu.PrintArea" localSheetId="13" hidden="1">'обзор 2019'!$B$3:$M$18</definedName>
    <definedName name="Z_368B64E8_7AD6_4BC7_A731_9903B52ABB0C_.wvu.PrintArea" localSheetId="17" hidden="1">'объёмы 2019'!$A$3:$U$98</definedName>
    <definedName name="Z_368B64E8_7AD6_4BC7_A731_9903B52ABB0C_.wvu.PrintTitles" localSheetId="8" hidden="1">'апрель 2019'!$4:$7</definedName>
    <definedName name="Z_368B64E8_7AD6_4BC7_A731_9903B52ABB0C_.wvu.PrintTitles" localSheetId="12" hidden="1">'июнь 2019'!$4:$7</definedName>
    <definedName name="Z_368B64E8_7AD6_4BC7_A731_9903B52ABB0C_.wvu.PrintTitles" localSheetId="10" hidden="1">'май 2019'!$4:$7</definedName>
    <definedName name="Z_368B64E8_7AD6_4BC7_A731_9903B52ABB0C_.wvu.PrintTitles" localSheetId="6" hidden="1">'март 2019'!$4:$7</definedName>
    <definedName name="Z_368B64E8_7AD6_4BC7_A731_9903B52ABB0C_.wvu.PrintTitles" localSheetId="17" hidden="1">'объёмы 2019'!$5:$6</definedName>
    <definedName name="Z_368B64E8_7AD6_4BC7_A731_9903B52ABB0C_.wvu.PrintTitles" localSheetId="4" hidden="1">'февраль 2019'!$4:$7</definedName>
    <definedName name="Z_368B64E8_7AD6_4BC7_A731_9903B52ABB0C_.wvu.PrintTitles" localSheetId="2" hidden="1">'январь 2019'!$4:$7</definedName>
    <definedName name="Z_375BA386_B398_4A0E_AF86_4319F1FDDF11_.wvu.Cols" localSheetId="12" hidden="1">'июнь 2019'!$S:$V</definedName>
    <definedName name="Z_375BA386_B398_4A0E_AF86_4319F1FDDF11_.wvu.Cols" localSheetId="11" hidden="1">'июнь 2019 Эпотос-К'!$S:$V</definedName>
    <definedName name="Z_375BA386_B398_4A0E_AF86_4319F1FDDF11_.wvu.Cols" localSheetId="10" hidden="1">'май 2019'!$S:$V</definedName>
    <definedName name="Z_375BA386_B398_4A0E_AF86_4319F1FDDF11_.wvu.Cols" localSheetId="9" hidden="1">'май 2019 Эпотос-К'!$S:$V</definedName>
    <definedName name="Z_375BA386_B398_4A0E_AF86_4319F1FDDF11_.wvu.Cols" localSheetId="16" hidden="1">'обзор 2016'!$A:$A</definedName>
    <definedName name="Z_375BA386_B398_4A0E_AF86_4319F1FDDF11_.wvu.Cols" localSheetId="17" hidden="1">'объёмы 2019'!$V:$V</definedName>
    <definedName name="Z_375BA386_B398_4A0E_AF86_4319F1FDDF11_.wvu.PrintArea" localSheetId="7" hidden="1">'апрель 2019 Эпотос-К'!$B$7:$G$93</definedName>
    <definedName name="Z_375BA386_B398_4A0E_AF86_4319F1FDDF11_.wvu.PrintArea" localSheetId="11" hidden="1">'июнь 2019 Эпотос-К'!$B$47:$D$56</definedName>
    <definedName name="Z_375BA386_B398_4A0E_AF86_4319F1FDDF11_.wvu.PrintArea" localSheetId="9" hidden="1">'май 2019 Эпотос-К'!$A$7:$B$82</definedName>
    <definedName name="Z_375BA386_B398_4A0E_AF86_4319F1FDDF11_.wvu.PrintArea" localSheetId="5" hidden="1">'март 2019 Эпотос-К'!$B$7:$G$93</definedName>
    <definedName name="Z_375BA386_B398_4A0E_AF86_4319F1FDDF11_.wvu.PrintArea" localSheetId="16" hidden="1">'обзор 2016'!$B$3:$Q$19</definedName>
    <definedName name="Z_375BA386_B398_4A0E_AF86_4319F1FDDF11_.wvu.PrintArea" localSheetId="17" hidden="1">'объёмы 2019'!$A$3:$U$38</definedName>
    <definedName name="Z_375BA386_B398_4A0E_AF86_4319F1FDDF11_.wvu.PrintArea" localSheetId="3" hidden="1">'февраль 2019 Эпотос-К'!$B$7:$G$96</definedName>
    <definedName name="Z_375BA386_B398_4A0E_AF86_4319F1FDDF11_.wvu.PrintTitles" localSheetId="8" hidden="1">'апрель 2019'!$4:$7</definedName>
    <definedName name="Z_375BA386_B398_4A0E_AF86_4319F1FDDF11_.wvu.PrintTitles" localSheetId="12" hidden="1">'июнь 2019'!$4:$7</definedName>
    <definedName name="Z_375BA386_B398_4A0E_AF86_4319F1FDDF11_.wvu.PrintTitles" localSheetId="10" hidden="1">'май 2019'!$4:$7</definedName>
    <definedName name="Z_375BA386_B398_4A0E_AF86_4319F1FDDF11_.wvu.PrintTitles" localSheetId="6" hidden="1">'март 2019'!$4:$7</definedName>
    <definedName name="Z_375BA386_B398_4A0E_AF86_4319F1FDDF11_.wvu.PrintTitles" localSheetId="17" hidden="1">'объёмы 2019'!$5:$6</definedName>
    <definedName name="Z_375BA386_B398_4A0E_AF86_4319F1FDDF11_.wvu.PrintTitles" localSheetId="4" hidden="1">'февраль 2019'!$4:$7</definedName>
    <definedName name="Z_375BA386_B398_4A0E_AF86_4319F1FDDF11_.wvu.PrintTitles" localSheetId="2" hidden="1">'январь 2019'!$4:$7</definedName>
    <definedName name="Z_40668DAD_2016_43AB_978A_7EBCCA65FC96_.wvu.Cols" localSheetId="16" hidden="1">'обзор 2016'!$A:$A</definedName>
    <definedName name="Z_40668DAD_2016_43AB_978A_7EBCCA65FC96_.wvu.PrintArea" localSheetId="8" hidden="1">'апрель 2019'!$A$6:$L$84,'апрель 2019'!$A$4:$L$4</definedName>
    <definedName name="Z_40668DAD_2016_43AB_978A_7EBCCA65FC96_.wvu.PrintArea" localSheetId="12" hidden="1">'июнь 2019'!$A$6:$L$55,'июнь 2019'!$A$4:$L$4</definedName>
    <definedName name="Z_40668DAD_2016_43AB_978A_7EBCCA65FC96_.wvu.PrintArea" localSheetId="10" hidden="1">'май 2019'!$A$6:$L$62,'май 2019'!$A$4:$L$4</definedName>
    <definedName name="Z_40668DAD_2016_43AB_978A_7EBCCA65FC96_.wvu.PrintArea" localSheetId="6" hidden="1">'март 2019'!$A$6:$L$116,'март 2019'!$A$4:$L$4</definedName>
    <definedName name="Z_40668DAD_2016_43AB_978A_7EBCCA65FC96_.wvu.PrintArea" localSheetId="16" hidden="1">'обзор 2016'!$B$3:$Q$19</definedName>
    <definedName name="Z_40668DAD_2016_43AB_978A_7EBCCA65FC96_.wvu.PrintArea" localSheetId="15" hidden="1">'обзор 2017'!$B$3:$M$18</definedName>
    <definedName name="Z_40668DAD_2016_43AB_978A_7EBCCA65FC96_.wvu.PrintArea" localSheetId="14" hidden="1">'обзор 2018'!$B$3:$M$18</definedName>
    <definedName name="Z_40668DAD_2016_43AB_978A_7EBCCA65FC96_.wvu.PrintArea" localSheetId="13" hidden="1">'обзор 2019'!$B$3:$M$18</definedName>
    <definedName name="Z_40668DAD_2016_43AB_978A_7EBCCA65FC96_.wvu.PrintArea" localSheetId="17" hidden="1">'объёмы 2019'!$A$3:$U$98</definedName>
    <definedName name="Z_40668DAD_2016_43AB_978A_7EBCCA65FC96_.wvu.PrintArea" localSheetId="4" hidden="1">'февраль 2019'!$A$6:$L$96,'февраль 2019'!$A$4:$L$4</definedName>
    <definedName name="Z_40668DAD_2016_43AB_978A_7EBCCA65FC96_.wvu.PrintArea" localSheetId="2" hidden="1">'январь 2019'!$A$6:$L$108,'январь 2019'!$A$4:$L$4</definedName>
    <definedName name="Z_40668DAD_2016_43AB_978A_7EBCCA65FC96_.wvu.PrintTitles" localSheetId="8" hidden="1">'апрель 2019'!$4:$7</definedName>
    <definedName name="Z_40668DAD_2016_43AB_978A_7EBCCA65FC96_.wvu.PrintTitles" localSheetId="12" hidden="1">'июнь 2019'!$4:$7</definedName>
    <definedName name="Z_40668DAD_2016_43AB_978A_7EBCCA65FC96_.wvu.PrintTitles" localSheetId="10" hidden="1">'май 2019'!$4:$7</definedName>
    <definedName name="Z_40668DAD_2016_43AB_978A_7EBCCA65FC96_.wvu.PrintTitles" localSheetId="6" hidden="1">'март 2019'!$4:$7</definedName>
    <definedName name="Z_40668DAD_2016_43AB_978A_7EBCCA65FC96_.wvu.PrintTitles" localSheetId="17" hidden="1">'объёмы 2019'!$5:$6</definedName>
    <definedName name="Z_40668DAD_2016_43AB_978A_7EBCCA65FC96_.wvu.PrintTitles" localSheetId="4" hidden="1">'февраль 2019'!$4:$7</definedName>
    <definedName name="Z_40668DAD_2016_43AB_978A_7EBCCA65FC96_.wvu.PrintTitles" localSheetId="2" hidden="1">'январь 2019'!$4:$7</definedName>
    <definedName name="Z_415F9960_5313_4B8C_A857_E343B234574E_.wvu.Cols" localSheetId="16" hidden="1">'обзор 2016'!$A:$A</definedName>
    <definedName name="Z_415F9960_5313_4B8C_A857_E343B234574E_.wvu.PrintArea" localSheetId="8" hidden="1">'апрель 2019'!$A$6:$L$84,'апрель 2019'!$A$4:$L$4</definedName>
    <definedName name="Z_415F9960_5313_4B8C_A857_E343B234574E_.wvu.PrintArea" localSheetId="12" hidden="1">'июнь 2019'!$A$6:$L$55,'июнь 2019'!$A$4:$L$4</definedName>
    <definedName name="Z_415F9960_5313_4B8C_A857_E343B234574E_.wvu.PrintArea" localSheetId="10" hidden="1">'май 2019'!$A$6:$L$62,'май 2019'!$A$4:$L$4</definedName>
    <definedName name="Z_415F9960_5313_4B8C_A857_E343B234574E_.wvu.PrintArea" localSheetId="6" hidden="1">'март 2019'!$A$6:$L$116,'март 2019'!$A$4:$L$4</definedName>
    <definedName name="Z_415F9960_5313_4B8C_A857_E343B234574E_.wvu.PrintArea" localSheetId="16" hidden="1">'обзор 2016'!$B$3:$Q$19</definedName>
    <definedName name="Z_415F9960_5313_4B8C_A857_E343B234574E_.wvu.PrintArea" localSheetId="15" hidden="1">'обзор 2017'!$B$3:$M$18</definedName>
    <definedName name="Z_415F9960_5313_4B8C_A857_E343B234574E_.wvu.PrintArea" localSheetId="14" hidden="1">'обзор 2018'!$B$3:$M$18</definedName>
    <definedName name="Z_415F9960_5313_4B8C_A857_E343B234574E_.wvu.PrintArea" localSheetId="13" hidden="1">'обзор 2019'!$B$3:$M$18</definedName>
    <definedName name="Z_415F9960_5313_4B8C_A857_E343B234574E_.wvu.PrintArea" localSheetId="17" hidden="1">'объёмы 2019'!$A$3:$U$98</definedName>
    <definedName name="Z_415F9960_5313_4B8C_A857_E343B234574E_.wvu.PrintArea" localSheetId="4" hidden="1">'февраль 2019'!$A$6:$L$96,'февраль 2019'!$A$4:$L$4</definedName>
    <definedName name="Z_415F9960_5313_4B8C_A857_E343B234574E_.wvu.PrintArea" localSheetId="2" hidden="1">'январь 2019'!$A$6:$L$108,'январь 2019'!$A$4:$L$4</definedName>
    <definedName name="Z_415F9960_5313_4B8C_A857_E343B234574E_.wvu.PrintTitles" localSheetId="8" hidden="1">'апрель 2019'!$4:$7</definedName>
    <definedName name="Z_415F9960_5313_4B8C_A857_E343B234574E_.wvu.PrintTitles" localSheetId="12" hidden="1">'июнь 2019'!$4:$7</definedName>
    <definedName name="Z_415F9960_5313_4B8C_A857_E343B234574E_.wvu.PrintTitles" localSheetId="10" hidden="1">'май 2019'!$4:$7</definedName>
    <definedName name="Z_415F9960_5313_4B8C_A857_E343B234574E_.wvu.PrintTitles" localSheetId="6" hidden="1">'март 2019'!$4:$7</definedName>
    <definedName name="Z_415F9960_5313_4B8C_A857_E343B234574E_.wvu.PrintTitles" localSheetId="17" hidden="1">'объёмы 2019'!$5:$6</definedName>
    <definedName name="Z_415F9960_5313_4B8C_A857_E343B234574E_.wvu.PrintTitles" localSheetId="4" hidden="1">'февраль 2019'!$4:$7</definedName>
    <definedName name="Z_415F9960_5313_4B8C_A857_E343B234574E_.wvu.PrintTitles" localSheetId="2" hidden="1">'январь 2019'!$4:$7</definedName>
    <definedName name="Z_45C31AC1_6FB2_488C_94EA_BCF9E79D0043_.wvu.Cols" localSheetId="8" hidden="1">'апрель 2019'!$S:$V</definedName>
    <definedName name="Z_45C31AC1_6FB2_488C_94EA_BCF9E79D0043_.wvu.Cols" localSheetId="7" hidden="1">'апрель 2019 Эпотос-К'!$S:$V</definedName>
    <definedName name="Z_45C31AC1_6FB2_488C_94EA_BCF9E79D0043_.wvu.Cols" localSheetId="12" hidden="1">'июнь 2019'!$S:$V</definedName>
    <definedName name="Z_45C31AC1_6FB2_488C_94EA_BCF9E79D0043_.wvu.Cols" localSheetId="11" hidden="1">'июнь 2019 Эпотос-К'!$S:$V</definedName>
    <definedName name="Z_45C31AC1_6FB2_488C_94EA_BCF9E79D0043_.wvu.Cols" localSheetId="10" hidden="1">'май 2019'!$S:$V</definedName>
    <definedName name="Z_45C31AC1_6FB2_488C_94EA_BCF9E79D0043_.wvu.Cols" localSheetId="9" hidden="1">'май 2019 Эпотос-К'!$S:$V</definedName>
    <definedName name="Z_45C31AC1_6FB2_488C_94EA_BCF9E79D0043_.wvu.Cols" localSheetId="16" hidden="1">'обзор 2016'!$A:$A</definedName>
    <definedName name="Z_45C31AC1_6FB2_488C_94EA_BCF9E79D0043_.wvu.PrintArea" localSheetId="7" hidden="1">'апрель 2019 Эпотос-К'!$A$7:$B$82</definedName>
    <definedName name="Z_45C31AC1_6FB2_488C_94EA_BCF9E79D0043_.wvu.PrintArea" localSheetId="11" hidden="1">'июнь 2019 Эпотос-К'!$B$47:$D$56</definedName>
    <definedName name="Z_45C31AC1_6FB2_488C_94EA_BCF9E79D0043_.wvu.PrintArea" localSheetId="9" hidden="1">'май 2019 Эпотос-К'!$A$7:$B$82</definedName>
    <definedName name="Z_45C31AC1_6FB2_488C_94EA_BCF9E79D0043_.wvu.PrintArea" localSheetId="5" hidden="1">'март 2019 Эпотос-К'!$B$7:$G$93</definedName>
    <definedName name="Z_45C31AC1_6FB2_488C_94EA_BCF9E79D0043_.wvu.PrintArea" localSheetId="16" hidden="1">'обзор 2016'!$B$3:$Q$19</definedName>
    <definedName name="Z_45C31AC1_6FB2_488C_94EA_BCF9E79D0043_.wvu.PrintArea" localSheetId="15" hidden="1">'обзор 2017'!$B$3:$M$18</definedName>
    <definedName name="Z_45C31AC1_6FB2_488C_94EA_BCF9E79D0043_.wvu.PrintArea" localSheetId="14" hidden="1">'обзор 2018'!$B$3:$M$18</definedName>
    <definedName name="Z_45C31AC1_6FB2_488C_94EA_BCF9E79D0043_.wvu.PrintArea" localSheetId="13" hidden="1">'обзор 2019'!$B$3:$M$18</definedName>
    <definedName name="Z_45C31AC1_6FB2_488C_94EA_BCF9E79D0043_.wvu.PrintArea" localSheetId="17" hidden="1">'объёмы 2019'!$A$3:$U$98</definedName>
    <definedName name="Z_45C31AC1_6FB2_488C_94EA_BCF9E79D0043_.wvu.PrintArea" localSheetId="3" hidden="1">'февраль 2019 Эпотос-К'!$B$7:$G$96</definedName>
    <definedName name="Z_45C31AC1_6FB2_488C_94EA_BCF9E79D0043_.wvu.PrintTitles" localSheetId="8" hidden="1">'апрель 2019'!$4:$7</definedName>
    <definedName name="Z_45C31AC1_6FB2_488C_94EA_BCF9E79D0043_.wvu.PrintTitles" localSheetId="12" hidden="1">'июнь 2019'!$4:$7</definedName>
    <definedName name="Z_45C31AC1_6FB2_488C_94EA_BCF9E79D0043_.wvu.PrintTitles" localSheetId="10" hidden="1">'май 2019'!$4:$7</definedName>
    <definedName name="Z_45C31AC1_6FB2_488C_94EA_BCF9E79D0043_.wvu.PrintTitles" localSheetId="6" hidden="1">'март 2019'!$4:$7</definedName>
    <definedName name="Z_45C31AC1_6FB2_488C_94EA_BCF9E79D0043_.wvu.PrintTitles" localSheetId="17" hidden="1">'объёмы 2019'!$5:$6</definedName>
    <definedName name="Z_45C31AC1_6FB2_488C_94EA_BCF9E79D0043_.wvu.PrintTitles" localSheetId="4" hidden="1">'февраль 2019'!$4:$7</definedName>
    <definedName name="Z_45C31AC1_6FB2_488C_94EA_BCF9E79D0043_.wvu.PrintTitles" localSheetId="2" hidden="1">'январь 2019'!$4:$7</definedName>
    <definedName name="Z_4B518083_F65E_48E8_ADC7_1528A6709963_.wvu.PrintArea" localSheetId="8" hidden="1">'апрель 2019'!$A$8:$D$11</definedName>
    <definedName name="Z_4B518083_F65E_48E8_ADC7_1528A6709963_.wvu.PrintArea" localSheetId="12" hidden="1">'июнь 2019'!$A$8:$D$11</definedName>
    <definedName name="Z_4B518083_F65E_48E8_ADC7_1528A6709963_.wvu.PrintArea" localSheetId="10" hidden="1">'май 2019'!$A$8:$D$11</definedName>
    <definedName name="Z_4B518083_F65E_48E8_ADC7_1528A6709963_.wvu.PrintArea" localSheetId="6" hidden="1">'март 2019'!$A$8:$D$11</definedName>
    <definedName name="Z_4B518083_F65E_48E8_ADC7_1528A6709963_.wvu.PrintArea" localSheetId="4" hidden="1">'февраль 2019'!$A$8:$D$11</definedName>
    <definedName name="Z_4B518083_F65E_48E8_ADC7_1528A6709963_.wvu.PrintArea" localSheetId="2" hidden="1">'январь 2019'!$A$8:$D$11</definedName>
    <definedName name="Z_4C9C5999_C4BB_4443_93AC_67D3C19C26DF_.wvu.PrintArea" localSheetId="8" hidden="1">'апрель 2019'!$A$1:$M$84</definedName>
    <definedName name="Z_4C9C5999_C4BB_4443_93AC_67D3C19C26DF_.wvu.PrintArea" localSheetId="7" hidden="1">'апрель 2019 Эпотос-К'!$A$1:$K$97</definedName>
    <definedName name="Z_4C9C5999_C4BB_4443_93AC_67D3C19C26DF_.wvu.PrintArea" localSheetId="12" hidden="1">'июнь 2019'!$A$1:$M$55</definedName>
    <definedName name="Z_4C9C5999_C4BB_4443_93AC_67D3C19C26DF_.wvu.PrintArea" localSheetId="11" hidden="1">'июнь 2019 Эпотос-К'!$A$1:$K$97</definedName>
    <definedName name="Z_4C9C5999_C4BB_4443_93AC_67D3C19C26DF_.wvu.PrintArea" localSheetId="10" hidden="1">'май 2019'!$A$1:$M$62</definedName>
    <definedName name="Z_4C9C5999_C4BB_4443_93AC_67D3C19C26DF_.wvu.PrintArea" localSheetId="9" hidden="1">'май 2019 Эпотос-К'!$A$1:$K$97</definedName>
    <definedName name="Z_4C9C5999_C4BB_4443_93AC_67D3C19C26DF_.wvu.PrintArea" localSheetId="6" hidden="1">'март 2019'!$A$1:$M$116</definedName>
    <definedName name="Z_4C9C5999_C4BB_4443_93AC_67D3C19C26DF_.wvu.PrintArea" localSheetId="5" hidden="1">'март 2019 Эпотос-К'!$A$1:$K$97</definedName>
    <definedName name="Z_4C9C5999_C4BB_4443_93AC_67D3C19C26DF_.wvu.PrintArea" localSheetId="17" hidden="1">'объёмы 2019'!$A$1:$T$98</definedName>
    <definedName name="Z_4C9C5999_C4BB_4443_93AC_67D3C19C26DF_.wvu.PrintArea" localSheetId="4" hidden="1">'февраль 2019'!$A$1:$M$96</definedName>
    <definedName name="Z_4C9C5999_C4BB_4443_93AC_67D3C19C26DF_.wvu.PrintArea" localSheetId="3" hidden="1">'февраль 2019 Эпотос-К'!$A$1:$K$100</definedName>
    <definedName name="Z_4C9C5999_C4BB_4443_93AC_67D3C19C26DF_.wvu.PrintArea" localSheetId="2" hidden="1">'январь 2019'!$A$1:$M$108</definedName>
    <definedName name="Z_4C9C5999_C4BB_4443_93AC_67D3C19C26DF_.wvu.PrintArea" localSheetId="1" hidden="1">'январь 2019 Эпотос-К'!$A$1:$K$100</definedName>
    <definedName name="Z_4C9C5999_C4BB_4443_93AC_67D3C19C26DF_.wvu.PrintTitles" localSheetId="8" hidden="1">'апрель 2019'!$6:$7</definedName>
    <definedName name="Z_4C9C5999_C4BB_4443_93AC_67D3C19C26DF_.wvu.PrintTitles" localSheetId="12" hidden="1">'июнь 2019'!$6:$7</definedName>
    <definedName name="Z_4C9C5999_C4BB_4443_93AC_67D3C19C26DF_.wvu.PrintTitles" localSheetId="10" hidden="1">'май 2019'!$6:$7</definedName>
    <definedName name="Z_4C9C5999_C4BB_4443_93AC_67D3C19C26DF_.wvu.PrintTitles" localSheetId="6" hidden="1">'март 2019'!$6:$7</definedName>
    <definedName name="Z_4C9C5999_C4BB_4443_93AC_67D3C19C26DF_.wvu.PrintTitles" localSheetId="4" hidden="1">'февраль 2019'!$6:$7</definedName>
    <definedName name="Z_4C9C5999_C4BB_4443_93AC_67D3C19C26DF_.wvu.PrintTitles" localSheetId="2" hidden="1">'январь 2019'!$6:$7</definedName>
    <definedName name="Z_4C9C5999_C4BB_4443_93AC_67D3C19C26DF_.wvu.Rows" localSheetId="8" hidden="1">'апрель 2019'!#REF!</definedName>
    <definedName name="Z_4C9C5999_C4BB_4443_93AC_67D3C19C26DF_.wvu.Rows" localSheetId="7" hidden="1">'апрель 2019 Эпотос-К'!#REF!</definedName>
    <definedName name="Z_4C9C5999_C4BB_4443_93AC_67D3C19C26DF_.wvu.Rows" localSheetId="12" hidden="1">'июнь 2019'!#REF!</definedName>
    <definedName name="Z_4C9C5999_C4BB_4443_93AC_67D3C19C26DF_.wvu.Rows" localSheetId="11" hidden="1">'июнь 2019 Эпотос-К'!#REF!</definedName>
    <definedName name="Z_4C9C5999_C4BB_4443_93AC_67D3C19C26DF_.wvu.Rows" localSheetId="10" hidden="1">'май 2019'!#REF!</definedName>
    <definedName name="Z_4C9C5999_C4BB_4443_93AC_67D3C19C26DF_.wvu.Rows" localSheetId="9" hidden="1">'май 2019 Эпотос-К'!#REF!</definedName>
    <definedName name="Z_4C9C5999_C4BB_4443_93AC_67D3C19C26DF_.wvu.Rows" localSheetId="6" hidden="1">'март 2019'!#REF!</definedName>
    <definedName name="Z_4C9C5999_C4BB_4443_93AC_67D3C19C26DF_.wvu.Rows" localSheetId="5" hidden="1">'март 2019 Эпотос-К'!#REF!</definedName>
    <definedName name="Z_4C9C5999_C4BB_4443_93AC_67D3C19C26DF_.wvu.Rows" localSheetId="17" hidden="1">'объёмы 2019'!#REF!</definedName>
    <definedName name="Z_4C9C5999_C4BB_4443_93AC_67D3C19C26DF_.wvu.Rows" localSheetId="4" hidden="1">'февраль 2019'!#REF!</definedName>
    <definedName name="Z_4C9C5999_C4BB_4443_93AC_67D3C19C26DF_.wvu.Rows" localSheetId="3" hidden="1">'февраль 2019 Эпотос-К'!#REF!</definedName>
    <definedName name="Z_4C9C5999_C4BB_4443_93AC_67D3C19C26DF_.wvu.Rows" localSheetId="2" hidden="1">'январь 2019'!#REF!</definedName>
    <definedName name="Z_4C9C5999_C4BB_4443_93AC_67D3C19C26DF_.wvu.Rows" localSheetId="1" hidden="1">'январь 2019 Эпотос-К'!#REF!</definedName>
    <definedName name="Z_51EF9324_2E7A_44BD_8E77_A8B1D76911C5_.wvu.PrintArea" localSheetId="7" hidden="1">'апрель 2019 Эпотос-К'!$A$1:$K$97</definedName>
    <definedName name="Z_51EF9324_2E7A_44BD_8E77_A8B1D76911C5_.wvu.PrintArea" localSheetId="11" hidden="1">'июнь 2019 Эпотос-К'!$A$1:$K$97</definedName>
    <definedName name="Z_51EF9324_2E7A_44BD_8E77_A8B1D76911C5_.wvu.PrintArea" localSheetId="9" hidden="1">'май 2019 Эпотос-К'!$A$1:$K$97</definedName>
    <definedName name="Z_51EF9324_2E7A_44BD_8E77_A8B1D76911C5_.wvu.PrintArea" localSheetId="5" hidden="1">'март 2019 Эпотос-К'!$A$1:$K$97</definedName>
    <definedName name="Z_51EF9324_2E7A_44BD_8E77_A8B1D76911C5_.wvu.PrintArea" localSheetId="17" hidden="1">'объёмы 2019'!$A$1:$T$98</definedName>
    <definedName name="Z_51EF9324_2E7A_44BD_8E77_A8B1D76911C5_.wvu.PrintArea" localSheetId="3" hidden="1">'февраль 2019 Эпотос-К'!$A$1:$K$100</definedName>
    <definedName name="Z_51EF9324_2E7A_44BD_8E77_A8B1D76911C5_.wvu.PrintArea" localSheetId="1" hidden="1">'январь 2019 Эпотос-К'!$A$1:$K$100</definedName>
    <definedName name="Z_51EF9324_2E7A_44BD_8E77_A8B1D76911C5_.wvu.Rows" localSheetId="7" hidden="1">'апрель 2019 Эпотос-К'!#REF!</definedName>
    <definedName name="Z_51EF9324_2E7A_44BD_8E77_A8B1D76911C5_.wvu.Rows" localSheetId="11" hidden="1">'июнь 2019 Эпотос-К'!#REF!</definedName>
    <definedName name="Z_51EF9324_2E7A_44BD_8E77_A8B1D76911C5_.wvu.Rows" localSheetId="9" hidden="1">'май 2019 Эпотос-К'!#REF!</definedName>
    <definedName name="Z_51EF9324_2E7A_44BD_8E77_A8B1D76911C5_.wvu.Rows" localSheetId="5" hidden="1">'март 2019 Эпотос-К'!#REF!</definedName>
    <definedName name="Z_51EF9324_2E7A_44BD_8E77_A8B1D76911C5_.wvu.Rows" localSheetId="17" hidden="1">'объёмы 2019'!#REF!</definedName>
    <definedName name="Z_51EF9324_2E7A_44BD_8E77_A8B1D76911C5_.wvu.Rows" localSheetId="3" hidden="1">'февраль 2019 Эпотос-К'!#REF!</definedName>
    <definedName name="Z_51EF9324_2E7A_44BD_8E77_A8B1D76911C5_.wvu.Rows" localSheetId="1" hidden="1">'январь 2019 Эпотос-К'!#REF!</definedName>
    <definedName name="Z_595C289B_62FD_4FB6_95E2_E347BD6DF371_.wvu.PrintArea" localSheetId="8" hidden="1">'апрель 2019'!$A$1:$M$84</definedName>
    <definedName name="Z_595C289B_62FD_4FB6_95E2_E347BD6DF371_.wvu.PrintArea" localSheetId="7" hidden="1">'апрель 2019 Эпотос-К'!$A$1:$L$97</definedName>
    <definedName name="Z_595C289B_62FD_4FB6_95E2_E347BD6DF371_.wvu.PrintArea" localSheetId="12" hidden="1">'июнь 2019'!$A$1:$M$55</definedName>
    <definedName name="Z_595C289B_62FD_4FB6_95E2_E347BD6DF371_.wvu.PrintArea" localSheetId="11" hidden="1">'июнь 2019 Эпотос-К'!$A$1:$L$97</definedName>
    <definedName name="Z_595C289B_62FD_4FB6_95E2_E347BD6DF371_.wvu.PrintArea" localSheetId="10" hidden="1">'май 2019'!$A$1:$M$62</definedName>
    <definedName name="Z_595C289B_62FD_4FB6_95E2_E347BD6DF371_.wvu.PrintArea" localSheetId="9" hidden="1">'май 2019 Эпотос-К'!$A$1:$L$97</definedName>
    <definedName name="Z_595C289B_62FD_4FB6_95E2_E347BD6DF371_.wvu.PrintArea" localSheetId="6" hidden="1">'март 2019'!$A$1:$M$116</definedName>
    <definedName name="Z_595C289B_62FD_4FB6_95E2_E347BD6DF371_.wvu.PrintArea" localSheetId="5" hidden="1">'март 2019 Эпотос-К'!$A$1:$L$97</definedName>
    <definedName name="Z_595C289B_62FD_4FB6_95E2_E347BD6DF371_.wvu.PrintArea" localSheetId="17" hidden="1">'объёмы 2019'!$A$1:$T$98</definedName>
    <definedName name="Z_595C289B_62FD_4FB6_95E2_E347BD6DF371_.wvu.PrintArea" localSheetId="4" hidden="1">'февраль 2019'!$A$1:$M$96</definedName>
    <definedName name="Z_595C289B_62FD_4FB6_95E2_E347BD6DF371_.wvu.PrintArea" localSheetId="3" hidden="1">'февраль 2019 Эпотос-К'!$A$1:$L$100</definedName>
    <definedName name="Z_595C289B_62FD_4FB6_95E2_E347BD6DF371_.wvu.PrintArea" localSheetId="2" hidden="1">'январь 2019'!$A$1:$M$108</definedName>
    <definedName name="Z_595C289B_62FD_4FB6_95E2_E347BD6DF371_.wvu.PrintArea" localSheetId="1" hidden="1">'январь 2019 Эпотос-К'!$A$1:$L$100</definedName>
    <definedName name="Z_595C289B_62FD_4FB6_95E2_E347BD6DF371_.wvu.PrintTitles" localSheetId="8" hidden="1">'апрель 2019'!$6:$7</definedName>
    <definedName name="Z_595C289B_62FD_4FB6_95E2_E347BD6DF371_.wvu.PrintTitles" localSheetId="12" hidden="1">'июнь 2019'!$6:$7</definedName>
    <definedName name="Z_595C289B_62FD_4FB6_95E2_E347BD6DF371_.wvu.PrintTitles" localSheetId="10" hidden="1">'май 2019'!$6:$7</definedName>
    <definedName name="Z_595C289B_62FD_4FB6_95E2_E347BD6DF371_.wvu.PrintTitles" localSheetId="6" hidden="1">'март 2019'!$6:$7</definedName>
    <definedName name="Z_595C289B_62FD_4FB6_95E2_E347BD6DF371_.wvu.PrintTitles" localSheetId="4" hidden="1">'февраль 2019'!$6:$7</definedName>
    <definedName name="Z_595C289B_62FD_4FB6_95E2_E347BD6DF371_.wvu.PrintTitles" localSheetId="2" hidden="1">'январь 2019'!$6:$7</definedName>
    <definedName name="Z_595C289B_62FD_4FB6_95E2_E347BD6DF371_.wvu.Rows" localSheetId="7" hidden="1">'апрель 2019 Эпотос-К'!#REF!</definedName>
    <definedName name="Z_595C289B_62FD_4FB6_95E2_E347BD6DF371_.wvu.Rows" localSheetId="11" hidden="1">'июнь 2019 Эпотос-К'!#REF!</definedName>
    <definedName name="Z_595C289B_62FD_4FB6_95E2_E347BD6DF371_.wvu.Rows" localSheetId="9" hidden="1">'май 2019 Эпотос-К'!#REF!</definedName>
    <definedName name="Z_595C289B_62FD_4FB6_95E2_E347BD6DF371_.wvu.Rows" localSheetId="5" hidden="1">'март 2019 Эпотос-К'!#REF!</definedName>
    <definedName name="Z_595C289B_62FD_4FB6_95E2_E347BD6DF371_.wvu.Rows" localSheetId="17" hidden="1">'объёмы 2019'!#REF!</definedName>
    <definedName name="Z_595C289B_62FD_4FB6_95E2_E347BD6DF371_.wvu.Rows" localSheetId="3" hidden="1">'февраль 2019 Эпотос-К'!#REF!</definedName>
    <definedName name="Z_595C289B_62FD_4FB6_95E2_E347BD6DF371_.wvu.Rows" localSheetId="1" hidden="1">'январь 2019 Эпотос-К'!#REF!</definedName>
    <definedName name="Z_6153701C_295C_4867_80BF_32714718E7BF_.wvu.PrintArea" localSheetId="8" hidden="1">'апрель 2019'!$A$4:$N$84</definedName>
    <definedName name="Z_6153701C_295C_4867_80BF_32714718E7BF_.wvu.PrintArea" localSheetId="12" hidden="1">'июнь 2019'!$A$4:$N$55</definedName>
    <definedName name="Z_6153701C_295C_4867_80BF_32714718E7BF_.wvu.PrintArea" localSheetId="10" hidden="1">'май 2019'!$A$4:$N$62</definedName>
    <definedName name="Z_6153701C_295C_4867_80BF_32714718E7BF_.wvu.PrintArea" localSheetId="6" hidden="1">'март 2019'!$A$4:$N$116</definedName>
    <definedName name="Z_6153701C_295C_4867_80BF_32714718E7BF_.wvu.PrintArea" localSheetId="16" hidden="1">'обзор 2016'!$B$3:$M$19</definedName>
    <definedName name="Z_6153701C_295C_4867_80BF_32714718E7BF_.wvu.PrintArea" localSheetId="15" hidden="1">'обзор 2017'!$B$3:$M$18</definedName>
    <definedName name="Z_6153701C_295C_4867_80BF_32714718E7BF_.wvu.PrintArea" localSheetId="14" hidden="1">'обзор 2018'!$B$3:$M$18</definedName>
    <definedName name="Z_6153701C_295C_4867_80BF_32714718E7BF_.wvu.PrintArea" localSheetId="13" hidden="1">'обзор 2019'!$B$3:$M$18</definedName>
    <definedName name="Z_6153701C_295C_4867_80BF_32714718E7BF_.wvu.PrintArea" localSheetId="4" hidden="1">'февраль 2019'!$A$4:$N$96</definedName>
    <definedName name="Z_6153701C_295C_4867_80BF_32714718E7BF_.wvu.PrintArea" localSheetId="2" hidden="1">'январь 2019'!$A$4:$N$108</definedName>
    <definedName name="Z_6153701C_295C_4867_80BF_32714718E7BF_.wvu.PrintTitles" localSheetId="8" hidden="1">'апрель 2019'!$4:$7</definedName>
    <definedName name="Z_6153701C_295C_4867_80BF_32714718E7BF_.wvu.PrintTitles" localSheetId="12" hidden="1">'июнь 2019'!$4:$7</definedName>
    <definedName name="Z_6153701C_295C_4867_80BF_32714718E7BF_.wvu.PrintTitles" localSheetId="10" hidden="1">'май 2019'!$4:$7</definedName>
    <definedName name="Z_6153701C_295C_4867_80BF_32714718E7BF_.wvu.PrintTitles" localSheetId="6" hidden="1">'март 2019'!$4:$7</definedName>
    <definedName name="Z_6153701C_295C_4867_80BF_32714718E7BF_.wvu.PrintTitles" localSheetId="4" hidden="1">'февраль 2019'!$4:$7</definedName>
    <definedName name="Z_6153701C_295C_4867_80BF_32714718E7BF_.wvu.PrintTitles" localSheetId="2" hidden="1">'январь 2019'!$4:$7</definedName>
    <definedName name="Z_6CC9D8DB_C315_4DFA_B2F8_279DB062E59E_.wvu.PrintArea" localSheetId="8" hidden="1">'апрель 2019'!$A$1:$M$84</definedName>
    <definedName name="Z_6CC9D8DB_C315_4DFA_B2F8_279DB062E59E_.wvu.PrintArea" localSheetId="7" hidden="1">'апрель 2019 Эпотос-К'!$A$1:$K$97</definedName>
    <definedName name="Z_6CC9D8DB_C315_4DFA_B2F8_279DB062E59E_.wvu.PrintArea" localSheetId="12" hidden="1">'июнь 2019'!$A$1:$M$55</definedName>
    <definedName name="Z_6CC9D8DB_C315_4DFA_B2F8_279DB062E59E_.wvu.PrintArea" localSheetId="11" hidden="1">'июнь 2019 Эпотос-К'!$A$1:$K$97</definedName>
    <definedName name="Z_6CC9D8DB_C315_4DFA_B2F8_279DB062E59E_.wvu.PrintArea" localSheetId="10" hidden="1">'май 2019'!$A$1:$M$62</definedName>
    <definedName name="Z_6CC9D8DB_C315_4DFA_B2F8_279DB062E59E_.wvu.PrintArea" localSheetId="9" hidden="1">'май 2019 Эпотос-К'!$A$1:$K$97</definedName>
    <definedName name="Z_6CC9D8DB_C315_4DFA_B2F8_279DB062E59E_.wvu.PrintArea" localSheetId="6" hidden="1">'март 2019'!$A$1:$M$116</definedName>
    <definedName name="Z_6CC9D8DB_C315_4DFA_B2F8_279DB062E59E_.wvu.PrintArea" localSheetId="5" hidden="1">'март 2019 Эпотос-К'!$A$1:$K$97</definedName>
    <definedName name="Z_6CC9D8DB_C315_4DFA_B2F8_279DB062E59E_.wvu.PrintArea" localSheetId="17" hidden="1">'объёмы 2019'!$A$1:$T$98</definedName>
    <definedName name="Z_6CC9D8DB_C315_4DFA_B2F8_279DB062E59E_.wvu.PrintArea" localSheetId="4" hidden="1">'февраль 2019'!$A$1:$M$96</definedName>
    <definedName name="Z_6CC9D8DB_C315_4DFA_B2F8_279DB062E59E_.wvu.PrintArea" localSheetId="3" hidden="1">'февраль 2019 Эпотос-К'!$A$1:$K$100</definedName>
    <definedName name="Z_6CC9D8DB_C315_4DFA_B2F8_279DB062E59E_.wvu.PrintArea" localSheetId="2" hidden="1">'январь 2019'!$A$1:$M$108</definedName>
    <definedName name="Z_6CC9D8DB_C315_4DFA_B2F8_279DB062E59E_.wvu.PrintArea" localSheetId="1" hidden="1">'январь 2019 Эпотос-К'!$A$1:$K$100</definedName>
    <definedName name="Z_6FF5908D_D2A1_48B6_B225_E89C41E5955B_.wvu.PrintArea" localSheetId="8" hidden="1">'апрель 2019'!$A$1:$M$84</definedName>
    <definedName name="Z_6FF5908D_D2A1_48B6_B225_E89C41E5955B_.wvu.PrintArea" localSheetId="7" hidden="1">'апрель 2019 Эпотос-К'!$A$1:$K$97</definedName>
    <definedName name="Z_6FF5908D_D2A1_48B6_B225_E89C41E5955B_.wvu.PrintArea" localSheetId="12" hidden="1">'июнь 2019'!$A$1:$M$55</definedName>
    <definedName name="Z_6FF5908D_D2A1_48B6_B225_E89C41E5955B_.wvu.PrintArea" localSheetId="11" hidden="1">'июнь 2019 Эпотос-К'!$A$1:$K$97</definedName>
    <definedName name="Z_6FF5908D_D2A1_48B6_B225_E89C41E5955B_.wvu.PrintArea" localSheetId="10" hidden="1">'май 2019'!$A$1:$M$62</definedName>
    <definedName name="Z_6FF5908D_D2A1_48B6_B225_E89C41E5955B_.wvu.PrintArea" localSheetId="9" hidden="1">'май 2019 Эпотос-К'!$A$1:$K$97</definedName>
    <definedName name="Z_6FF5908D_D2A1_48B6_B225_E89C41E5955B_.wvu.PrintArea" localSheetId="6" hidden="1">'март 2019'!$A$1:$M$116</definedName>
    <definedName name="Z_6FF5908D_D2A1_48B6_B225_E89C41E5955B_.wvu.PrintArea" localSheetId="5" hidden="1">'март 2019 Эпотос-К'!$A$1:$K$97</definedName>
    <definedName name="Z_6FF5908D_D2A1_48B6_B225_E89C41E5955B_.wvu.PrintArea" localSheetId="17" hidden="1">'объёмы 2019'!$A$1:$T$98</definedName>
    <definedName name="Z_6FF5908D_D2A1_48B6_B225_E89C41E5955B_.wvu.PrintArea" localSheetId="4" hidden="1">'февраль 2019'!$A$1:$M$96</definedName>
    <definedName name="Z_6FF5908D_D2A1_48B6_B225_E89C41E5955B_.wvu.PrintArea" localSheetId="3" hidden="1">'февраль 2019 Эпотос-К'!$A$1:$K$100</definedName>
    <definedName name="Z_6FF5908D_D2A1_48B6_B225_E89C41E5955B_.wvu.PrintArea" localSheetId="2" hidden="1">'январь 2019'!$A$1:$M$108</definedName>
    <definedName name="Z_6FF5908D_D2A1_48B6_B225_E89C41E5955B_.wvu.PrintArea" localSheetId="1" hidden="1">'январь 2019 Эпотос-К'!$A$1:$K$100</definedName>
    <definedName name="Z_6FF5908D_D2A1_48B6_B225_E89C41E5955B_.wvu.PrintTitles" localSheetId="8" hidden="1">'апрель 2019'!$6:$7</definedName>
    <definedName name="Z_6FF5908D_D2A1_48B6_B225_E89C41E5955B_.wvu.PrintTitles" localSheetId="12" hidden="1">'июнь 2019'!$6:$7</definedName>
    <definedName name="Z_6FF5908D_D2A1_48B6_B225_E89C41E5955B_.wvu.PrintTitles" localSheetId="10" hidden="1">'май 2019'!$6:$7</definedName>
    <definedName name="Z_6FF5908D_D2A1_48B6_B225_E89C41E5955B_.wvu.PrintTitles" localSheetId="6" hidden="1">'март 2019'!$6:$7</definedName>
    <definedName name="Z_6FF5908D_D2A1_48B6_B225_E89C41E5955B_.wvu.PrintTitles" localSheetId="4" hidden="1">'февраль 2019'!$6:$7</definedName>
    <definedName name="Z_6FF5908D_D2A1_48B6_B225_E89C41E5955B_.wvu.PrintTitles" localSheetId="2" hidden="1">'январь 2019'!$6:$7</definedName>
    <definedName name="Z_6FF5908D_D2A1_48B6_B225_E89C41E5955B_.wvu.Rows" localSheetId="8" hidden="1">'апрель 2019'!#REF!</definedName>
    <definedName name="Z_6FF5908D_D2A1_48B6_B225_E89C41E5955B_.wvu.Rows" localSheetId="12" hidden="1">'июнь 2019'!#REF!</definedName>
    <definedName name="Z_6FF5908D_D2A1_48B6_B225_E89C41E5955B_.wvu.Rows" localSheetId="10" hidden="1">'май 2019'!#REF!</definedName>
    <definedName name="Z_6FF5908D_D2A1_48B6_B225_E89C41E5955B_.wvu.Rows" localSheetId="6" hidden="1">'март 2019'!#REF!</definedName>
    <definedName name="Z_6FF5908D_D2A1_48B6_B225_E89C41E5955B_.wvu.Rows" localSheetId="4" hidden="1">'февраль 2019'!#REF!</definedName>
    <definedName name="Z_6FF5908D_D2A1_48B6_B225_E89C41E5955B_.wvu.Rows" localSheetId="2" hidden="1">'январь 2019'!#REF!</definedName>
    <definedName name="Z_743B2DB0_F89B_4C92_828D_4DFF07686802_.wvu.PrintArea" localSheetId="16" hidden="1">'обзор 2016'!$B$3:$M$19</definedName>
    <definedName name="Z_743B2DB0_F89B_4C92_828D_4DFF07686802_.wvu.PrintArea" localSheetId="15" hidden="1">'обзор 2017'!$B$3:$M$18</definedName>
    <definedName name="Z_743B2DB0_F89B_4C92_828D_4DFF07686802_.wvu.PrintArea" localSheetId="14" hidden="1">'обзор 2018'!$B$3:$M$18</definedName>
    <definedName name="Z_743B2DB0_F89B_4C92_828D_4DFF07686802_.wvu.PrintArea" localSheetId="13" hidden="1">'обзор 2019'!$B$3:$M$18</definedName>
    <definedName name="Z_743B2DB0_F89B_4C92_828D_4DFF07686802_.wvu.PrintTitles" localSheetId="8" hidden="1">'апрель 2019'!$4:$7</definedName>
    <definedName name="Z_743B2DB0_F89B_4C92_828D_4DFF07686802_.wvu.PrintTitles" localSheetId="12" hidden="1">'июнь 2019'!$4:$7</definedName>
    <definedName name="Z_743B2DB0_F89B_4C92_828D_4DFF07686802_.wvu.PrintTitles" localSheetId="10" hidden="1">'май 2019'!$4:$7</definedName>
    <definedName name="Z_743B2DB0_F89B_4C92_828D_4DFF07686802_.wvu.PrintTitles" localSheetId="6" hidden="1">'март 2019'!$4:$7</definedName>
    <definedName name="Z_743B2DB0_F89B_4C92_828D_4DFF07686802_.wvu.PrintTitles" localSheetId="4" hidden="1">'февраль 2019'!$4:$7</definedName>
    <definedName name="Z_743B2DB0_F89B_4C92_828D_4DFF07686802_.wvu.PrintTitles" localSheetId="2" hidden="1">'январь 2019'!$4:$7</definedName>
    <definedName name="Z_7973495C_2D1B_4496_86DD_6D640B67D9E0_.wvu.PrintArea" localSheetId="8" hidden="1">'апрель 2019'!$A$4:$N$84</definedName>
    <definedName name="Z_7973495C_2D1B_4496_86DD_6D640B67D9E0_.wvu.PrintArea" localSheetId="12" hidden="1">'июнь 2019'!$A$4:$N$55</definedName>
    <definedName name="Z_7973495C_2D1B_4496_86DD_6D640B67D9E0_.wvu.PrintArea" localSheetId="10" hidden="1">'май 2019'!$A$4:$N$62</definedName>
    <definedName name="Z_7973495C_2D1B_4496_86DD_6D640B67D9E0_.wvu.PrintArea" localSheetId="6" hidden="1">'март 2019'!$A$4:$N$116</definedName>
    <definedName name="Z_7973495C_2D1B_4496_86DD_6D640B67D9E0_.wvu.PrintArea" localSheetId="16" hidden="1">'обзор 2016'!$B$3:$M$19</definedName>
    <definedName name="Z_7973495C_2D1B_4496_86DD_6D640B67D9E0_.wvu.PrintArea" localSheetId="15" hidden="1">'обзор 2017'!$B$3:$M$18</definedName>
    <definedName name="Z_7973495C_2D1B_4496_86DD_6D640B67D9E0_.wvu.PrintArea" localSheetId="14" hidden="1">'обзор 2018'!$B$3:$M$18</definedName>
    <definedName name="Z_7973495C_2D1B_4496_86DD_6D640B67D9E0_.wvu.PrintArea" localSheetId="13" hidden="1">'обзор 2019'!$B$3:$M$18</definedName>
    <definedName name="Z_7973495C_2D1B_4496_86DD_6D640B67D9E0_.wvu.PrintArea" localSheetId="4" hidden="1">'февраль 2019'!$A$4:$N$96</definedName>
    <definedName name="Z_7973495C_2D1B_4496_86DD_6D640B67D9E0_.wvu.PrintArea" localSheetId="2" hidden="1">'январь 2019'!$A$4:$N$108</definedName>
    <definedName name="Z_7973495C_2D1B_4496_86DD_6D640B67D9E0_.wvu.PrintTitles" localSheetId="8" hidden="1">'апрель 2019'!$4:$7</definedName>
    <definedName name="Z_7973495C_2D1B_4496_86DD_6D640B67D9E0_.wvu.PrintTitles" localSheetId="12" hidden="1">'июнь 2019'!$4:$7</definedName>
    <definedName name="Z_7973495C_2D1B_4496_86DD_6D640B67D9E0_.wvu.PrintTitles" localSheetId="10" hidden="1">'май 2019'!$4:$7</definedName>
    <definedName name="Z_7973495C_2D1B_4496_86DD_6D640B67D9E0_.wvu.PrintTitles" localSheetId="6" hidden="1">'март 2019'!$4:$7</definedName>
    <definedName name="Z_7973495C_2D1B_4496_86DD_6D640B67D9E0_.wvu.PrintTitles" localSheetId="4" hidden="1">'февраль 2019'!$4:$7</definedName>
    <definedName name="Z_7973495C_2D1B_4496_86DD_6D640B67D9E0_.wvu.PrintTitles" localSheetId="2" hidden="1">'январь 2019'!$4:$7</definedName>
    <definedName name="Z_7DA351A6_0462_421B_AF58_C4D07C5EF7B4_.wvu.PrintArea" localSheetId="8" hidden="1">'апрель 2019'!$A$1:$M$7</definedName>
    <definedName name="Z_7DA351A6_0462_421B_AF58_C4D07C5EF7B4_.wvu.PrintArea" localSheetId="7" hidden="1">'апрель 2019 Эпотос-К'!$A$1:$K$104</definedName>
    <definedName name="Z_7DA351A6_0462_421B_AF58_C4D07C5EF7B4_.wvu.PrintArea" localSheetId="12" hidden="1">'июнь 2019'!$A$1:$M$7</definedName>
    <definedName name="Z_7DA351A6_0462_421B_AF58_C4D07C5EF7B4_.wvu.PrintArea" localSheetId="11" hidden="1">'июнь 2019 Эпотос-К'!$A$1:$K$104</definedName>
    <definedName name="Z_7DA351A6_0462_421B_AF58_C4D07C5EF7B4_.wvu.PrintArea" localSheetId="10" hidden="1">'май 2019'!$A$1:$M$7</definedName>
    <definedName name="Z_7DA351A6_0462_421B_AF58_C4D07C5EF7B4_.wvu.PrintArea" localSheetId="9" hidden="1">'май 2019 Эпотос-К'!$A$1:$K$104</definedName>
    <definedName name="Z_7DA351A6_0462_421B_AF58_C4D07C5EF7B4_.wvu.PrintArea" localSheetId="6" hidden="1">'март 2019'!$A$1:$M$7</definedName>
    <definedName name="Z_7DA351A6_0462_421B_AF58_C4D07C5EF7B4_.wvu.PrintArea" localSheetId="5" hidden="1">'март 2019 Эпотос-К'!$A$1:$K$104</definedName>
    <definedName name="Z_7DA351A6_0462_421B_AF58_C4D07C5EF7B4_.wvu.PrintArea" localSheetId="17" hidden="1">'объёмы 2019'!$A$1:$T$105</definedName>
    <definedName name="Z_7DA351A6_0462_421B_AF58_C4D07C5EF7B4_.wvu.PrintArea" localSheetId="4" hidden="1">'февраль 2019'!$A$1:$M$7</definedName>
    <definedName name="Z_7DA351A6_0462_421B_AF58_C4D07C5EF7B4_.wvu.PrintArea" localSheetId="3" hidden="1">'февраль 2019 Эпотос-К'!$A$1:$K$107</definedName>
    <definedName name="Z_7DA351A6_0462_421B_AF58_C4D07C5EF7B4_.wvu.PrintArea" localSheetId="2" hidden="1">'январь 2019'!$A$1:$M$7</definedName>
    <definedName name="Z_7DA351A6_0462_421B_AF58_C4D07C5EF7B4_.wvu.PrintArea" localSheetId="1" hidden="1">'январь 2019 Эпотос-К'!$A$1:$K$107</definedName>
    <definedName name="Z_7DA351A6_0462_421B_AF58_C4D07C5EF7B4_.wvu.PrintTitles" localSheetId="8" hidden="1">'апрель 2019'!$6:$7</definedName>
    <definedName name="Z_7DA351A6_0462_421B_AF58_C4D07C5EF7B4_.wvu.PrintTitles" localSheetId="7" hidden="1">'апрель 2019 Эпотос-К'!$5:$6</definedName>
    <definedName name="Z_7DA351A6_0462_421B_AF58_C4D07C5EF7B4_.wvu.PrintTitles" localSheetId="12" hidden="1">'июнь 2019'!$6:$7</definedName>
    <definedName name="Z_7DA351A6_0462_421B_AF58_C4D07C5EF7B4_.wvu.PrintTitles" localSheetId="11" hidden="1">'июнь 2019 Эпотос-К'!$5:$6</definedName>
    <definedName name="Z_7DA351A6_0462_421B_AF58_C4D07C5EF7B4_.wvu.PrintTitles" localSheetId="10" hidden="1">'май 2019'!$6:$7</definedName>
    <definedName name="Z_7DA351A6_0462_421B_AF58_C4D07C5EF7B4_.wvu.PrintTitles" localSheetId="9" hidden="1">'май 2019 Эпотос-К'!$5:$6</definedName>
    <definedName name="Z_7DA351A6_0462_421B_AF58_C4D07C5EF7B4_.wvu.PrintTitles" localSheetId="6" hidden="1">'март 2019'!$6:$7</definedName>
    <definedName name="Z_7DA351A6_0462_421B_AF58_C4D07C5EF7B4_.wvu.PrintTitles" localSheetId="5" hidden="1">'март 2019 Эпотос-К'!$5:$6</definedName>
    <definedName name="Z_7DA351A6_0462_421B_AF58_C4D07C5EF7B4_.wvu.PrintTitles" localSheetId="17" hidden="1">'объёмы 2019'!$5:$6</definedName>
    <definedName name="Z_7DA351A6_0462_421B_AF58_C4D07C5EF7B4_.wvu.PrintTitles" localSheetId="4" hidden="1">'февраль 2019'!$6:$7</definedName>
    <definedName name="Z_7DA351A6_0462_421B_AF58_C4D07C5EF7B4_.wvu.PrintTitles" localSheetId="3" hidden="1">'февраль 2019 Эпотос-К'!$5:$6</definedName>
    <definedName name="Z_7DA351A6_0462_421B_AF58_C4D07C5EF7B4_.wvu.PrintTitles" localSheetId="2" hidden="1">'январь 2019'!$6:$7</definedName>
    <definedName name="Z_7DA351A6_0462_421B_AF58_C4D07C5EF7B4_.wvu.PrintTitles" localSheetId="1" hidden="1">'январь 2019 Эпотос-К'!$5:$6</definedName>
    <definedName name="Z_7FF8763C_5EAE_4155_B6F4_B9B4302A34DC_.wvu.PrintArea" localSheetId="8" hidden="1">'апрель 2019'!$A$1:$M$84</definedName>
    <definedName name="Z_7FF8763C_5EAE_4155_B6F4_B9B4302A34DC_.wvu.PrintArea" localSheetId="12" hidden="1">'июнь 2019'!$A$1:$M$55</definedName>
    <definedName name="Z_7FF8763C_5EAE_4155_B6F4_B9B4302A34DC_.wvu.PrintArea" localSheetId="10" hidden="1">'май 2019'!$A$1:$M$62</definedName>
    <definedName name="Z_7FF8763C_5EAE_4155_B6F4_B9B4302A34DC_.wvu.PrintArea" localSheetId="6" hidden="1">'март 2019'!$A$1:$M$116</definedName>
    <definedName name="Z_7FF8763C_5EAE_4155_B6F4_B9B4302A34DC_.wvu.PrintArea" localSheetId="4" hidden="1">'февраль 2019'!$A$1:$M$96</definedName>
    <definedName name="Z_7FF8763C_5EAE_4155_B6F4_B9B4302A34DC_.wvu.PrintArea" localSheetId="2" hidden="1">'январь 2019'!$A$1:$M$108</definedName>
    <definedName name="Z_7FF8763C_5EAE_4155_B6F4_B9B4302A34DC_.wvu.PrintTitles" localSheetId="8" hidden="1">'апрель 2019'!$6:$7</definedName>
    <definedName name="Z_7FF8763C_5EAE_4155_B6F4_B9B4302A34DC_.wvu.PrintTitles" localSheetId="12" hidden="1">'июнь 2019'!$6:$7</definedName>
    <definedName name="Z_7FF8763C_5EAE_4155_B6F4_B9B4302A34DC_.wvu.PrintTitles" localSheetId="10" hidden="1">'май 2019'!$6:$7</definedName>
    <definedName name="Z_7FF8763C_5EAE_4155_B6F4_B9B4302A34DC_.wvu.PrintTitles" localSheetId="6" hidden="1">'март 2019'!$6:$7</definedName>
    <definedName name="Z_7FF8763C_5EAE_4155_B6F4_B9B4302A34DC_.wvu.PrintTitles" localSheetId="4" hidden="1">'февраль 2019'!$6:$7</definedName>
    <definedName name="Z_7FF8763C_5EAE_4155_B6F4_B9B4302A34DC_.wvu.PrintTitles" localSheetId="2" hidden="1">'январь 2019'!$6:$7</definedName>
    <definedName name="Z_7FF8763C_5EAE_4155_B6F4_B9B4302A34DC_.wvu.Rows" localSheetId="7" hidden="1">'апрель 2019 Эпотос-К'!#REF!</definedName>
    <definedName name="Z_7FF8763C_5EAE_4155_B6F4_B9B4302A34DC_.wvu.Rows" localSheetId="11" hidden="1">'июнь 2019 Эпотос-К'!#REF!</definedName>
    <definedName name="Z_7FF8763C_5EAE_4155_B6F4_B9B4302A34DC_.wvu.Rows" localSheetId="9" hidden="1">'май 2019 Эпотос-К'!#REF!</definedName>
    <definedName name="Z_7FF8763C_5EAE_4155_B6F4_B9B4302A34DC_.wvu.Rows" localSheetId="5" hidden="1">'март 2019 Эпотос-К'!#REF!</definedName>
    <definedName name="Z_7FF8763C_5EAE_4155_B6F4_B9B4302A34DC_.wvu.Rows" localSheetId="17" hidden="1">'объёмы 2019'!#REF!</definedName>
    <definedName name="Z_7FF8763C_5EAE_4155_B6F4_B9B4302A34DC_.wvu.Rows" localSheetId="3" hidden="1">'февраль 2019 Эпотос-К'!#REF!</definedName>
    <definedName name="Z_7FF8763C_5EAE_4155_B6F4_B9B4302A34DC_.wvu.Rows" localSheetId="1" hidden="1">'январь 2019 Эпотос-К'!#REF!</definedName>
    <definedName name="Z_80DF195B_C3BE_44B8_BBAD_8A91B6EC45AB_.wvu.Cols" localSheetId="16" hidden="1">'обзор 2016'!$A:$A</definedName>
    <definedName name="Z_80DF195B_C3BE_44B8_BBAD_8A91B6EC45AB_.wvu.PrintArea" localSheetId="8" hidden="1">'апрель 2019'!$A$6:$L$84,'апрель 2019'!$A$4:$L$4</definedName>
    <definedName name="Z_80DF195B_C3BE_44B8_BBAD_8A91B6EC45AB_.wvu.PrintArea" localSheetId="12" hidden="1">'июнь 2019'!$A$6:$L$55,'июнь 2019'!$A$4:$L$4</definedName>
    <definedName name="Z_80DF195B_C3BE_44B8_BBAD_8A91B6EC45AB_.wvu.PrintArea" localSheetId="10" hidden="1">'май 2019'!$A$6:$L$62,'май 2019'!$A$4:$L$4</definedName>
    <definedName name="Z_80DF195B_C3BE_44B8_BBAD_8A91B6EC45AB_.wvu.PrintArea" localSheetId="6" hidden="1">'март 2019'!$A$6:$L$116,'март 2019'!$A$4:$L$4</definedName>
    <definedName name="Z_80DF195B_C3BE_44B8_BBAD_8A91B6EC45AB_.wvu.PrintArea" localSheetId="16" hidden="1">'обзор 2016'!$B$3:$Q$19</definedName>
    <definedName name="Z_80DF195B_C3BE_44B8_BBAD_8A91B6EC45AB_.wvu.PrintArea" localSheetId="17" hidden="1">'объёмы 2019'!$A$3:$U$98</definedName>
    <definedName name="Z_80DF195B_C3BE_44B8_BBAD_8A91B6EC45AB_.wvu.PrintArea" localSheetId="4" hidden="1">'февраль 2019'!$A$6:$L$96,'февраль 2019'!$A$4:$L$4</definedName>
    <definedName name="Z_80DF195B_C3BE_44B8_BBAD_8A91B6EC45AB_.wvu.PrintArea" localSheetId="2" hidden="1">'январь 2019'!$A$6:$L$108,'январь 2019'!$A$4:$L$4</definedName>
    <definedName name="Z_80DF195B_C3BE_44B8_BBAD_8A91B6EC45AB_.wvu.PrintTitles" localSheetId="8" hidden="1">'апрель 2019'!$4:$7</definedName>
    <definedName name="Z_80DF195B_C3BE_44B8_BBAD_8A91B6EC45AB_.wvu.PrintTitles" localSheetId="12" hidden="1">'июнь 2019'!$4:$7</definedName>
    <definedName name="Z_80DF195B_C3BE_44B8_BBAD_8A91B6EC45AB_.wvu.PrintTitles" localSheetId="10" hidden="1">'май 2019'!$4:$7</definedName>
    <definedName name="Z_80DF195B_C3BE_44B8_BBAD_8A91B6EC45AB_.wvu.PrintTitles" localSheetId="6" hidden="1">'март 2019'!$4:$7</definedName>
    <definedName name="Z_80DF195B_C3BE_44B8_BBAD_8A91B6EC45AB_.wvu.PrintTitles" localSheetId="17" hidden="1">'объёмы 2019'!$5:$6</definedName>
    <definedName name="Z_80DF195B_C3BE_44B8_BBAD_8A91B6EC45AB_.wvu.PrintTitles" localSheetId="4" hidden="1">'февраль 2019'!$4:$7</definedName>
    <definedName name="Z_80DF195B_C3BE_44B8_BBAD_8A91B6EC45AB_.wvu.PrintTitles" localSheetId="2" hidden="1">'январь 2019'!$4:$7</definedName>
    <definedName name="Z_845EA106_2CB5_4F86_BBCF_D0DE18153B1C_.wvu.Cols" localSheetId="12" hidden="1">'июнь 2019'!$S:$V</definedName>
    <definedName name="Z_845EA106_2CB5_4F86_BBCF_D0DE18153B1C_.wvu.Cols" localSheetId="11" hidden="1">'июнь 2019 Эпотос-К'!$S:$V</definedName>
    <definedName name="Z_845EA106_2CB5_4F86_BBCF_D0DE18153B1C_.wvu.Cols" localSheetId="10" hidden="1">'май 2019'!$S:$V</definedName>
    <definedName name="Z_845EA106_2CB5_4F86_BBCF_D0DE18153B1C_.wvu.Cols" localSheetId="9" hidden="1">'май 2019 Эпотос-К'!$S:$V</definedName>
    <definedName name="Z_845EA106_2CB5_4F86_BBCF_D0DE18153B1C_.wvu.Cols" localSheetId="16" hidden="1">'обзор 2016'!$A:$A</definedName>
    <definedName name="Z_845EA106_2CB5_4F86_BBCF_D0DE18153B1C_.wvu.PrintArea" localSheetId="8" hidden="1">'апрель 2019'!$B$8:$H$233</definedName>
    <definedName name="Z_845EA106_2CB5_4F86_BBCF_D0DE18153B1C_.wvu.PrintArea" localSheetId="7" hidden="1">'апрель 2019 Эпотос-К'!$B$7:$G$93</definedName>
    <definedName name="Z_845EA106_2CB5_4F86_BBCF_D0DE18153B1C_.wvu.PrintArea" localSheetId="12" hidden="1">'июнь 2019'!$B$8:$H$162</definedName>
    <definedName name="Z_845EA106_2CB5_4F86_BBCF_D0DE18153B1C_.wvu.PrintArea" localSheetId="11" hidden="1">'июнь 2019 Эпотос-К'!$B$47:$D$56</definedName>
    <definedName name="Z_845EA106_2CB5_4F86_BBCF_D0DE18153B1C_.wvu.PrintArea" localSheetId="10" hidden="1">'май 2019'!$B$8:$H$231</definedName>
    <definedName name="Z_845EA106_2CB5_4F86_BBCF_D0DE18153B1C_.wvu.PrintArea" localSheetId="9" hidden="1">'май 2019 Эпотос-К'!$A$7:$B$82</definedName>
    <definedName name="Z_845EA106_2CB5_4F86_BBCF_D0DE18153B1C_.wvu.PrintArea" localSheetId="6" hidden="1">'март 2019'!$B$8:$H$247</definedName>
    <definedName name="Z_845EA106_2CB5_4F86_BBCF_D0DE18153B1C_.wvu.PrintArea" localSheetId="5" hidden="1">'март 2019 Эпотос-К'!$B$7:$G$93</definedName>
    <definedName name="Z_845EA106_2CB5_4F86_BBCF_D0DE18153B1C_.wvu.PrintArea" localSheetId="16" hidden="1">'обзор 2016'!$B$3:$Q$19</definedName>
    <definedName name="Z_845EA106_2CB5_4F86_BBCF_D0DE18153B1C_.wvu.PrintArea" localSheetId="15" hidden="1">'обзор 2017'!$B$3:$M$18</definedName>
    <definedName name="Z_845EA106_2CB5_4F86_BBCF_D0DE18153B1C_.wvu.PrintArea" localSheetId="14" hidden="1">'обзор 2018'!$B$3:$M$18</definedName>
    <definedName name="Z_845EA106_2CB5_4F86_BBCF_D0DE18153B1C_.wvu.PrintArea" localSheetId="13" hidden="1">'обзор 2019'!$B$3:$M$18</definedName>
    <definedName name="Z_845EA106_2CB5_4F86_BBCF_D0DE18153B1C_.wvu.PrintArea" localSheetId="17" hidden="1">'объёмы 2019'!$A$3:$T$98</definedName>
    <definedName name="Z_845EA106_2CB5_4F86_BBCF_D0DE18153B1C_.wvu.PrintTitles" localSheetId="8" hidden="1">'апрель 2019'!$4:$7</definedName>
    <definedName name="Z_845EA106_2CB5_4F86_BBCF_D0DE18153B1C_.wvu.PrintTitles" localSheetId="12" hidden="1">'июнь 2019'!$4:$7</definedName>
    <definedName name="Z_845EA106_2CB5_4F86_BBCF_D0DE18153B1C_.wvu.PrintTitles" localSheetId="10" hidden="1">'май 2019'!$4:$7</definedName>
    <definedName name="Z_845EA106_2CB5_4F86_BBCF_D0DE18153B1C_.wvu.PrintTitles" localSheetId="6" hidden="1">'март 2019'!$4:$7</definedName>
    <definedName name="Z_845EA106_2CB5_4F86_BBCF_D0DE18153B1C_.wvu.PrintTitles" localSheetId="17" hidden="1">'объёмы 2019'!$5:$6</definedName>
    <definedName name="Z_845EA106_2CB5_4F86_BBCF_D0DE18153B1C_.wvu.PrintTitles" localSheetId="4" hidden="1">'февраль 2019'!$4:$7</definedName>
    <definedName name="Z_845EA106_2CB5_4F86_BBCF_D0DE18153B1C_.wvu.PrintTitles" localSheetId="2" hidden="1">'январь 2019'!$4:$7</definedName>
    <definedName name="Z_8C638750_2D78_446E_B8DA_A6202AF1ED31_.wvu.Cols" localSheetId="12" hidden="1">'июнь 2019'!$S:$V</definedName>
    <definedName name="Z_8C638750_2D78_446E_B8DA_A6202AF1ED31_.wvu.Cols" localSheetId="11" hidden="1">'июнь 2019 Эпотос-К'!$S:$V</definedName>
    <definedName name="Z_8C638750_2D78_446E_B8DA_A6202AF1ED31_.wvu.Cols" localSheetId="10" hidden="1">'май 2019'!$S:$V</definedName>
    <definedName name="Z_8C638750_2D78_446E_B8DA_A6202AF1ED31_.wvu.Cols" localSheetId="9" hidden="1">'май 2019 Эпотос-К'!$S:$V</definedName>
    <definedName name="Z_8C638750_2D78_446E_B8DA_A6202AF1ED31_.wvu.Cols" localSheetId="16" hidden="1">'обзор 2016'!$A:$A</definedName>
    <definedName name="Z_8C638750_2D78_446E_B8DA_A6202AF1ED31_.wvu.PrintArea" localSheetId="8" hidden="1">'апрель 2019'!$B$8:$H$227</definedName>
    <definedName name="Z_8C638750_2D78_446E_B8DA_A6202AF1ED31_.wvu.PrintArea" localSheetId="7" hidden="1">'апрель 2019 Эпотос-К'!$B$7:$G$93</definedName>
    <definedName name="Z_8C638750_2D78_446E_B8DA_A6202AF1ED31_.wvu.PrintArea" localSheetId="12" hidden="1">'июнь 2019'!$B$8:$H$156</definedName>
    <definedName name="Z_8C638750_2D78_446E_B8DA_A6202AF1ED31_.wvu.PrintArea" localSheetId="11" hidden="1">'июнь 2019 Эпотос-К'!$B$47:$D$56</definedName>
    <definedName name="Z_8C638750_2D78_446E_B8DA_A6202AF1ED31_.wvu.PrintArea" localSheetId="10" hidden="1">'май 2019'!$B$8:$H$225</definedName>
    <definedName name="Z_8C638750_2D78_446E_B8DA_A6202AF1ED31_.wvu.PrintArea" localSheetId="9" hidden="1">'май 2019 Эпотос-К'!$A$7:$B$82</definedName>
    <definedName name="Z_8C638750_2D78_446E_B8DA_A6202AF1ED31_.wvu.PrintArea" localSheetId="6" hidden="1">'март 2019'!$B$8:$H$246</definedName>
    <definedName name="Z_8C638750_2D78_446E_B8DA_A6202AF1ED31_.wvu.PrintArea" localSheetId="5" hidden="1">'март 2019 Эпотос-К'!$B$7:$G$93</definedName>
    <definedName name="Z_8C638750_2D78_446E_B8DA_A6202AF1ED31_.wvu.PrintArea" localSheetId="16" hidden="1">'обзор 2016'!$B$3:$Q$19</definedName>
    <definedName name="Z_8C638750_2D78_446E_B8DA_A6202AF1ED31_.wvu.PrintArea" localSheetId="15" hidden="1">'обзор 2017'!$B$3:$M$18</definedName>
    <definedName name="Z_8C638750_2D78_446E_B8DA_A6202AF1ED31_.wvu.PrintArea" localSheetId="14" hidden="1">'обзор 2018'!$B$3:$M$18</definedName>
    <definedName name="Z_8C638750_2D78_446E_B8DA_A6202AF1ED31_.wvu.PrintArea" localSheetId="13" hidden="1">'обзор 2019'!$B$3:$M$18</definedName>
    <definedName name="Z_8C638750_2D78_446E_B8DA_A6202AF1ED31_.wvu.PrintArea" localSheetId="17" hidden="1">'объёмы 2019'!$A$3:$T$98</definedName>
    <definedName name="Z_8C638750_2D78_446E_B8DA_A6202AF1ED31_.wvu.PrintTitles" localSheetId="8" hidden="1">'апрель 2019'!$4:$7</definedName>
    <definedName name="Z_8C638750_2D78_446E_B8DA_A6202AF1ED31_.wvu.PrintTitles" localSheetId="12" hidden="1">'июнь 2019'!$4:$7</definedName>
    <definedName name="Z_8C638750_2D78_446E_B8DA_A6202AF1ED31_.wvu.PrintTitles" localSheetId="10" hidden="1">'май 2019'!$4:$7</definedName>
    <definedName name="Z_8C638750_2D78_446E_B8DA_A6202AF1ED31_.wvu.PrintTitles" localSheetId="6" hidden="1">'март 2019'!$4:$7</definedName>
    <definedName name="Z_8C638750_2D78_446E_B8DA_A6202AF1ED31_.wvu.PrintTitles" localSheetId="17" hidden="1">'объёмы 2019'!$5:$6</definedName>
    <definedName name="Z_8C638750_2D78_446E_B8DA_A6202AF1ED31_.wvu.PrintTitles" localSheetId="4" hidden="1">'февраль 2019'!$4:$7</definedName>
    <definedName name="Z_8C638750_2D78_446E_B8DA_A6202AF1ED31_.wvu.PrintTitles" localSheetId="2" hidden="1">'январь 2019'!$4:$7</definedName>
    <definedName name="Z_985ED1BC_53D6_40D6_BED0_BF19A973D3E0_.wvu.Cols" localSheetId="16" hidden="1">'обзор 2016'!$A:$A</definedName>
    <definedName name="Z_985ED1BC_53D6_40D6_BED0_BF19A973D3E0_.wvu.PrintArea" localSheetId="8" hidden="1">'апрель 2019'!$A$6:$L$33,'апрель 2019'!$A$4:$L$4</definedName>
    <definedName name="Z_985ED1BC_53D6_40D6_BED0_BF19A973D3E0_.wvu.PrintArea" localSheetId="12" hidden="1">'июнь 2019'!$A$6:$L$28,'июнь 2019'!$A$4:$L$4</definedName>
    <definedName name="Z_985ED1BC_53D6_40D6_BED0_BF19A973D3E0_.wvu.PrintArea" localSheetId="10" hidden="1">'май 2019'!$A$6:$L$32,'май 2019'!$A$4:$L$4</definedName>
    <definedName name="Z_985ED1BC_53D6_40D6_BED0_BF19A973D3E0_.wvu.PrintArea" localSheetId="6" hidden="1">'март 2019'!$A$6:$L$33,'март 2019'!$A$4:$L$4</definedName>
    <definedName name="Z_985ED1BC_53D6_40D6_BED0_BF19A973D3E0_.wvu.PrintArea" localSheetId="16" hidden="1">'обзор 2016'!$B$3:$Q$19</definedName>
    <definedName name="Z_985ED1BC_53D6_40D6_BED0_BF19A973D3E0_.wvu.PrintArea" localSheetId="15" hidden="1">'обзор 2017'!$B$3:$M$18</definedName>
    <definedName name="Z_985ED1BC_53D6_40D6_BED0_BF19A973D3E0_.wvu.PrintArea" localSheetId="17" hidden="1">'объёмы 2019'!$A$3:$U$98</definedName>
    <definedName name="Z_985ED1BC_53D6_40D6_BED0_BF19A973D3E0_.wvu.PrintArea" localSheetId="4" hidden="1">'февраль 2019'!$A$6:$L$35,'февраль 2019'!$A$4:$L$4</definedName>
    <definedName name="Z_985ED1BC_53D6_40D6_BED0_BF19A973D3E0_.wvu.PrintArea" localSheetId="2" hidden="1">'январь 2019'!$A$6:$L$45,'январь 2019'!$A$4:$L$4</definedName>
    <definedName name="Z_985ED1BC_53D6_40D6_BED0_BF19A973D3E0_.wvu.PrintTitles" localSheetId="8" hidden="1">'апрель 2019'!$4:$7</definedName>
    <definedName name="Z_985ED1BC_53D6_40D6_BED0_BF19A973D3E0_.wvu.PrintTitles" localSheetId="12" hidden="1">'июнь 2019'!$4:$7</definedName>
    <definedName name="Z_985ED1BC_53D6_40D6_BED0_BF19A973D3E0_.wvu.PrintTitles" localSheetId="10" hidden="1">'май 2019'!$4:$7</definedName>
    <definedName name="Z_985ED1BC_53D6_40D6_BED0_BF19A973D3E0_.wvu.PrintTitles" localSheetId="6" hidden="1">'март 2019'!$4:$7</definedName>
    <definedName name="Z_985ED1BC_53D6_40D6_BED0_BF19A973D3E0_.wvu.PrintTitles" localSheetId="17" hidden="1">'объёмы 2019'!$5:$6</definedName>
    <definedName name="Z_985ED1BC_53D6_40D6_BED0_BF19A973D3E0_.wvu.PrintTitles" localSheetId="4" hidden="1">'февраль 2019'!$4:$7</definedName>
    <definedName name="Z_985ED1BC_53D6_40D6_BED0_BF19A973D3E0_.wvu.PrintTitles" localSheetId="2" hidden="1">'январь 2019'!$4:$7</definedName>
    <definedName name="Z_991AEFF2_E4AE_41D0_B810_875DE90D90C4_.wvu.Cols" localSheetId="16" hidden="1">'обзор 2016'!$A:$A</definedName>
    <definedName name="Z_991AEFF2_E4AE_41D0_B810_875DE90D90C4_.wvu.PrintArea" localSheetId="8" hidden="1">'апрель 2019'!$A$6:$L$84,'апрель 2019'!$A$4:$L$4</definedName>
    <definedName name="Z_991AEFF2_E4AE_41D0_B810_875DE90D90C4_.wvu.PrintArea" localSheetId="12" hidden="1">'июнь 2019'!$A$6:$L$55,'июнь 2019'!$A$4:$L$4</definedName>
    <definedName name="Z_991AEFF2_E4AE_41D0_B810_875DE90D90C4_.wvu.PrintArea" localSheetId="10" hidden="1">'май 2019'!$A$6:$L$62,'май 2019'!$A$4:$L$4</definedName>
    <definedName name="Z_991AEFF2_E4AE_41D0_B810_875DE90D90C4_.wvu.PrintArea" localSheetId="6" hidden="1">'март 2019'!$A$6:$L$116,'март 2019'!$A$4:$L$4</definedName>
    <definedName name="Z_991AEFF2_E4AE_41D0_B810_875DE90D90C4_.wvu.PrintArea" localSheetId="16" hidden="1">'обзор 2016'!$B$3:$Q$19</definedName>
    <definedName name="Z_991AEFF2_E4AE_41D0_B810_875DE90D90C4_.wvu.PrintArea" localSheetId="17" hidden="1">'объёмы 2019'!$A$3:$U$98</definedName>
    <definedName name="Z_991AEFF2_E4AE_41D0_B810_875DE90D90C4_.wvu.PrintArea" localSheetId="4" hidden="1">'февраль 2019'!$A$6:$L$96,'февраль 2019'!$A$4:$L$4</definedName>
    <definedName name="Z_991AEFF2_E4AE_41D0_B810_875DE90D90C4_.wvu.PrintArea" localSheetId="2" hidden="1">'январь 2019'!$A$6:$L$108,'январь 2019'!$A$4:$L$4</definedName>
    <definedName name="Z_991AEFF2_E4AE_41D0_B810_875DE90D90C4_.wvu.PrintTitles" localSheetId="8" hidden="1">'апрель 2019'!$4:$7</definedName>
    <definedName name="Z_991AEFF2_E4AE_41D0_B810_875DE90D90C4_.wvu.PrintTitles" localSheetId="12" hidden="1">'июнь 2019'!$4:$7</definedName>
    <definedName name="Z_991AEFF2_E4AE_41D0_B810_875DE90D90C4_.wvu.PrintTitles" localSheetId="10" hidden="1">'май 2019'!$4:$7</definedName>
    <definedName name="Z_991AEFF2_E4AE_41D0_B810_875DE90D90C4_.wvu.PrintTitles" localSheetId="6" hidden="1">'март 2019'!$4:$7</definedName>
    <definedName name="Z_991AEFF2_E4AE_41D0_B810_875DE90D90C4_.wvu.PrintTitles" localSheetId="17" hidden="1">'объёмы 2019'!$5:$6</definedName>
    <definedName name="Z_991AEFF2_E4AE_41D0_B810_875DE90D90C4_.wvu.PrintTitles" localSheetId="4" hidden="1">'февраль 2019'!$4:$7</definedName>
    <definedName name="Z_991AEFF2_E4AE_41D0_B810_875DE90D90C4_.wvu.PrintTitles" localSheetId="2" hidden="1">'январь 2019'!$4:$7</definedName>
    <definedName name="Z_A1BD6C0C_B1B9_4F48_A6B1_3BFD273F4CD7_.wvu.Cols" localSheetId="8" hidden="1">'апрель 2019'!$S:$V</definedName>
    <definedName name="Z_A1BD6C0C_B1B9_4F48_A6B1_3BFD273F4CD7_.wvu.Cols" localSheetId="7" hidden="1">'апрель 2019 Эпотос-К'!$S:$V</definedName>
    <definedName name="Z_A1BD6C0C_B1B9_4F48_A6B1_3BFD273F4CD7_.wvu.Cols" localSheetId="12" hidden="1">'июнь 2019'!$S:$V</definedName>
    <definedName name="Z_A1BD6C0C_B1B9_4F48_A6B1_3BFD273F4CD7_.wvu.Cols" localSheetId="11" hidden="1">'июнь 2019 Эпотос-К'!$S:$V</definedName>
    <definedName name="Z_A1BD6C0C_B1B9_4F48_A6B1_3BFD273F4CD7_.wvu.Cols" localSheetId="10" hidden="1">'май 2019'!$S:$V</definedName>
    <definedName name="Z_A1BD6C0C_B1B9_4F48_A6B1_3BFD273F4CD7_.wvu.Cols" localSheetId="9" hidden="1">'май 2019 Эпотос-К'!$S:$V</definedName>
    <definedName name="Z_A1BD6C0C_B1B9_4F48_A6B1_3BFD273F4CD7_.wvu.Cols" localSheetId="16" hidden="1">'обзор 2016'!$A:$A</definedName>
    <definedName name="Z_A1BD6C0C_B1B9_4F48_A6B1_3BFD273F4CD7_.wvu.Cols" localSheetId="17" hidden="1">'объёмы 2019'!$V:$V</definedName>
    <definedName name="Z_A1BD6C0C_B1B9_4F48_A6B1_3BFD273F4CD7_.wvu.PrintArea" localSheetId="7" hidden="1">'апрель 2019 Эпотос-К'!$A$7:$B$82</definedName>
    <definedName name="Z_A1BD6C0C_B1B9_4F48_A6B1_3BFD273F4CD7_.wvu.PrintArea" localSheetId="11" hidden="1">'июнь 2019 Эпотос-К'!$B$47:$D$56</definedName>
    <definedName name="Z_A1BD6C0C_B1B9_4F48_A6B1_3BFD273F4CD7_.wvu.PrintArea" localSheetId="9" hidden="1">'май 2019 Эпотос-К'!$B$47:$D$56</definedName>
    <definedName name="Z_A1BD6C0C_B1B9_4F48_A6B1_3BFD273F4CD7_.wvu.PrintArea" localSheetId="5" hidden="1">'март 2019 Эпотос-К'!$B$7:$G$93</definedName>
    <definedName name="Z_A1BD6C0C_B1B9_4F48_A6B1_3BFD273F4CD7_.wvu.PrintArea" localSheetId="16" hidden="1">'обзор 2016'!$B$3:$Q$19</definedName>
    <definedName name="Z_A1BD6C0C_B1B9_4F48_A6B1_3BFD273F4CD7_.wvu.PrintArea" localSheetId="17" hidden="1">'объёмы 2019'!$A$3:$U$38</definedName>
    <definedName name="Z_A1BD6C0C_B1B9_4F48_A6B1_3BFD273F4CD7_.wvu.PrintArea" localSheetId="3" hidden="1">'февраль 2019 Эпотос-К'!$B$7:$G$96</definedName>
    <definedName name="Z_A1BD6C0C_B1B9_4F48_A6B1_3BFD273F4CD7_.wvu.PrintTitles" localSheetId="8" hidden="1">'апрель 2019'!$4:$7</definedName>
    <definedName name="Z_A1BD6C0C_B1B9_4F48_A6B1_3BFD273F4CD7_.wvu.PrintTitles" localSheetId="12" hidden="1">'июнь 2019'!$4:$7</definedName>
    <definedName name="Z_A1BD6C0C_B1B9_4F48_A6B1_3BFD273F4CD7_.wvu.PrintTitles" localSheetId="10" hidden="1">'май 2019'!$4:$7</definedName>
    <definedName name="Z_A1BD6C0C_B1B9_4F48_A6B1_3BFD273F4CD7_.wvu.PrintTitles" localSheetId="6" hidden="1">'март 2019'!$4:$7</definedName>
    <definedName name="Z_A1BD6C0C_B1B9_4F48_A6B1_3BFD273F4CD7_.wvu.PrintTitles" localSheetId="17" hidden="1">'объёмы 2019'!$5:$6</definedName>
    <definedName name="Z_A1BD6C0C_B1B9_4F48_A6B1_3BFD273F4CD7_.wvu.PrintTitles" localSheetId="4" hidden="1">'февраль 2019'!$4:$7</definedName>
    <definedName name="Z_A1BD6C0C_B1B9_4F48_A6B1_3BFD273F4CD7_.wvu.PrintTitles" localSheetId="2" hidden="1">'январь 2019'!$4:$7</definedName>
    <definedName name="Z_B01E6157_5EA5_4419_A2B5_D705FADD05E9_.wvu.PrintArea" localSheetId="8" hidden="1">'апрель 2019'!$A$4:$N$84</definedName>
    <definedName name="Z_B01E6157_5EA5_4419_A2B5_D705FADD05E9_.wvu.PrintArea" localSheetId="12" hidden="1">'июнь 2019'!$A$4:$N$55</definedName>
    <definedName name="Z_B01E6157_5EA5_4419_A2B5_D705FADD05E9_.wvu.PrintArea" localSheetId="10" hidden="1">'май 2019'!$A$4:$N$62</definedName>
    <definedName name="Z_B01E6157_5EA5_4419_A2B5_D705FADD05E9_.wvu.PrintArea" localSheetId="6" hidden="1">'март 2019'!$A$4:$N$116</definedName>
    <definedName name="Z_B01E6157_5EA5_4419_A2B5_D705FADD05E9_.wvu.PrintArea" localSheetId="16" hidden="1">'обзор 2016'!$B$3:$M$19</definedName>
    <definedName name="Z_B01E6157_5EA5_4419_A2B5_D705FADD05E9_.wvu.PrintArea" localSheetId="15" hidden="1">'обзор 2017'!$B$3:$M$18</definedName>
    <definedName name="Z_B01E6157_5EA5_4419_A2B5_D705FADD05E9_.wvu.PrintArea" localSheetId="14" hidden="1">'обзор 2018'!$B$3:$M$18</definedName>
    <definedName name="Z_B01E6157_5EA5_4419_A2B5_D705FADD05E9_.wvu.PrintArea" localSheetId="13" hidden="1">'обзор 2019'!$B$3:$M$18</definedName>
    <definedName name="Z_B01E6157_5EA5_4419_A2B5_D705FADD05E9_.wvu.PrintArea" localSheetId="4" hidden="1">'февраль 2019'!$A$4:$N$96</definedName>
    <definedName name="Z_B01E6157_5EA5_4419_A2B5_D705FADD05E9_.wvu.PrintArea" localSheetId="2" hidden="1">'январь 2019'!$A$4:$N$108</definedName>
    <definedName name="Z_B01E6157_5EA5_4419_A2B5_D705FADD05E9_.wvu.PrintTitles" localSheetId="8" hidden="1">'апрель 2019'!$4:$7</definedName>
    <definedName name="Z_B01E6157_5EA5_4419_A2B5_D705FADD05E9_.wvu.PrintTitles" localSheetId="12" hidden="1">'июнь 2019'!$4:$7</definedName>
    <definedName name="Z_B01E6157_5EA5_4419_A2B5_D705FADD05E9_.wvu.PrintTitles" localSheetId="10" hidden="1">'май 2019'!$4:$7</definedName>
    <definedName name="Z_B01E6157_5EA5_4419_A2B5_D705FADD05E9_.wvu.PrintTitles" localSheetId="6" hidden="1">'март 2019'!$4:$7</definedName>
    <definedName name="Z_B01E6157_5EA5_4419_A2B5_D705FADD05E9_.wvu.PrintTitles" localSheetId="4" hidden="1">'февраль 2019'!$4:$7</definedName>
    <definedName name="Z_B01E6157_5EA5_4419_A2B5_D705FADD05E9_.wvu.PrintTitles" localSheetId="2" hidden="1">'январь 2019'!$4:$7</definedName>
    <definedName name="Z_B92A8BD7_E721_4018_BAD7_BA8658CC8082_.wvu.PrintArea" localSheetId="8" hidden="1">'апрель 2019'!$A$4:$N$84</definedName>
    <definedName name="Z_B92A8BD7_E721_4018_BAD7_BA8658CC8082_.wvu.PrintArea" localSheetId="12" hidden="1">'июнь 2019'!$A$4:$N$55</definedName>
    <definedName name="Z_B92A8BD7_E721_4018_BAD7_BA8658CC8082_.wvu.PrintArea" localSheetId="10" hidden="1">'май 2019'!$A$4:$N$62</definedName>
    <definedName name="Z_B92A8BD7_E721_4018_BAD7_BA8658CC8082_.wvu.PrintArea" localSheetId="6" hidden="1">'март 2019'!$A$4:$N$116</definedName>
    <definedName name="Z_B92A8BD7_E721_4018_BAD7_BA8658CC8082_.wvu.PrintArea" localSheetId="4" hidden="1">'февраль 2019'!$A$4:$N$96</definedName>
    <definedName name="Z_B92A8BD7_E721_4018_BAD7_BA8658CC8082_.wvu.PrintArea" localSheetId="2" hidden="1">'январь 2019'!$A$4:$N$108</definedName>
    <definedName name="Z_B92A8BD7_E721_4018_BAD7_BA8658CC8082_.wvu.PrintTitles" localSheetId="8" hidden="1">'апрель 2019'!$4:$7</definedName>
    <definedName name="Z_B92A8BD7_E721_4018_BAD7_BA8658CC8082_.wvu.PrintTitles" localSheetId="12" hidden="1">'июнь 2019'!$4:$7</definedName>
    <definedName name="Z_B92A8BD7_E721_4018_BAD7_BA8658CC8082_.wvu.PrintTitles" localSheetId="10" hidden="1">'май 2019'!$4:$7</definedName>
    <definedName name="Z_B92A8BD7_E721_4018_BAD7_BA8658CC8082_.wvu.PrintTitles" localSheetId="6" hidden="1">'март 2019'!$4:$7</definedName>
    <definedName name="Z_B92A8BD7_E721_4018_BAD7_BA8658CC8082_.wvu.PrintTitles" localSheetId="4" hidden="1">'февраль 2019'!$4:$7</definedName>
    <definedName name="Z_B92A8BD7_E721_4018_BAD7_BA8658CC8082_.wvu.PrintTitles" localSheetId="2" hidden="1">'январь 2019'!$4:$7</definedName>
    <definedName name="Z_BBDA7F2C_FF87_478A_97DA_E55726998C6C_.wvu.PrintArea" localSheetId="8" hidden="1">'апрель 2019'!$A$1:$M$84</definedName>
    <definedName name="Z_BBDA7F2C_FF87_478A_97DA_E55726998C6C_.wvu.PrintArea" localSheetId="7" hidden="1">'апрель 2019 Эпотос-К'!$A$1:$K$97</definedName>
    <definedName name="Z_BBDA7F2C_FF87_478A_97DA_E55726998C6C_.wvu.PrintArea" localSheetId="12" hidden="1">'июнь 2019'!$A$1:$M$55</definedName>
    <definedName name="Z_BBDA7F2C_FF87_478A_97DA_E55726998C6C_.wvu.PrintArea" localSheetId="11" hidden="1">'июнь 2019 Эпотос-К'!$A$1:$K$97</definedName>
    <definedName name="Z_BBDA7F2C_FF87_478A_97DA_E55726998C6C_.wvu.PrintArea" localSheetId="10" hidden="1">'май 2019'!$A$1:$M$62</definedName>
    <definedName name="Z_BBDA7F2C_FF87_478A_97DA_E55726998C6C_.wvu.PrintArea" localSheetId="9" hidden="1">'май 2019 Эпотос-К'!$A$1:$K$97</definedName>
    <definedName name="Z_BBDA7F2C_FF87_478A_97DA_E55726998C6C_.wvu.PrintArea" localSheetId="6" hidden="1">'март 2019'!$A$1:$M$116</definedName>
    <definedName name="Z_BBDA7F2C_FF87_478A_97DA_E55726998C6C_.wvu.PrintArea" localSheetId="5" hidden="1">'март 2019 Эпотос-К'!$A$1:$K$97</definedName>
    <definedName name="Z_BBDA7F2C_FF87_478A_97DA_E55726998C6C_.wvu.PrintArea" localSheetId="17" hidden="1">'объёмы 2019'!$A$1:$T$98</definedName>
    <definedName name="Z_BBDA7F2C_FF87_478A_97DA_E55726998C6C_.wvu.PrintArea" localSheetId="4" hidden="1">'февраль 2019'!$A$1:$M$96</definedName>
    <definedName name="Z_BBDA7F2C_FF87_478A_97DA_E55726998C6C_.wvu.PrintArea" localSheetId="3" hidden="1">'февраль 2019 Эпотос-К'!$A$1:$K$100</definedName>
    <definedName name="Z_BBDA7F2C_FF87_478A_97DA_E55726998C6C_.wvu.PrintArea" localSheetId="2" hidden="1">'январь 2019'!$A$1:$M$108</definedName>
    <definedName name="Z_BBDA7F2C_FF87_478A_97DA_E55726998C6C_.wvu.PrintArea" localSheetId="1" hidden="1">'январь 2019 Эпотос-К'!$A$1:$K$100</definedName>
    <definedName name="Z_BBDA7F2C_FF87_478A_97DA_E55726998C6C_.wvu.PrintTitles" localSheetId="8" hidden="1">'апрель 2019'!$6:$7</definedName>
    <definedName name="Z_BBDA7F2C_FF87_478A_97DA_E55726998C6C_.wvu.PrintTitles" localSheetId="12" hidden="1">'июнь 2019'!$6:$7</definedName>
    <definedName name="Z_BBDA7F2C_FF87_478A_97DA_E55726998C6C_.wvu.PrintTitles" localSheetId="10" hidden="1">'май 2019'!$6:$7</definedName>
    <definedName name="Z_BBDA7F2C_FF87_478A_97DA_E55726998C6C_.wvu.PrintTitles" localSheetId="6" hidden="1">'март 2019'!$6:$7</definedName>
    <definedName name="Z_BBDA7F2C_FF87_478A_97DA_E55726998C6C_.wvu.PrintTitles" localSheetId="4" hidden="1">'февраль 2019'!$6:$7</definedName>
    <definedName name="Z_BBDA7F2C_FF87_478A_97DA_E55726998C6C_.wvu.PrintTitles" localSheetId="2" hidden="1">'январь 2019'!$6:$7</definedName>
    <definedName name="Z_BBDA7F2C_FF87_478A_97DA_E55726998C6C_.wvu.Rows" localSheetId="8" hidden="1">'апрель 2019'!#REF!</definedName>
    <definedName name="Z_BBDA7F2C_FF87_478A_97DA_E55726998C6C_.wvu.Rows" localSheetId="7" hidden="1">'апрель 2019 Эпотос-К'!#REF!</definedName>
    <definedName name="Z_BBDA7F2C_FF87_478A_97DA_E55726998C6C_.wvu.Rows" localSheetId="12" hidden="1">'июнь 2019'!#REF!</definedName>
    <definedName name="Z_BBDA7F2C_FF87_478A_97DA_E55726998C6C_.wvu.Rows" localSheetId="11" hidden="1">'июнь 2019 Эпотос-К'!#REF!</definedName>
    <definedName name="Z_BBDA7F2C_FF87_478A_97DA_E55726998C6C_.wvu.Rows" localSheetId="10" hidden="1">'май 2019'!#REF!</definedName>
    <definedName name="Z_BBDA7F2C_FF87_478A_97DA_E55726998C6C_.wvu.Rows" localSheetId="9" hidden="1">'май 2019 Эпотос-К'!#REF!</definedName>
    <definedName name="Z_BBDA7F2C_FF87_478A_97DA_E55726998C6C_.wvu.Rows" localSheetId="6" hidden="1">'март 2019'!#REF!</definedName>
    <definedName name="Z_BBDA7F2C_FF87_478A_97DA_E55726998C6C_.wvu.Rows" localSheetId="5" hidden="1">'март 2019 Эпотос-К'!#REF!</definedName>
    <definedName name="Z_BBDA7F2C_FF87_478A_97DA_E55726998C6C_.wvu.Rows" localSheetId="17" hidden="1">'объёмы 2019'!#REF!</definedName>
    <definedName name="Z_BBDA7F2C_FF87_478A_97DA_E55726998C6C_.wvu.Rows" localSheetId="4" hidden="1">'февраль 2019'!#REF!</definedName>
    <definedName name="Z_BBDA7F2C_FF87_478A_97DA_E55726998C6C_.wvu.Rows" localSheetId="3" hidden="1">'февраль 2019 Эпотос-К'!#REF!</definedName>
    <definedName name="Z_BBDA7F2C_FF87_478A_97DA_E55726998C6C_.wvu.Rows" localSheetId="2" hidden="1">'январь 2019'!#REF!</definedName>
    <definedName name="Z_BBDA7F2C_FF87_478A_97DA_E55726998C6C_.wvu.Rows" localSheetId="1" hidden="1">'январь 2019 Эпотос-К'!#REF!</definedName>
    <definedName name="Z_C29DA669_F4F9_44CD_9569_E796ADF74A86_.wvu.Cols" localSheetId="12" hidden="1">'июнь 2019'!$S:$V</definedName>
    <definedName name="Z_C29DA669_F4F9_44CD_9569_E796ADF74A86_.wvu.Cols" localSheetId="11" hidden="1">'июнь 2019 Эпотос-К'!$S:$V</definedName>
    <definedName name="Z_C29DA669_F4F9_44CD_9569_E796ADF74A86_.wvu.Cols" localSheetId="10" hidden="1">'май 2019'!$S:$V</definedName>
    <definedName name="Z_C29DA669_F4F9_44CD_9569_E796ADF74A86_.wvu.Cols" localSheetId="9" hidden="1">'май 2019 Эпотос-К'!$S:$V</definedName>
    <definedName name="Z_C29DA669_F4F9_44CD_9569_E796ADF74A86_.wvu.Cols" localSheetId="16" hidden="1">'обзор 2016'!$A:$A</definedName>
    <definedName name="Z_C29DA669_F4F9_44CD_9569_E796ADF74A86_.wvu.PrintArea" localSheetId="7" hidden="1">'апрель 2019 Эпотос-К'!$B$7:$G$93</definedName>
    <definedName name="Z_C29DA669_F4F9_44CD_9569_E796ADF74A86_.wvu.PrintArea" localSheetId="11" hidden="1">'июнь 2019 Эпотос-К'!$B$47:$D$56</definedName>
    <definedName name="Z_C29DA669_F4F9_44CD_9569_E796ADF74A86_.wvu.PrintArea" localSheetId="9" hidden="1">'май 2019 Эпотос-К'!$A$7:$B$82</definedName>
    <definedName name="Z_C29DA669_F4F9_44CD_9569_E796ADF74A86_.wvu.PrintArea" localSheetId="5" hidden="1">'март 2019 Эпотос-К'!$B$7:$G$93</definedName>
    <definedName name="Z_C29DA669_F4F9_44CD_9569_E796ADF74A86_.wvu.PrintArea" localSheetId="16" hidden="1">'обзор 2016'!$B$3:$Q$19</definedName>
    <definedName name="Z_C29DA669_F4F9_44CD_9569_E796ADF74A86_.wvu.PrintArea" localSheetId="15" hidden="1">'обзор 2017'!$B$3:$M$18</definedName>
    <definedName name="Z_C29DA669_F4F9_44CD_9569_E796ADF74A86_.wvu.PrintArea" localSheetId="14" hidden="1">'обзор 2018'!$B$3:$M$18</definedName>
    <definedName name="Z_C29DA669_F4F9_44CD_9569_E796ADF74A86_.wvu.PrintArea" localSheetId="13" hidden="1">'обзор 2019'!$B$3:$M$18</definedName>
    <definedName name="Z_C29DA669_F4F9_44CD_9569_E796ADF74A86_.wvu.PrintArea" localSheetId="17" hidden="1">'объёмы 2019'!$A$3:$U$98</definedName>
    <definedName name="Z_C29DA669_F4F9_44CD_9569_E796ADF74A86_.wvu.PrintTitles" localSheetId="8" hidden="1">'апрель 2019'!$4:$7</definedName>
    <definedName name="Z_C29DA669_F4F9_44CD_9569_E796ADF74A86_.wvu.PrintTitles" localSheetId="12" hidden="1">'июнь 2019'!$4:$7</definedName>
    <definedName name="Z_C29DA669_F4F9_44CD_9569_E796ADF74A86_.wvu.PrintTitles" localSheetId="10" hidden="1">'май 2019'!$4:$7</definedName>
    <definedName name="Z_C29DA669_F4F9_44CD_9569_E796ADF74A86_.wvu.PrintTitles" localSheetId="6" hidden="1">'март 2019'!$4:$7</definedName>
    <definedName name="Z_C29DA669_F4F9_44CD_9569_E796ADF74A86_.wvu.PrintTitles" localSheetId="17" hidden="1">'объёмы 2019'!$5:$6</definedName>
    <definedName name="Z_C29DA669_F4F9_44CD_9569_E796ADF74A86_.wvu.PrintTitles" localSheetId="4" hidden="1">'февраль 2019'!$4:$7</definedName>
    <definedName name="Z_C29DA669_F4F9_44CD_9569_E796ADF74A86_.wvu.PrintTitles" localSheetId="2" hidden="1">'январь 2019'!$4:$7</definedName>
    <definedName name="Z_CA0EFFCB_6323_469D_93EE_7365AC1A8B79_.wvu.Cols" localSheetId="16" hidden="1">'обзор 2016'!$A:$A</definedName>
    <definedName name="Z_CA0EFFCB_6323_469D_93EE_7365AC1A8B79_.wvu.PrintArea" localSheetId="16" hidden="1">'обзор 2016'!$B$3:$Q$19</definedName>
    <definedName name="Z_CA0EFFCB_6323_469D_93EE_7365AC1A8B79_.wvu.PrintArea" localSheetId="17" hidden="1">'объёмы 2019'!$A$3:$U$38</definedName>
    <definedName name="Z_CA0EFFCB_6323_469D_93EE_7365AC1A8B79_.wvu.PrintTitles" localSheetId="8" hidden="1">'апрель 2019'!$4:$7</definedName>
    <definedName name="Z_CA0EFFCB_6323_469D_93EE_7365AC1A8B79_.wvu.PrintTitles" localSheetId="12" hidden="1">'июнь 2019'!$4:$7</definedName>
    <definedName name="Z_CA0EFFCB_6323_469D_93EE_7365AC1A8B79_.wvu.PrintTitles" localSheetId="10" hidden="1">'май 2019'!$4:$7</definedName>
    <definedName name="Z_CA0EFFCB_6323_469D_93EE_7365AC1A8B79_.wvu.PrintTitles" localSheetId="6" hidden="1">'март 2019'!$4:$7</definedName>
    <definedName name="Z_CA0EFFCB_6323_469D_93EE_7365AC1A8B79_.wvu.PrintTitles" localSheetId="17" hidden="1">'объёмы 2019'!$5:$6</definedName>
    <definedName name="Z_CA0EFFCB_6323_469D_93EE_7365AC1A8B79_.wvu.PrintTitles" localSheetId="4" hidden="1">'февраль 2019'!$4:$7</definedName>
    <definedName name="Z_CA0EFFCB_6323_469D_93EE_7365AC1A8B79_.wvu.PrintTitles" localSheetId="2" hidden="1">'январь 2019'!$4:$7</definedName>
    <definedName name="Z_CD193133_C0DC_473A_9422_68E7CD1D9F26_.wvu.PrintArea" localSheetId="8" hidden="1">'апрель 2019'!$A$8:$D$11</definedName>
    <definedName name="Z_CD193133_C0DC_473A_9422_68E7CD1D9F26_.wvu.PrintArea" localSheetId="12" hidden="1">'июнь 2019'!$A$8:$D$11</definedName>
    <definedName name="Z_CD193133_C0DC_473A_9422_68E7CD1D9F26_.wvu.PrintArea" localSheetId="10" hidden="1">'май 2019'!$A$8:$D$11</definedName>
    <definedName name="Z_CD193133_C0DC_473A_9422_68E7CD1D9F26_.wvu.PrintArea" localSheetId="6" hidden="1">'март 2019'!$A$8:$D$11</definedName>
    <definedName name="Z_CD193133_C0DC_473A_9422_68E7CD1D9F26_.wvu.PrintArea" localSheetId="4" hidden="1">'февраль 2019'!$A$8:$D$11</definedName>
    <definedName name="Z_CD193133_C0DC_473A_9422_68E7CD1D9F26_.wvu.PrintArea" localSheetId="2" hidden="1">'январь 2019'!$A$8:$D$11</definedName>
    <definedName name="Z_CE90B6D7_6CF9_4F5C_A415_E92CBE354645_.wvu.PrintArea" localSheetId="8" hidden="1">'апрель 2019'!$A$1:$M$84</definedName>
    <definedName name="Z_CE90B6D7_6CF9_4F5C_A415_E92CBE354645_.wvu.PrintArea" localSheetId="7" hidden="1">'апрель 2019 Эпотос-К'!$A$1:$L$97</definedName>
    <definedName name="Z_CE90B6D7_6CF9_4F5C_A415_E92CBE354645_.wvu.PrintArea" localSheetId="12" hidden="1">'июнь 2019'!$A$1:$M$55</definedName>
    <definedName name="Z_CE90B6D7_6CF9_4F5C_A415_E92CBE354645_.wvu.PrintArea" localSheetId="11" hidden="1">'июнь 2019 Эпотос-К'!$A$1:$L$97</definedName>
    <definedName name="Z_CE90B6D7_6CF9_4F5C_A415_E92CBE354645_.wvu.PrintArea" localSheetId="10" hidden="1">'май 2019'!$A$1:$M$62</definedName>
    <definedName name="Z_CE90B6D7_6CF9_4F5C_A415_E92CBE354645_.wvu.PrintArea" localSheetId="9" hidden="1">'май 2019 Эпотос-К'!$A$1:$L$97</definedName>
    <definedName name="Z_CE90B6D7_6CF9_4F5C_A415_E92CBE354645_.wvu.PrintArea" localSheetId="6" hidden="1">'март 2019'!$A$1:$M$116</definedName>
    <definedName name="Z_CE90B6D7_6CF9_4F5C_A415_E92CBE354645_.wvu.PrintArea" localSheetId="5" hidden="1">'март 2019 Эпотос-К'!$A$1:$L$97</definedName>
    <definedName name="Z_CE90B6D7_6CF9_4F5C_A415_E92CBE354645_.wvu.PrintArea" localSheetId="17" hidden="1">'объёмы 2019'!$A$1:$T$98</definedName>
    <definedName name="Z_CE90B6D7_6CF9_4F5C_A415_E92CBE354645_.wvu.PrintArea" localSheetId="4" hidden="1">'февраль 2019'!$A$1:$M$96</definedName>
    <definedName name="Z_CE90B6D7_6CF9_4F5C_A415_E92CBE354645_.wvu.PrintArea" localSheetId="3" hidden="1">'февраль 2019 Эпотос-К'!$A$1:$L$100</definedName>
    <definedName name="Z_CE90B6D7_6CF9_4F5C_A415_E92CBE354645_.wvu.PrintArea" localSheetId="2" hidden="1">'январь 2019'!$A$1:$M$108</definedName>
    <definedName name="Z_CE90B6D7_6CF9_4F5C_A415_E92CBE354645_.wvu.PrintArea" localSheetId="1" hidden="1">'январь 2019 Эпотос-К'!$A$1:$L$100</definedName>
    <definedName name="Z_CE90B6D7_6CF9_4F5C_A415_E92CBE354645_.wvu.PrintTitles" localSheetId="8" hidden="1">'апрель 2019'!$6:$7</definedName>
    <definedName name="Z_CE90B6D7_6CF9_4F5C_A415_E92CBE354645_.wvu.PrintTitles" localSheetId="12" hidden="1">'июнь 2019'!$6:$7</definedName>
    <definedName name="Z_CE90B6D7_6CF9_4F5C_A415_E92CBE354645_.wvu.PrintTitles" localSheetId="10" hidden="1">'май 2019'!$6:$7</definedName>
    <definedName name="Z_CE90B6D7_6CF9_4F5C_A415_E92CBE354645_.wvu.PrintTitles" localSheetId="6" hidden="1">'март 2019'!$6:$7</definedName>
    <definedName name="Z_CE90B6D7_6CF9_4F5C_A415_E92CBE354645_.wvu.PrintTitles" localSheetId="4" hidden="1">'февраль 2019'!$6:$7</definedName>
    <definedName name="Z_CE90B6D7_6CF9_4F5C_A415_E92CBE354645_.wvu.PrintTitles" localSheetId="2" hidden="1">'январь 2019'!$6:$7</definedName>
    <definedName name="Z_CE90B6D7_6CF9_4F5C_A415_E92CBE354645_.wvu.Rows" localSheetId="7" hidden="1">'апрель 2019 Эпотос-К'!#REF!</definedName>
    <definedName name="Z_CE90B6D7_6CF9_4F5C_A415_E92CBE354645_.wvu.Rows" localSheetId="11" hidden="1">'июнь 2019 Эпотос-К'!#REF!</definedName>
    <definedName name="Z_CE90B6D7_6CF9_4F5C_A415_E92CBE354645_.wvu.Rows" localSheetId="9" hidden="1">'май 2019 Эпотос-К'!#REF!</definedName>
    <definedName name="Z_CE90B6D7_6CF9_4F5C_A415_E92CBE354645_.wvu.Rows" localSheetId="5" hidden="1">'март 2019 Эпотос-К'!#REF!</definedName>
    <definedName name="Z_CE90B6D7_6CF9_4F5C_A415_E92CBE354645_.wvu.Rows" localSheetId="17" hidden="1">'объёмы 2019'!#REF!</definedName>
    <definedName name="Z_CE90B6D7_6CF9_4F5C_A415_E92CBE354645_.wvu.Rows" localSheetId="3" hidden="1">'февраль 2019 Эпотос-К'!#REF!</definedName>
    <definedName name="Z_CE90B6D7_6CF9_4F5C_A415_E92CBE354645_.wvu.Rows" localSheetId="1" hidden="1">'январь 2019 Эпотос-К'!#REF!</definedName>
    <definedName name="Z_D42288F7_1871_4EF6_BC87_1B9EF747C744_.wvu.Cols" localSheetId="12" hidden="1">'июнь 2019'!$S:$V</definedName>
    <definedName name="Z_D42288F7_1871_4EF6_BC87_1B9EF747C744_.wvu.Cols" localSheetId="11" hidden="1">'июнь 2019 Эпотос-К'!$S:$V</definedName>
    <definedName name="Z_D42288F7_1871_4EF6_BC87_1B9EF747C744_.wvu.Cols" localSheetId="10" hidden="1">'май 2019'!$S:$V</definedName>
    <definedName name="Z_D42288F7_1871_4EF6_BC87_1B9EF747C744_.wvu.Cols" localSheetId="9" hidden="1">'май 2019 Эпотос-К'!$S:$V</definedName>
    <definedName name="Z_D42288F7_1871_4EF6_BC87_1B9EF747C744_.wvu.Cols" localSheetId="16" hidden="1">'обзор 2016'!$A:$A</definedName>
    <definedName name="Z_D42288F7_1871_4EF6_BC87_1B9EF747C744_.wvu.PrintArea" localSheetId="7" hidden="1">'апрель 2019 Эпотос-К'!$B$7:$G$93</definedName>
    <definedName name="Z_D42288F7_1871_4EF6_BC87_1B9EF747C744_.wvu.PrintArea" localSheetId="11" hidden="1">'июнь 2019 Эпотос-К'!$B$47:$D$56</definedName>
    <definedName name="Z_D42288F7_1871_4EF6_BC87_1B9EF747C744_.wvu.PrintArea" localSheetId="9" hidden="1">'май 2019 Эпотос-К'!$A$7:$B$82</definedName>
    <definedName name="Z_D42288F7_1871_4EF6_BC87_1B9EF747C744_.wvu.PrintArea" localSheetId="5" hidden="1">'март 2019 Эпотос-К'!$B$7:$G$93</definedName>
    <definedName name="Z_D42288F7_1871_4EF6_BC87_1B9EF747C744_.wvu.PrintArea" localSheetId="16" hidden="1">'обзор 2016'!$B$3:$Q$19</definedName>
    <definedName name="Z_D42288F7_1871_4EF6_BC87_1B9EF747C744_.wvu.PrintArea" localSheetId="15" hidden="1">'обзор 2017'!$B$3:$M$18</definedName>
    <definedName name="Z_D42288F7_1871_4EF6_BC87_1B9EF747C744_.wvu.PrintArea" localSheetId="14" hidden="1">'обзор 2018'!$B$3:$M$18</definedName>
    <definedName name="Z_D42288F7_1871_4EF6_BC87_1B9EF747C744_.wvu.PrintArea" localSheetId="13" hidden="1">'обзор 2019'!$B$3:$M$18</definedName>
    <definedName name="Z_D42288F7_1871_4EF6_BC87_1B9EF747C744_.wvu.PrintArea" localSheetId="17" hidden="1">'объёмы 2019'!$A$3:$U$98</definedName>
    <definedName name="Z_D42288F7_1871_4EF6_BC87_1B9EF747C744_.wvu.PrintTitles" localSheetId="8" hidden="1">'апрель 2019'!$4:$7</definedName>
    <definedName name="Z_D42288F7_1871_4EF6_BC87_1B9EF747C744_.wvu.PrintTitles" localSheetId="12" hidden="1">'июнь 2019'!$4:$7</definedName>
    <definedName name="Z_D42288F7_1871_4EF6_BC87_1B9EF747C744_.wvu.PrintTitles" localSheetId="10" hidden="1">'май 2019'!$4:$7</definedName>
    <definedName name="Z_D42288F7_1871_4EF6_BC87_1B9EF747C744_.wvu.PrintTitles" localSheetId="6" hidden="1">'март 2019'!$4:$7</definedName>
    <definedName name="Z_D42288F7_1871_4EF6_BC87_1B9EF747C744_.wvu.PrintTitles" localSheetId="17" hidden="1">'объёмы 2019'!$5:$6</definedName>
    <definedName name="Z_D42288F7_1871_4EF6_BC87_1B9EF747C744_.wvu.PrintTitles" localSheetId="4" hidden="1">'февраль 2019'!$4:$7</definedName>
    <definedName name="Z_D42288F7_1871_4EF6_BC87_1B9EF747C744_.wvu.PrintTitles" localSheetId="2" hidden="1">'январь 2019'!$4:$7</definedName>
    <definedName name="Z_D74493B4_9A0D_44A9_BDAD_E8303CA6AC0B_.wvu.PrintArea" localSheetId="8" hidden="1">'апрель 2019'!$A$8:$D$11</definedName>
    <definedName name="Z_D74493B4_9A0D_44A9_BDAD_E8303CA6AC0B_.wvu.PrintArea" localSheetId="12" hidden="1">'июнь 2019'!$A$8:$D$11</definedName>
    <definedName name="Z_D74493B4_9A0D_44A9_BDAD_E8303CA6AC0B_.wvu.PrintArea" localSheetId="10" hidden="1">'май 2019'!$A$8:$D$11</definedName>
    <definedName name="Z_D74493B4_9A0D_44A9_BDAD_E8303CA6AC0B_.wvu.PrintArea" localSheetId="6" hidden="1">'март 2019'!$A$8:$D$11</definedName>
    <definedName name="Z_D74493B4_9A0D_44A9_BDAD_E8303CA6AC0B_.wvu.PrintArea" localSheetId="4" hidden="1">'февраль 2019'!$A$8:$D$11</definedName>
    <definedName name="Z_D74493B4_9A0D_44A9_BDAD_E8303CA6AC0B_.wvu.PrintArea" localSheetId="2" hidden="1">'январь 2019'!$A$8:$D$11</definedName>
    <definedName name="Z_D800552E_1EF8_4BC8_9EFF_0AF8FC74B053_.wvu.Cols" localSheetId="16" hidden="1">'обзор 2016'!$A:$A</definedName>
    <definedName name="Z_D800552E_1EF8_4BC8_9EFF_0AF8FC74B053_.wvu.Cols" localSheetId="15" hidden="1">'обзор 2017'!$A:$A</definedName>
    <definedName name="Z_D800552E_1EF8_4BC8_9EFF_0AF8FC74B053_.wvu.Cols" localSheetId="14" hidden="1">'обзор 2018'!$A:$A</definedName>
    <definedName name="Z_D800552E_1EF8_4BC8_9EFF_0AF8FC74B053_.wvu.Cols" localSheetId="13" hidden="1">'обзор 2019'!$A:$A</definedName>
    <definedName name="Z_D800552E_1EF8_4BC8_9EFF_0AF8FC74B053_.wvu.PrintArea" localSheetId="8" hidden="1">'апрель 2019'!$B$8:$D$16</definedName>
    <definedName name="Z_D800552E_1EF8_4BC8_9EFF_0AF8FC74B053_.wvu.PrintArea" localSheetId="12" hidden="1">'июнь 2019'!$B$8:$D$16</definedName>
    <definedName name="Z_D800552E_1EF8_4BC8_9EFF_0AF8FC74B053_.wvu.PrintArea" localSheetId="10" hidden="1">'май 2019'!$B$8:$D$16</definedName>
    <definedName name="Z_D800552E_1EF8_4BC8_9EFF_0AF8FC74B053_.wvu.PrintArea" localSheetId="6" hidden="1">'март 2019'!$B$8:$D$16</definedName>
    <definedName name="Z_D800552E_1EF8_4BC8_9EFF_0AF8FC74B053_.wvu.PrintArea" localSheetId="16" hidden="1">'обзор 2016'!$B$3:$Q$19</definedName>
    <definedName name="Z_D800552E_1EF8_4BC8_9EFF_0AF8FC74B053_.wvu.PrintArea" localSheetId="15" hidden="1">'обзор 2017'!$B$3:$Q$18</definedName>
    <definedName name="Z_D800552E_1EF8_4BC8_9EFF_0AF8FC74B053_.wvu.PrintArea" localSheetId="14" hidden="1">'обзор 2018'!$B$3:$Q$18</definedName>
    <definedName name="Z_D800552E_1EF8_4BC8_9EFF_0AF8FC74B053_.wvu.PrintArea" localSheetId="13" hidden="1">'обзор 2019'!$B$3:$Q$18</definedName>
    <definedName name="Z_D800552E_1EF8_4BC8_9EFF_0AF8FC74B053_.wvu.PrintArea" localSheetId="17" hidden="1">'объёмы 2019'!$A$3:$U$98</definedName>
    <definedName name="Z_D800552E_1EF8_4BC8_9EFF_0AF8FC74B053_.wvu.PrintArea" localSheetId="4" hidden="1">'февраль 2019'!$B$8:$D$16</definedName>
    <definedName name="Z_D800552E_1EF8_4BC8_9EFF_0AF8FC74B053_.wvu.PrintArea" localSheetId="2" hidden="1">'январь 2019'!$B$8:$D$16</definedName>
    <definedName name="Z_D800552E_1EF8_4BC8_9EFF_0AF8FC74B053_.wvu.PrintTitles" localSheetId="8" hidden="1">'апрель 2019'!$4:$7</definedName>
    <definedName name="Z_D800552E_1EF8_4BC8_9EFF_0AF8FC74B053_.wvu.PrintTitles" localSheetId="12" hidden="1">'июнь 2019'!$4:$7</definedName>
    <definedName name="Z_D800552E_1EF8_4BC8_9EFF_0AF8FC74B053_.wvu.PrintTitles" localSheetId="10" hidden="1">'май 2019'!$4:$7</definedName>
    <definedName name="Z_D800552E_1EF8_4BC8_9EFF_0AF8FC74B053_.wvu.PrintTitles" localSheetId="6" hidden="1">'март 2019'!$4:$7</definedName>
    <definedName name="Z_D800552E_1EF8_4BC8_9EFF_0AF8FC74B053_.wvu.PrintTitles" localSheetId="17" hidden="1">'объёмы 2019'!$5:$6</definedName>
    <definedName name="Z_D800552E_1EF8_4BC8_9EFF_0AF8FC74B053_.wvu.PrintTitles" localSheetId="4" hidden="1">'февраль 2019'!$4:$7</definedName>
    <definedName name="Z_D800552E_1EF8_4BC8_9EFF_0AF8FC74B053_.wvu.PrintTitles" localSheetId="2" hidden="1">'январь 2019'!$4:$7</definedName>
    <definedName name="Z_D800552E_1EF8_4BC8_9EFF_0AF8FC74B053_.wvu.Rows" localSheetId="8" hidden="1">'апрель 2019'!#REF!,'апрель 2019'!#REF!,'апрель 2019'!#REF!,'апрель 2019'!#REF!,'апрель 2019'!#REF!,'апрель 2019'!#REF!</definedName>
    <definedName name="Z_D800552E_1EF8_4BC8_9EFF_0AF8FC74B053_.wvu.Rows" localSheetId="12" hidden="1">'июнь 2019'!#REF!,'июнь 2019'!#REF!,'июнь 2019'!#REF!,'июнь 2019'!#REF!,'июнь 2019'!#REF!,'июнь 2019'!#REF!</definedName>
    <definedName name="Z_D800552E_1EF8_4BC8_9EFF_0AF8FC74B053_.wvu.Rows" localSheetId="10" hidden="1">'май 2019'!#REF!,'май 2019'!#REF!,'май 2019'!#REF!,'май 2019'!#REF!,'май 2019'!#REF!,'май 2019'!#REF!</definedName>
    <definedName name="Z_D800552E_1EF8_4BC8_9EFF_0AF8FC74B053_.wvu.Rows" localSheetId="6" hidden="1">'март 2019'!#REF!,'март 2019'!#REF!,'март 2019'!#REF!,'март 2019'!#REF!,'март 2019'!#REF!,'март 2019'!#REF!</definedName>
    <definedName name="Z_D800552E_1EF8_4BC8_9EFF_0AF8FC74B053_.wvu.Rows" localSheetId="4" hidden="1">'февраль 2019'!#REF!,'февраль 2019'!#REF!,'февраль 2019'!#REF!,'февраль 2019'!#REF!,'февраль 2019'!#REF!,'февраль 2019'!#REF!</definedName>
    <definedName name="Z_D800552E_1EF8_4BC8_9EFF_0AF8FC74B053_.wvu.Rows" localSheetId="2" hidden="1">'январь 2019'!#REF!,'январь 2019'!#REF!,'январь 2019'!#REF!,'январь 2019'!#REF!,'январь 2019'!#REF!,'январь 2019'!#REF!</definedName>
    <definedName name="Z_E4C3CA9B_7747_41D3_81F1_F9B930DAF07B_.wvu.PrintArea" localSheetId="8" hidden="1">'апрель 2019'!$A$1:$M$84</definedName>
    <definedName name="Z_E4C3CA9B_7747_41D3_81F1_F9B930DAF07B_.wvu.PrintArea" localSheetId="7" hidden="1">'апрель 2019 Эпотос-К'!$A$1:$K$97</definedName>
    <definedName name="Z_E4C3CA9B_7747_41D3_81F1_F9B930DAF07B_.wvu.PrintArea" localSheetId="12" hidden="1">'июнь 2019'!$A$1:$M$55</definedName>
    <definedName name="Z_E4C3CA9B_7747_41D3_81F1_F9B930DAF07B_.wvu.PrintArea" localSheetId="11" hidden="1">'июнь 2019 Эпотос-К'!$A$1:$K$97</definedName>
    <definedName name="Z_E4C3CA9B_7747_41D3_81F1_F9B930DAF07B_.wvu.PrintArea" localSheetId="10" hidden="1">'май 2019'!$A$1:$M$62</definedName>
    <definedName name="Z_E4C3CA9B_7747_41D3_81F1_F9B930DAF07B_.wvu.PrintArea" localSheetId="9" hidden="1">'май 2019 Эпотос-К'!$A$1:$K$97</definedName>
    <definedName name="Z_E4C3CA9B_7747_41D3_81F1_F9B930DAF07B_.wvu.PrintArea" localSheetId="6" hidden="1">'март 2019'!$A$1:$M$116</definedName>
    <definedName name="Z_E4C3CA9B_7747_41D3_81F1_F9B930DAF07B_.wvu.PrintArea" localSheetId="5" hidden="1">'март 2019 Эпотос-К'!$A$1:$K$97</definedName>
    <definedName name="Z_E4C3CA9B_7747_41D3_81F1_F9B930DAF07B_.wvu.PrintArea" localSheetId="17" hidden="1">'объёмы 2019'!$A$1:$T$98</definedName>
    <definedName name="Z_E4C3CA9B_7747_41D3_81F1_F9B930DAF07B_.wvu.PrintArea" localSheetId="4" hidden="1">'февраль 2019'!$A$1:$M$96</definedName>
    <definedName name="Z_E4C3CA9B_7747_41D3_81F1_F9B930DAF07B_.wvu.PrintArea" localSheetId="3" hidden="1">'февраль 2019 Эпотос-К'!$A$1:$K$100</definedName>
    <definedName name="Z_E4C3CA9B_7747_41D3_81F1_F9B930DAF07B_.wvu.PrintArea" localSheetId="2" hidden="1">'январь 2019'!$A$1:$M$108</definedName>
    <definedName name="Z_E4C3CA9B_7747_41D3_81F1_F9B930DAF07B_.wvu.PrintArea" localSheetId="1" hidden="1">'январь 2019 Эпотос-К'!$A$1:$K$100</definedName>
    <definedName name="Z_E4C3CA9B_7747_41D3_81F1_F9B930DAF07B_.wvu.PrintTitles" localSheetId="8" hidden="1">'апрель 2019'!$6:$7</definedName>
    <definedName name="Z_E4C3CA9B_7747_41D3_81F1_F9B930DAF07B_.wvu.PrintTitles" localSheetId="12" hidden="1">'июнь 2019'!$6:$7</definedName>
    <definedName name="Z_E4C3CA9B_7747_41D3_81F1_F9B930DAF07B_.wvu.PrintTitles" localSheetId="10" hidden="1">'май 2019'!$6:$7</definedName>
    <definedName name="Z_E4C3CA9B_7747_41D3_81F1_F9B930DAF07B_.wvu.PrintTitles" localSheetId="6" hidden="1">'март 2019'!$6:$7</definedName>
    <definedName name="Z_E4C3CA9B_7747_41D3_81F1_F9B930DAF07B_.wvu.PrintTitles" localSheetId="4" hidden="1">'февраль 2019'!$6:$7</definedName>
    <definedName name="Z_E4C3CA9B_7747_41D3_81F1_F9B930DAF07B_.wvu.PrintTitles" localSheetId="2" hidden="1">'январь 2019'!$6:$7</definedName>
    <definedName name="Z_E4C3CA9B_7747_41D3_81F1_F9B930DAF07B_.wvu.Rows" localSheetId="8" hidden="1">'апрель 2019'!#REF!</definedName>
    <definedName name="Z_E4C3CA9B_7747_41D3_81F1_F9B930DAF07B_.wvu.Rows" localSheetId="7" hidden="1">'апрель 2019 Эпотос-К'!#REF!</definedName>
    <definedName name="Z_E4C3CA9B_7747_41D3_81F1_F9B930DAF07B_.wvu.Rows" localSheetId="12" hidden="1">'июнь 2019'!#REF!</definedName>
    <definedName name="Z_E4C3CA9B_7747_41D3_81F1_F9B930DAF07B_.wvu.Rows" localSheetId="11" hidden="1">'июнь 2019 Эпотос-К'!#REF!</definedName>
    <definedName name="Z_E4C3CA9B_7747_41D3_81F1_F9B930DAF07B_.wvu.Rows" localSheetId="10" hidden="1">'май 2019'!#REF!</definedName>
    <definedName name="Z_E4C3CA9B_7747_41D3_81F1_F9B930DAF07B_.wvu.Rows" localSheetId="9" hidden="1">'май 2019 Эпотос-К'!#REF!</definedName>
    <definedName name="Z_E4C3CA9B_7747_41D3_81F1_F9B930DAF07B_.wvu.Rows" localSheetId="6" hidden="1">'март 2019'!#REF!</definedName>
    <definedName name="Z_E4C3CA9B_7747_41D3_81F1_F9B930DAF07B_.wvu.Rows" localSheetId="5" hidden="1">'март 2019 Эпотос-К'!#REF!</definedName>
    <definedName name="Z_E4C3CA9B_7747_41D3_81F1_F9B930DAF07B_.wvu.Rows" localSheetId="17" hidden="1">'объёмы 2019'!#REF!</definedName>
    <definedName name="Z_E4C3CA9B_7747_41D3_81F1_F9B930DAF07B_.wvu.Rows" localSheetId="4" hidden="1">'февраль 2019'!#REF!</definedName>
    <definedName name="Z_E4C3CA9B_7747_41D3_81F1_F9B930DAF07B_.wvu.Rows" localSheetId="3" hidden="1">'февраль 2019 Эпотос-К'!#REF!</definedName>
    <definedName name="Z_E4C3CA9B_7747_41D3_81F1_F9B930DAF07B_.wvu.Rows" localSheetId="2" hidden="1">'январь 2019'!#REF!</definedName>
    <definedName name="Z_E4C3CA9B_7747_41D3_81F1_F9B930DAF07B_.wvu.Rows" localSheetId="1" hidden="1">'январь 2019 Эпотос-К'!#REF!</definedName>
    <definedName name="Z_F2B5CEAB_2673_4F11_9066_273B37495AEF_.wvu.PrintArea" localSheetId="8" hidden="1">'апрель 2019'!$A$1:$M$84</definedName>
    <definedName name="Z_F2B5CEAB_2673_4F11_9066_273B37495AEF_.wvu.PrintArea" localSheetId="12" hidden="1">'июнь 2019'!$A$1:$M$55</definedName>
    <definedName name="Z_F2B5CEAB_2673_4F11_9066_273B37495AEF_.wvu.PrintArea" localSheetId="10" hidden="1">'май 2019'!$A$1:$M$62</definedName>
    <definedName name="Z_F2B5CEAB_2673_4F11_9066_273B37495AEF_.wvu.PrintArea" localSheetId="6" hidden="1">'март 2019'!$A$1:$M$116</definedName>
    <definedName name="Z_F2B5CEAB_2673_4F11_9066_273B37495AEF_.wvu.PrintArea" localSheetId="4" hidden="1">'февраль 2019'!$A$1:$M$96</definedName>
    <definedName name="Z_F2B5CEAB_2673_4F11_9066_273B37495AEF_.wvu.PrintArea" localSheetId="2" hidden="1">'январь 2019'!$A$1:$M$108</definedName>
    <definedName name="Z_F2B5CEAB_2673_4F11_9066_273B37495AEF_.wvu.PrintTitles" localSheetId="8" hidden="1">'апрель 2019'!$6:$7</definedName>
    <definedName name="Z_F2B5CEAB_2673_4F11_9066_273B37495AEF_.wvu.PrintTitles" localSheetId="12" hidden="1">'июнь 2019'!$6:$7</definedName>
    <definedName name="Z_F2B5CEAB_2673_4F11_9066_273B37495AEF_.wvu.PrintTitles" localSheetId="10" hidden="1">'май 2019'!$6:$7</definedName>
    <definedName name="Z_F2B5CEAB_2673_4F11_9066_273B37495AEF_.wvu.PrintTitles" localSheetId="6" hidden="1">'март 2019'!$6:$7</definedName>
    <definedName name="Z_F2B5CEAB_2673_4F11_9066_273B37495AEF_.wvu.PrintTitles" localSheetId="4" hidden="1">'февраль 2019'!$6:$7</definedName>
    <definedName name="Z_F2B5CEAB_2673_4F11_9066_273B37495AEF_.wvu.PrintTitles" localSheetId="2" hidden="1">'январь 2019'!$6:$7</definedName>
    <definedName name="Z_F2B5CEAB_2673_4F11_9066_273B37495AEF_.wvu.Rows" localSheetId="8" hidden="1">'апрель 2019'!#REF!</definedName>
    <definedName name="Z_F2B5CEAB_2673_4F11_9066_273B37495AEF_.wvu.Rows" localSheetId="12" hidden="1">'июнь 2019'!#REF!</definedName>
    <definedName name="Z_F2B5CEAB_2673_4F11_9066_273B37495AEF_.wvu.Rows" localSheetId="10" hidden="1">'май 2019'!#REF!</definedName>
    <definedName name="Z_F2B5CEAB_2673_4F11_9066_273B37495AEF_.wvu.Rows" localSheetId="6" hidden="1">'март 2019'!#REF!</definedName>
    <definedName name="Z_F2B5CEAB_2673_4F11_9066_273B37495AEF_.wvu.Rows" localSheetId="4" hidden="1">'февраль 2019'!#REF!</definedName>
    <definedName name="Z_F2B5CEAB_2673_4F11_9066_273B37495AEF_.wvu.Rows" localSheetId="2" hidden="1">'январь 2019'!#REF!</definedName>
    <definedName name="_xlnm.Print_Titles" localSheetId="8">'апрель 2019'!$4:$7</definedName>
    <definedName name="_xlnm.Print_Titles" localSheetId="12">'июнь 2019'!$4:$7</definedName>
    <definedName name="_xlnm.Print_Titles" localSheetId="10">'май 2019'!$4:$7</definedName>
    <definedName name="_xlnm.Print_Titles" localSheetId="6">'март 2019'!$4:$7</definedName>
    <definedName name="_xlnm.Print_Titles" localSheetId="17">'объёмы 2019'!$5:$6</definedName>
    <definedName name="_xlnm.Print_Titles" localSheetId="4">'февраль 2019'!$4:$7</definedName>
    <definedName name="_xlnm.Print_Titles" localSheetId="2">'январь 2019'!$4:$7</definedName>
    <definedName name="_xlnm.Print_Area" localSheetId="7">'апрель 2019 Эпотос-К'!$B$7:$G$93</definedName>
    <definedName name="_xlnm.Print_Area" localSheetId="11">'июнь 2019 Эпотос-К'!$B$47:$D$56</definedName>
    <definedName name="_xlnm.Print_Area" localSheetId="9">'май 2019 Эпотос-К'!$A$7:$B$82</definedName>
    <definedName name="_xlnm.Print_Area" localSheetId="5">'март 2019 Эпотос-К'!$B$7:$G$93</definedName>
    <definedName name="_xlnm.Print_Area" localSheetId="16">'обзор 2016'!$B$3:$Q$19</definedName>
    <definedName name="_xlnm.Print_Area" localSheetId="15">'обзор 2017'!$B$3:$M$18</definedName>
    <definedName name="_xlnm.Print_Area" localSheetId="14">'обзор 2018'!$B$3:$M$18</definedName>
    <definedName name="_xlnm.Print_Area" localSheetId="13">'обзор 2019'!$B$3:$M$18</definedName>
    <definedName name="_xlnm.Print_Area" localSheetId="17">'объёмы 2019'!$A$3:$U$98</definedName>
    <definedName name="_xlnm.Print_Area" localSheetId="1">'январь 2019 Эпотос-К'!#REF!</definedName>
  </definedNames>
  <calcPr calcId="145621"/>
  <customWorkbookViews>
    <customWorkbookView name="БыковаВП - Личное представление" guid="{06317133-151B-4DBC-8EB3-9345BA061F91}" autoUpdate="1" mergeInterval="5" changesSavedWin="1" personalView="1" maximized="1" windowWidth="1155" windowHeight="668" tabRatio="864" activeSheetId="13"/>
    <customWorkbookView name="Андрей - Личное представление" guid="{375BA386-B398-4A0E-AF86-4319F1FDDF11}" mergeInterval="0" personalView="1" maximized="1" windowWidth="1730" windowHeight="769" tabRatio="822" activeSheetId="11"/>
    <customWorkbookView name="Юрий - Личное представление" guid="{45C31AC1-6FB2-488C-94EA-BCF9E79D0043}" autoUpdate="1" mergeInterval="5" changesSavedWin="1" personalView="1" maximized="1" windowWidth="1664" windowHeight="846" activeSheetId="11"/>
    <customWorkbookView name="Чуракова О.И. - Личное представление" guid="{368B64E8-7AD6-4BC7-A731-9903B52ABB0C}" mergeInterval="0" personalView="1" maximized="1" windowWidth="1916" windowHeight="787" tabRatio="693" activeSheetId="6"/>
    <customWorkbookView name="Olga - Личное представление" guid="{40668DAD-2016-43AB-978A-7EBCCA65FC96}" autoUpdate="1" mergeInterval="5" changesSavedWin="1" personalView="1" maximized="1" windowWidth="1916" windowHeight="800" activeSheetId="18"/>
    <customWorkbookView name="V - Личное представление" guid="{D800552E-1EF8-4BC8-9EFF-0AF8FC74B053}" autoUpdate="1" mergeInterval="5" changesSavedWin="1" personalView="1" maximized="1" xWindow="1" yWindow="1" windowWidth="1863" windowHeight="709" tabRatio="872" activeSheetId="17"/>
    <customWorkbookView name="Vitaliy - Личное представление" guid="{7973495C-2D1B-4496-86DD-6D640B67D9E0}" autoUpdate="1" mergeInterval="5" changesSavedWin="1" personalView="1" maximized="1" xWindow="1" yWindow="1" windowWidth="1203" windowHeight="673" activeSheetId="4"/>
    <customWorkbookView name="Denis - Личное представление" guid="{743B2DB0-F89B-4C92-828D-4DFF07686802}" autoUpdate="1" mergeInterval="15" changesSavedWin="1" personalView="1" maximized="1" xWindow="1" yWindow="1" windowWidth="1916" windowHeight="850" activeSheetId="28"/>
    <customWorkbookView name="Admin - Личное представление" guid="{1E46D0D2-5EB1-4B45-84E6-5E310F8CA863}" autoUpdate="1" mergeInterval="5" changesSavedWin="1" personalView="1" maximized="1" xWindow="1" yWindow="1" windowWidth="1276" windowHeight="799" activeSheetId="28"/>
    <customWorkbookView name="Haritonov - Личное представление" guid="{4B518083-F65E-48E8-ADC7-1528A6709963}" mergeInterval="0" personalView="1" maximized="1" xWindow="1" yWindow="1" windowWidth="1640" windowHeight="828" activeSheetId="28"/>
    <customWorkbookView name="Vershinin - Личное представление" guid="{D74493B4-9A0D-44A9-BDAD-E8303CA6AC0B}" autoUpdate="1" mergeInterval="10" changesSavedWin="1" onlySync="1" personalView="1" maximized="1" xWindow="1" yWindow="1" windowWidth="1920" windowHeight="833" activeSheetId="28"/>
    <customWorkbookView name="PUFF - Личное представление" guid="{7FF8763C-5EAE-4155-B6F4-B9B4302A34DC}" mergeInterval="0" personalView="1" maximized="1" windowWidth="1916" windowHeight="821" activeSheetId="28"/>
    <customWorkbookView name="конструктор - Личное представление" guid="{595C289B-62FD-4FB6-95E2-E347BD6DF371}" mergeInterval="0" personalView="1" maximized="1" xWindow="1" yWindow="1" windowWidth="1280" windowHeight="516" activeSheetId="28" showComments="commIndAndComment"/>
    <customWorkbookView name="Dobrovol'skiy - Личное представление" guid="{CE90B6D7-6CF9-4F5C-A415-E92CBE354645}" mergeInterval="0" personalView="1" maximized="1" windowWidth="1276" windowHeight="886" tabRatio="693" activeSheetId="28"/>
    <customWorkbookView name="Dobrovol'sky - Личное представление" guid="{202332C7-DEBA-470A-9C98-20F63CD557EC}" autoUpdate="1" mergeInterval="10" changesSavedWin="1" personalView="1" maximized="1" xWindow="1" yWindow="1" windowWidth="1276" windowHeight="803" activeSheetId="28"/>
    <customWorkbookView name="Юрий Николаевич - Личное представление" guid="{655CDF27-F553-4D18-899D-92453CA0855F}" autoUpdate="1" mergeInterval="15" changesSavedWin="1" personalView="1" maximized="1" xWindow="1" yWindow="1" windowWidth="1668" windowHeight="854" activeSheetId="28"/>
    <customWorkbookView name="HaritonovYN - Личное представление" guid="{CD193133-C0DC-473A-9422-68E7CD1D9F26}" autoUpdate="1" mergeInterval="5" changesSavedWin="1" personalView="1" maximized="1" xWindow="1" yWindow="1" windowWidth="1672" windowHeight="847" activeSheetId="28"/>
    <customWorkbookView name="Сергей - Личное представление" guid="{6153701C-295C-4867-80BF-32714718E7BF}" mergeInterval="0" personalView="1" maximized="1" xWindow="-8" yWindow="-8" windowWidth="1616" windowHeight="876" activeSheetId="28"/>
    <customWorkbookView name="Быкова - Личное представление" guid="{B01E6157-5EA5-4419-A2B5-D705FADD05E9}" autoUpdate="1" mergeInterval="5" changesSavedWin="1" personalView="1" maximized="1" xWindow="1" yWindow="1" windowWidth="1203" windowHeight="673" activeSheetId="4"/>
    <customWorkbookView name="Vitaliy Dobrovolskiy - Личное представление" guid="{B92A8BD7-E721-4018-BAD7-BA8658CC8082}" autoUpdate="1" mergeInterval="5" changesSavedWin="1" personalView="1" maximized="1" xWindow="1" yWindow="1" windowWidth="1734" windowHeight="800" tabRatio="929" activeSheetId="28"/>
    <customWorkbookView name="Быкова В.П. - Личное представление" guid="{284DBE66-ADFD-4F9E-A431-13ED7075966F}" autoUpdate="1" mergeInterval="5" changesSavedWin="1" personalView="1" maximized="1" xWindow="1" yWindow="1" windowWidth="1251" windowHeight="593" tabRatio="874" activeSheetId="18"/>
    <customWorkbookView name="Гущина Лилия - Личное представление" guid="{991AEFF2-E4AE-41D0-B810-875DE90D90C4}" autoUpdate="1" mergeInterval="5" changesSavedWin="1" personalView="1" maximized="1" xWindow="1" yWindow="1" windowWidth="1920" windowHeight="697" activeSheetId="18"/>
    <customWorkbookView name="БородинаГС - Личное представление" guid="{415F9960-5313-4B8C-A857-E343B234574E}" autoUpdate="1" mergeInterval="5" changesSavedWin="1" personalView="1" maximized="1" xWindow="1" yWindow="1" windowWidth="1531" windowHeight="754" tabRatio="596" activeSheetId="17"/>
    <customWorkbookView name="bux1 - Личное представление" guid="{80DF195B-C3BE-44B8-BBAD-8A91B6EC45AB}" autoUpdate="1" mergeInterval="5" changesSavedWin="1" personalView="1" maximized="1" xWindow="1" yWindow="1" windowWidth="1600" windowHeight="604" activeSheetId="17"/>
    <customWorkbookView name="Anton - Личное представление" guid="{985ED1BC-53D6-40D6-BED0-BF19A973D3E0}" autoUpdate="1" mergeInterval="5" changesSavedWin="1" personalView="1" maximized="1" windowWidth="1916" windowHeight="830" activeSheetId="18"/>
    <customWorkbookView name="МасловаГА - Личное представление" guid="{CA0EFFCB-6323-469D-93EE-7365AC1A8B79}" mergeInterval="0" personalView="1" maximized="1" windowWidth="1596" windowHeight="731" tabRatio="693" activeSheetId="22"/>
    <customWorkbookView name="anton@cm43.ru - Личное представление" guid="{1168776E-3CE1-4C5E-BCD8-35079C55D78E}" autoUpdate="1" mergeInterval="5" changesSavedWin="1" personalView="1" maximized="1" windowWidth="1916" windowHeight="854" tabRatio="794" activeSheetId="3"/>
    <customWorkbookView name="Механики - Личное представление" guid="{845EA106-2CB5-4F86-BBCF-D0DE18153B1C}" autoUpdate="1" mergeInterval="5" changesSavedWin="1" personalView="1" maximized="1" windowWidth="1916" windowHeight="854" tabRatio="794" activeSheetId="11"/>
    <customWorkbookView name="Лилия - Личное представление" guid="{C29DA669-F4F9-44CD-9569-E796ADF74A86}" mergeInterval="0" personalView="1" maximized="1" windowWidth="1916" windowHeight="823" tabRatio="794" activeSheetId="10"/>
    <customWorkbookView name="VVV - Личное представление" guid="{A1BD6C0C-B1B9-4F48-A6B1-3BFD273F4CD7}" autoUpdate="1" mergeInterval="5" changesSavedWin="1" personalView="1" maximized="1" windowWidth="1858" windowHeight="752" tabRatio="822" activeSheetId="12"/>
    <customWorkbookView name="Microsoft - Личное представление" guid="{D42288F7-1871-4EF6-BC87-1B9EF747C744}" mergeInterval="0" personalView="1" maximized="1" xWindow="1" yWindow="1" windowWidth="1676" windowHeight="778" tabRatio="864" activeSheetId="13"/>
    <customWorkbookView name="Бородина - Личное представление" guid="{8C638750-2D78-446E-B8DA-A6202AF1ED31}" autoUpdate="1" mergeInterval="5" changesSavedWin="1" personalView="1" maximized="1" windowWidth="1916" windowHeight="734" tabRatio="794" activeSheetId="13"/>
  </customWorkbookViews>
</workbook>
</file>

<file path=xl/calcChain.xml><?xml version="1.0" encoding="utf-8"?>
<calcChain xmlns="http://schemas.openxmlformats.org/spreadsheetml/2006/main">
  <c r="L141" i="13" l="1"/>
  <c r="L142" i="13"/>
  <c r="F142" i="13"/>
  <c r="L140" i="13" l="1"/>
  <c r="L139" i="13"/>
  <c r="F141" i="13"/>
  <c r="L87" i="13"/>
  <c r="F87" i="13"/>
  <c r="L86" i="13"/>
  <c r="F86" i="13"/>
  <c r="L85" i="13"/>
  <c r="F85" i="13"/>
  <c r="L84" i="13"/>
  <c r="F84" i="13"/>
  <c r="L60" i="13"/>
  <c r="L59" i="13"/>
  <c r="L58" i="13"/>
  <c r="L57" i="13"/>
  <c r="L56" i="13"/>
  <c r="L55" i="13"/>
  <c r="L54" i="13"/>
  <c r="L53" i="13"/>
  <c r="L52" i="13"/>
  <c r="L51" i="13"/>
  <c r="L50" i="13"/>
  <c r="V150" i="13"/>
  <c r="U150" i="13"/>
  <c r="T150" i="13"/>
  <c r="S150" i="13"/>
  <c r="L150" i="13"/>
  <c r="F150" i="13"/>
  <c r="V148" i="13"/>
  <c r="U148" i="13"/>
  <c r="T148" i="13"/>
  <c r="S148" i="13"/>
  <c r="L148" i="13"/>
  <c r="F148" i="13"/>
  <c r="L90" i="13"/>
  <c r="L89" i="13"/>
  <c r="L88" i="13"/>
  <c r="L83" i="13"/>
  <c r="L82" i="13"/>
  <c r="L81" i="13"/>
  <c r="F90" i="13"/>
  <c r="F89" i="13"/>
  <c r="F88" i="13"/>
  <c r="F83" i="13"/>
  <c r="F82" i="13"/>
  <c r="F53" i="13"/>
  <c r="V146" i="13"/>
  <c r="U146" i="13"/>
  <c r="T146" i="13"/>
  <c r="S146" i="13"/>
  <c r="L146" i="13"/>
  <c r="F146" i="13"/>
  <c r="F35" i="13" l="1"/>
  <c r="H90" i="12"/>
  <c r="H40" i="18"/>
  <c r="H28" i="18"/>
  <c r="V119" i="13" l="1"/>
  <c r="U119" i="13"/>
  <c r="T119" i="13"/>
  <c r="S119" i="13"/>
  <c r="V118" i="13"/>
  <c r="U118" i="13"/>
  <c r="T118" i="13"/>
  <c r="S118" i="13"/>
  <c r="V117" i="13"/>
  <c r="U117" i="13"/>
  <c r="T117" i="13"/>
  <c r="S117" i="13"/>
  <c r="V116" i="13"/>
  <c r="U116" i="13"/>
  <c r="T116" i="13"/>
  <c r="S116" i="13"/>
  <c r="V115" i="13"/>
  <c r="U115" i="13"/>
  <c r="T115" i="13"/>
  <c r="S115" i="13"/>
  <c r="V114" i="13"/>
  <c r="U114" i="13"/>
  <c r="T114" i="13"/>
  <c r="S114" i="13"/>
  <c r="V113" i="13"/>
  <c r="U113" i="13"/>
  <c r="T113" i="13"/>
  <c r="S113" i="13"/>
  <c r="V112" i="13"/>
  <c r="U112" i="13"/>
  <c r="T112" i="13"/>
  <c r="S112" i="13"/>
  <c r="V111" i="13"/>
  <c r="U111" i="13"/>
  <c r="T111" i="13"/>
  <c r="S111" i="13"/>
  <c r="V110" i="13"/>
  <c r="U110" i="13"/>
  <c r="T110" i="13"/>
  <c r="S110" i="13"/>
  <c r="V71" i="13"/>
  <c r="U71" i="13"/>
  <c r="T71" i="13"/>
  <c r="S71" i="13"/>
  <c r="V70" i="13"/>
  <c r="U70" i="13"/>
  <c r="T70" i="13"/>
  <c r="S70" i="13"/>
  <c r="V69" i="13"/>
  <c r="U69" i="13"/>
  <c r="T69" i="13"/>
  <c r="S69" i="13"/>
  <c r="V68" i="13"/>
  <c r="U68" i="13"/>
  <c r="T68" i="13"/>
  <c r="S68" i="13"/>
  <c r="V67" i="13"/>
  <c r="U67" i="13"/>
  <c r="T67" i="13"/>
  <c r="S67" i="13"/>
  <c r="V66" i="13"/>
  <c r="U66" i="13"/>
  <c r="T66" i="13"/>
  <c r="S66" i="13"/>
  <c r="V65" i="13"/>
  <c r="U65" i="13"/>
  <c r="T65" i="13"/>
  <c r="S65" i="13"/>
  <c r="V64" i="13"/>
  <c r="U64" i="13"/>
  <c r="T64" i="13"/>
  <c r="S64" i="13"/>
  <c r="V34" i="13"/>
  <c r="U34" i="13"/>
  <c r="T34" i="13"/>
  <c r="S34" i="13"/>
  <c r="V33" i="13"/>
  <c r="U33" i="13"/>
  <c r="T33" i="13"/>
  <c r="S33" i="13"/>
  <c r="V32" i="13"/>
  <c r="U32" i="13"/>
  <c r="T32" i="13"/>
  <c r="S32" i="13"/>
  <c r="V31" i="13"/>
  <c r="U31" i="13"/>
  <c r="T31" i="13"/>
  <c r="S31" i="13"/>
  <c r="V144" i="13"/>
  <c r="U144" i="13"/>
  <c r="T144" i="13"/>
  <c r="S144" i="13"/>
  <c r="L144" i="13"/>
  <c r="F144" i="13"/>
  <c r="G7" i="12"/>
  <c r="L36" i="13"/>
  <c r="L34" i="13"/>
  <c r="L33" i="13"/>
  <c r="L32" i="13"/>
  <c r="L31" i="13"/>
  <c r="L30" i="13"/>
  <c r="F34" i="13"/>
  <c r="F33" i="13"/>
  <c r="F32" i="13"/>
  <c r="F31" i="13"/>
  <c r="L117" i="13"/>
  <c r="L116" i="13"/>
  <c r="L115" i="13"/>
  <c r="L114" i="13"/>
  <c r="L113" i="13"/>
  <c r="L112" i="13"/>
  <c r="L111" i="13"/>
  <c r="L110" i="13"/>
  <c r="L119" i="13"/>
  <c r="L118" i="13"/>
  <c r="L63" i="13" l="1"/>
  <c r="L64" i="13"/>
  <c r="L65" i="13"/>
  <c r="L66" i="13"/>
  <c r="L67" i="13"/>
  <c r="F63" i="13"/>
  <c r="F64" i="13"/>
  <c r="F65" i="13"/>
  <c r="F66" i="13"/>
  <c r="F67" i="13"/>
  <c r="F213" i="11"/>
  <c r="F215" i="11"/>
  <c r="F217" i="11"/>
  <c r="F219" i="11"/>
  <c r="F220" i="11"/>
  <c r="L217" i="11"/>
  <c r="L218" i="11"/>
  <c r="L219" i="11"/>
  <c r="L220" i="11"/>
  <c r="L221" i="11"/>
  <c r="L222" i="11"/>
  <c r="L223" i="11"/>
  <c r="L224" i="11"/>
  <c r="F145" i="13" l="1"/>
  <c r="F147" i="13"/>
  <c r="L145" i="13"/>
  <c r="L147" i="13"/>
  <c r="L149" i="13"/>
  <c r="S145" i="13"/>
  <c r="T145" i="13"/>
  <c r="U145" i="13"/>
  <c r="V145" i="13"/>
  <c r="S147" i="13"/>
  <c r="T147" i="13"/>
  <c r="U147" i="13"/>
  <c r="V147" i="13"/>
  <c r="S9" i="13"/>
  <c r="T9" i="13"/>
  <c r="U9" i="13"/>
  <c r="V9" i="13"/>
  <c r="S10" i="13"/>
  <c r="T10" i="13"/>
  <c r="U10" i="13"/>
  <c r="V10" i="13"/>
  <c r="S11" i="13"/>
  <c r="T11" i="13"/>
  <c r="U11" i="13"/>
  <c r="V11" i="13"/>
  <c r="S12" i="13"/>
  <c r="T12" i="13"/>
  <c r="U12" i="13"/>
  <c r="V12" i="13"/>
  <c r="S13" i="13"/>
  <c r="T13" i="13"/>
  <c r="U13" i="13"/>
  <c r="V13" i="13"/>
  <c r="S14" i="13"/>
  <c r="T14" i="13"/>
  <c r="U14" i="13"/>
  <c r="V14" i="13"/>
  <c r="S15" i="13"/>
  <c r="T15" i="13"/>
  <c r="U15" i="13"/>
  <c r="V15" i="13"/>
  <c r="S16" i="13"/>
  <c r="T16" i="13"/>
  <c r="U16" i="13"/>
  <c r="V16" i="13"/>
  <c r="S17" i="13"/>
  <c r="T17" i="13"/>
  <c r="U17" i="13"/>
  <c r="V17" i="13"/>
  <c r="S18" i="13"/>
  <c r="T18" i="13"/>
  <c r="U18" i="13"/>
  <c r="V18" i="13"/>
  <c r="S19" i="13"/>
  <c r="T19" i="13"/>
  <c r="U19" i="13"/>
  <c r="V19" i="13"/>
  <c r="S20" i="13"/>
  <c r="T20" i="13"/>
  <c r="U20" i="13"/>
  <c r="V20" i="13"/>
  <c r="S21" i="13"/>
  <c r="T21" i="13"/>
  <c r="U21" i="13"/>
  <c r="V21" i="13"/>
  <c r="S22" i="13"/>
  <c r="T22" i="13"/>
  <c r="U22" i="13"/>
  <c r="V22" i="13"/>
  <c r="S23" i="13"/>
  <c r="T23" i="13"/>
  <c r="U23" i="13"/>
  <c r="V23" i="13"/>
  <c r="S24" i="13"/>
  <c r="T24" i="13"/>
  <c r="U24" i="13"/>
  <c r="V24" i="13"/>
  <c r="S25" i="13"/>
  <c r="T25" i="13"/>
  <c r="U25" i="13"/>
  <c r="V25" i="13"/>
  <c r="S26" i="13"/>
  <c r="T26" i="13"/>
  <c r="U26" i="13"/>
  <c r="V26" i="13"/>
  <c r="S27" i="13"/>
  <c r="T27" i="13"/>
  <c r="U27" i="13"/>
  <c r="V27" i="13"/>
  <c r="S28" i="13"/>
  <c r="T28" i="13"/>
  <c r="U28" i="13"/>
  <c r="V28" i="13"/>
  <c r="S29" i="13"/>
  <c r="T29" i="13"/>
  <c r="U29" i="13"/>
  <c r="V29" i="13"/>
  <c r="S30" i="13"/>
  <c r="T30" i="13"/>
  <c r="U30" i="13"/>
  <c r="V30" i="13"/>
  <c r="S36" i="13"/>
  <c r="T36" i="13"/>
  <c r="U36" i="13"/>
  <c r="V36" i="13"/>
  <c r="S37" i="13"/>
  <c r="T37" i="13"/>
  <c r="U37" i="13"/>
  <c r="V37" i="13"/>
  <c r="S38" i="13"/>
  <c r="T38" i="13"/>
  <c r="U38" i="13"/>
  <c r="V38" i="13"/>
  <c r="S39" i="13"/>
  <c r="T39" i="13"/>
  <c r="U39" i="13"/>
  <c r="V39" i="13"/>
  <c r="S40" i="13"/>
  <c r="T40" i="13"/>
  <c r="U40" i="13"/>
  <c r="V40" i="13"/>
  <c r="S41" i="13"/>
  <c r="T41" i="13"/>
  <c r="U41" i="13"/>
  <c r="V41" i="13"/>
  <c r="S42" i="13"/>
  <c r="T42" i="13"/>
  <c r="U42" i="13"/>
  <c r="V42" i="13"/>
  <c r="S43" i="13"/>
  <c r="T43" i="13"/>
  <c r="U43" i="13"/>
  <c r="V43" i="13"/>
  <c r="S44" i="13"/>
  <c r="T44" i="13"/>
  <c r="U44" i="13"/>
  <c r="V44" i="13"/>
  <c r="S45" i="13"/>
  <c r="T45" i="13"/>
  <c r="U45" i="13"/>
  <c r="V45" i="13"/>
  <c r="S46" i="13"/>
  <c r="T46" i="13"/>
  <c r="U46" i="13"/>
  <c r="V46" i="13"/>
  <c r="S47" i="13"/>
  <c r="T47" i="13"/>
  <c r="U47" i="13"/>
  <c r="V47" i="13"/>
  <c r="S48" i="13"/>
  <c r="T48" i="13"/>
  <c r="U48" i="13"/>
  <c r="V48" i="13"/>
  <c r="S49" i="13"/>
  <c r="T49" i="13"/>
  <c r="U49" i="13"/>
  <c r="V49" i="13"/>
  <c r="S50" i="13"/>
  <c r="T50" i="13"/>
  <c r="U50" i="13"/>
  <c r="V50" i="13"/>
  <c r="S51" i="13"/>
  <c r="T51" i="13"/>
  <c r="U51" i="13"/>
  <c r="V51" i="13"/>
  <c r="S52" i="13"/>
  <c r="T52" i="13"/>
  <c r="U52" i="13"/>
  <c r="V52" i="13"/>
  <c r="S54" i="13"/>
  <c r="T54" i="13"/>
  <c r="U54" i="13"/>
  <c r="V54" i="13"/>
  <c r="S55" i="13"/>
  <c r="T55" i="13"/>
  <c r="U55" i="13"/>
  <c r="V55" i="13"/>
  <c r="S56" i="13"/>
  <c r="T56" i="13"/>
  <c r="U56" i="13"/>
  <c r="V56" i="13"/>
  <c r="S57" i="13"/>
  <c r="T57" i="13"/>
  <c r="U57" i="13"/>
  <c r="V57" i="13"/>
  <c r="S58" i="13"/>
  <c r="T58" i="13"/>
  <c r="U58" i="13"/>
  <c r="V58" i="13"/>
  <c r="S59" i="13"/>
  <c r="T59" i="13"/>
  <c r="U59" i="13"/>
  <c r="V59" i="13"/>
  <c r="S60" i="13"/>
  <c r="T60" i="13"/>
  <c r="U60" i="13"/>
  <c r="V60" i="13"/>
  <c r="S61" i="13"/>
  <c r="T61" i="13"/>
  <c r="U61" i="13"/>
  <c r="V61" i="13"/>
  <c r="S62" i="13"/>
  <c r="T62" i="13"/>
  <c r="U62" i="13"/>
  <c r="V62" i="13"/>
  <c r="S63" i="13"/>
  <c r="T63" i="13"/>
  <c r="U63" i="13"/>
  <c r="V63" i="13"/>
  <c r="S72" i="13"/>
  <c r="T72" i="13"/>
  <c r="U72" i="13"/>
  <c r="V72" i="13"/>
  <c r="S73" i="13"/>
  <c r="T73" i="13"/>
  <c r="U73" i="13"/>
  <c r="V73" i="13"/>
  <c r="S74" i="13"/>
  <c r="T74" i="13"/>
  <c r="U74" i="13"/>
  <c r="V74" i="13"/>
  <c r="S75" i="13"/>
  <c r="T75" i="13"/>
  <c r="U75" i="13"/>
  <c r="V75" i="13"/>
  <c r="S76" i="13"/>
  <c r="T76" i="13"/>
  <c r="U76" i="13"/>
  <c r="V76" i="13"/>
  <c r="S77" i="13"/>
  <c r="T77" i="13"/>
  <c r="U77" i="13"/>
  <c r="V77" i="13"/>
  <c r="S78" i="13"/>
  <c r="T78" i="13"/>
  <c r="U78" i="13"/>
  <c r="V78" i="13"/>
  <c r="S79" i="13"/>
  <c r="T79" i="13"/>
  <c r="U79" i="13"/>
  <c r="V79" i="13"/>
  <c r="S80" i="13"/>
  <c r="T80" i="13"/>
  <c r="U80" i="13"/>
  <c r="V80" i="13"/>
  <c r="S81" i="13"/>
  <c r="T81" i="13"/>
  <c r="U81" i="13"/>
  <c r="V81" i="13"/>
  <c r="S82" i="13"/>
  <c r="T82" i="13"/>
  <c r="U82" i="13"/>
  <c r="V82" i="13"/>
  <c r="S83" i="13"/>
  <c r="T83" i="13"/>
  <c r="U83" i="13"/>
  <c r="V83" i="13"/>
  <c r="S88" i="13"/>
  <c r="T88" i="13"/>
  <c r="U88" i="13"/>
  <c r="V88" i="13"/>
  <c r="S89" i="13"/>
  <c r="T89" i="13"/>
  <c r="U89" i="13"/>
  <c r="V89" i="13"/>
  <c r="S90" i="13"/>
  <c r="T90" i="13"/>
  <c r="U90" i="13"/>
  <c r="V90" i="13"/>
  <c r="S91" i="13"/>
  <c r="T91" i="13"/>
  <c r="U91" i="13"/>
  <c r="V91" i="13"/>
  <c r="S92" i="13"/>
  <c r="T92" i="13"/>
  <c r="U92" i="13"/>
  <c r="V92" i="13"/>
  <c r="S93" i="13"/>
  <c r="T93" i="13"/>
  <c r="U93" i="13"/>
  <c r="V93" i="13"/>
  <c r="S94" i="13"/>
  <c r="T94" i="13"/>
  <c r="U94" i="13"/>
  <c r="V94" i="13"/>
  <c r="S95" i="13"/>
  <c r="T95" i="13"/>
  <c r="U95" i="13"/>
  <c r="V95" i="13"/>
  <c r="S96" i="13"/>
  <c r="T96" i="13"/>
  <c r="U96" i="13"/>
  <c r="V96" i="13"/>
  <c r="S97" i="13"/>
  <c r="T97" i="13"/>
  <c r="U97" i="13"/>
  <c r="V97" i="13"/>
  <c r="S98" i="13"/>
  <c r="T98" i="13"/>
  <c r="U98" i="13"/>
  <c r="V98" i="13"/>
  <c r="S99" i="13"/>
  <c r="T99" i="13"/>
  <c r="U99" i="13"/>
  <c r="V99" i="13"/>
  <c r="S100" i="13"/>
  <c r="T100" i="13"/>
  <c r="U100" i="13"/>
  <c r="V100" i="13"/>
  <c r="S101" i="13"/>
  <c r="T101" i="13"/>
  <c r="U101" i="13"/>
  <c r="V101" i="13"/>
  <c r="S102" i="13"/>
  <c r="T102" i="13"/>
  <c r="U102" i="13"/>
  <c r="V102" i="13"/>
  <c r="S103" i="13"/>
  <c r="T103" i="13"/>
  <c r="U103" i="13"/>
  <c r="V103" i="13"/>
  <c r="S104" i="13"/>
  <c r="T104" i="13"/>
  <c r="U104" i="13"/>
  <c r="V104" i="13"/>
  <c r="S105" i="13"/>
  <c r="T105" i="13"/>
  <c r="U105" i="13"/>
  <c r="V105" i="13"/>
  <c r="S106" i="13"/>
  <c r="T106" i="13"/>
  <c r="U106" i="13"/>
  <c r="V106" i="13"/>
  <c r="S107" i="13"/>
  <c r="T107" i="13"/>
  <c r="U107" i="13"/>
  <c r="V107" i="13"/>
  <c r="S108" i="13"/>
  <c r="T108" i="13"/>
  <c r="U108" i="13"/>
  <c r="V108" i="13"/>
  <c r="S109" i="13"/>
  <c r="T109" i="13"/>
  <c r="U109" i="13"/>
  <c r="V109" i="13"/>
  <c r="S120" i="13"/>
  <c r="T120" i="13"/>
  <c r="U120" i="13"/>
  <c r="V120" i="13"/>
  <c r="S121" i="13"/>
  <c r="T121" i="13"/>
  <c r="U121" i="13"/>
  <c r="V121" i="13"/>
  <c r="S122" i="13"/>
  <c r="T122" i="13"/>
  <c r="U122" i="13"/>
  <c r="V122" i="13"/>
  <c r="S123" i="13"/>
  <c r="T123" i="13"/>
  <c r="U123" i="13"/>
  <c r="V123" i="13"/>
  <c r="S124" i="13"/>
  <c r="T124" i="13"/>
  <c r="U124" i="13"/>
  <c r="V124" i="13"/>
  <c r="S125" i="13"/>
  <c r="T125" i="13"/>
  <c r="U125" i="13"/>
  <c r="V125" i="13"/>
  <c r="S126" i="13"/>
  <c r="T126" i="13"/>
  <c r="U126" i="13"/>
  <c r="V126" i="13"/>
  <c r="S127" i="13"/>
  <c r="T127" i="13"/>
  <c r="U127" i="13"/>
  <c r="V127" i="13"/>
  <c r="S128" i="13"/>
  <c r="T128" i="13"/>
  <c r="U128" i="13"/>
  <c r="V128" i="13"/>
  <c r="S129" i="13"/>
  <c r="T129" i="13"/>
  <c r="U129" i="13"/>
  <c r="V129" i="13"/>
  <c r="S130" i="13"/>
  <c r="T130" i="13"/>
  <c r="U130" i="13"/>
  <c r="V130" i="13"/>
  <c r="S131" i="13"/>
  <c r="T131" i="13"/>
  <c r="U131" i="13"/>
  <c r="V131" i="13"/>
  <c r="S132" i="13"/>
  <c r="T132" i="13"/>
  <c r="U132" i="13"/>
  <c r="V132" i="13"/>
  <c r="S133" i="13"/>
  <c r="T133" i="13"/>
  <c r="U133" i="13"/>
  <c r="V133" i="13"/>
  <c r="S134" i="13"/>
  <c r="T134" i="13"/>
  <c r="U134" i="13"/>
  <c r="V134" i="13"/>
  <c r="S135" i="13"/>
  <c r="T135" i="13"/>
  <c r="U135" i="13"/>
  <c r="V135" i="13"/>
  <c r="S136" i="13"/>
  <c r="T136" i="13"/>
  <c r="U136" i="13"/>
  <c r="V136" i="13"/>
  <c r="S137" i="13"/>
  <c r="T137" i="13"/>
  <c r="U137" i="13"/>
  <c r="V137" i="13"/>
  <c r="S138" i="13"/>
  <c r="T138" i="13"/>
  <c r="U138" i="13"/>
  <c r="V138" i="13"/>
  <c r="T139" i="13"/>
  <c r="U139" i="13"/>
  <c r="V139" i="13"/>
  <c r="S140" i="13"/>
  <c r="T140" i="13"/>
  <c r="U140" i="13"/>
  <c r="V140" i="13"/>
  <c r="S143" i="13"/>
  <c r="T143" i="13"/>
  <c r="U143" i="13"/>
  <c r="V143" i="13"/>
  <c r="S149" i="13"/>
  <c r="T149" i="13"/>
  <c r="U149" i="13"/>
  <c r="V149" i="13"/>
  <c r="S151" i="13"/>
  <c r="T151" i="13"/>
  <c r="U151" i="13"/>
  <c r="V151" i="13"/>
  <c r="S152" i="13"/>
  <c r="T152" i="13"/>
  <c r="U152" i="13"/>
  <c r="V152" i="13"/>
  <c r="S153" i="13"/>
  <c r="T153" i="13"/>
  <c r="U153" i="13"/>
  <c r="V153" i="13"/>
  <c r="S154" i="13"/>
  <c r="T154" i="13"/>
  <c r="U154" i="13"/>
  <c r="V154" i="13"/>
  <c r="S155" i="13"/>
  <c r="T155" i="13"/>
  <c r="U155" i="13"/>
  <c r="V155" i="13"/>
  <c r="S156" i="13"/>
  <c r="T156" i="13"/>
  <c r="U156" i="13"/>
  <c r="V156" i="13"/>
  <c r="F56" i="13"/>
  <c r="F57" i="13"/>
  <c r="F58" i="13"/>
  <c r="F59" i="13"/>
  <c r="H139" i="13" l="1"/>
  <c r="S139" i="13" s="1"/>
  <c r="L135" i="13" l="1"/>
  <c r="F135" i="13"/>
  <c r="L134" i="13"/>
  <c r="F134" i="13"/>
  <c r="L133" i="13"/>
  <c r="F133" i="13"/>
  <c r="L132" i="13"/>
  <c r="F132" i="13"/>
  <c r="L152" i="13" l="1"/>
  <c r="L151" i="13"/>
  <c r="L143" i="13"/>
  <c r="L138" i="13"/>
  <c r="L137" i="13"/>
  <c r="L136" i="13"/>
  <c r="L131" i="13"/>
  <c r="L130" i="13"/>
  <c r="L129" i="13"/>
  <c r="L128" i="13"/>
  <c r="L127" i="13"/>
  <c r="L126" i="13"/>
  <c r="L125" i="13"/>
  <c r="F152" i="13"/>
  <c r="F151" i="13"/>
  <c r="F149" i="13"/>
  <c r="F143" i="13"/>
  <c r="F140" i="13"/>
  <c r="F139" i="13"/>
  <c r="F138" i="13"/>
  <c r="F137" i="13"/>
  <c r="F136" i="13"/>
  <c r="F131" i="13"/>
  <c r="F130" i="13"/>
  <c r="F129" i="13"/>
  <c r="F128" i="13"/>
  <c r="F127" i="13"/>
  <c r="L62" i="13" l="1"/>
  <c r="F62" i="13"/>
  <c r="L72" i="13"/>
  <c r="L70" i="13"/>
  <c r="L69" i="13"/>
  <c r="L61" i="13"/>
  <c r="F70" i="13"/>
  <c r="F69" i="13"/>
  <c r="F61" i="13"/>
  <c r="F60" i="13"/>
  <c r="F30" i="13"/>
  <c r="L29" i="13"/>
  <c r="F29" i="13"/>
  <c r="L28" i="13"/>
  <c r="F28" i="13"/>
  <c r="L38" i="13"/>
  <c r="L37" i="13"/>
  <c r="L26" i="13"/>
  <c r="F39" i="13"/>
  <c r="F38" i="13"/>
  <c r="F37" i="13"/>
  <c r="F36" i="13"/>
  <c r="F26" i="13"/>
  <c r="F25" i="13"/>
  <c r="F24" i="13"/>
  <c r="C37" i="12" l="1"/>
  <c r="C29" i="12"/>
  <c r="C26" i="12"/>
  <c r="C23" i="12"/>
  <c r="V36" i="12"/>
  <c r="U36" i="12"/>
  <c r="T36" i="12"/>
  <c r="S36" i="12"/>
  <c r="V37" i="12"/>
  <c r="U37" i="12"/>
  <c r="T37" i="12"/>
  <c r="S37" i="12"/>
  <c r="K37" i="12"/>
  <c r="V35" i="12"/>
  <c r="U35" i="12"/>
  <c r="T35" i="12"/>
  <c r="S35" i="12"/>
  <c r="K35" i="12"/>
  <c r="E35" i="12"/>
  <c r="M35" i="12" l="1"/>
  <c r="H35" i="18"/>
  <c r="M37" i="12"/>
  <c r="H37" i="18"/>
  <c r="L37" i="12"/>
  <c r="N37" i="12"/>
  <c r="N35" i="12"/>
  <c r="L35" i="12"/>
  <c r="E37" i="12"/>
  <c r="L12" i="13" l="1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39" i="13"/>
  <c r="L40" i="13"/>
  <c r="L41" i="13"/>
  <c r="L42" i="13"/>
  <c r="L43" i="13"/>
  <c r="L44" i="13"/>
  <c r="L45" i="13"/>
  <c r="L46" i="13"/>
  <c r="L47" i="13"/>
  <c r="L48" i="13"/>
  <c r="L49" i="13"/>
  <c r="L73" i="13"/>
  <c r="L74" i="13"/>
  <c r="L75" i="13"/>
  <c r="L76" i="13"/>
  <c r="L77" i="13"/>
  <c r="L78" i="13"/>
  <c r="L79" i="13"/>
  <c r="L8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20" i="13"/>
  <c r="L121" i="13"/>
  <c r="L122" i="13"/>
  <c r="L123" i="13"/>
  <c r="L124" i="13"/>
  <c r="L153" i="13"/>
  <c r="L154" i="13"/>
  <c r="F45" i="13"/>
  <c r="F46" i="13"/>
  <c r="F47" i="13"/>
  <c r="F48" i="13"/>
  <c r="F49" i="13"/>
  <c r="F50" i="13"/>
  <c r="F51" i="13"/>
  <c r="F52" i="13"/>
  <c r="F54" i="13"/>
  <c r="F55" i="13"/>
  <c r="F72" i="13"/>
  <c r="F73" i="13"/>
  <c r="F74" i="13"/>
  <c r="F75" i="13"/>
  <c r="F76" i="13"/>
  <c r="F77" i="13"/>
  <c r="F78" i="13"/>
  <c r="F79" i="13"/>
  <c r="F80" i="13"/>
  <c r="F81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9" i="13"/>
  <c r="F120" i="13"/>
  <c r="F121" i="13"/>
  <c r="F122" i="13"/>
  <c r="F123" i="13"/>
  <c r="F124" i="13"/>
  <c r="F125" i="13"/>
  <c r="F126" i="13"/>
  <c r="F153" i="13"/>
  <c r="F154" i="13"/>
  <c r="F155" i="13"/>
  <c r="L156" i="13"/>
  <c r="F156" i="13"/>
  <c r="L155" i="13"/>
  <c r="F44" i="13"/>
  <c r="F43" i="13"/>
  <c r="F42" i="13"/>
  <c r="F41" i="13"/>
  <c r="F40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L11" i="13"/>
  <c r="F11" i="13"/>
  <c r="L10" i="13"/>
  <c r="F10" i="13"/>
  <c r="L9" i="13"/>
  <c r="F9" i="13"/>
  <c r="V8" i="13"/>
  <c r="V157" i="13" s="1"/>
  <c r="U8" i="13"/>
  <c r="U157" i="13" s="1"/>
  <c r="T8" i="13"/>
  <c r="T157" i="13" s="1"/>
  <c r="S8" i="13"/>
  <c r="S157" i="13" s="1"/>
  <c r="L8" i="13"/>
  <c r="F8" i="13"/>
  <c r="J9" i="14" l="1"/>
  <c r="L157" i="13"/>
  <c r="L96" i="12" s="1"/>
  <c r="H9" i="14" s="1"/>
  <c r="F157" i="13"/>
  <c r="E96" i="12" s="1"/>
  <c r="G9" i="14" s="1"/>
  <c r="V87" i="11"/>
  <c r="V86" i="11"/>
  <c r="V85" i="11"/>
  <c r="J29" i="10"/>
  <c r="J25" i="10"/>
  <c r="L216" i="11"/>
  <c r="L214" i="11"/>
  <c r="J23" i="10"/>
  <c r="J26" i="10"/>
  <c r="J22" i="10"/>
  <c r="J7" i="10"/>
  <c r="J90" i="10"/>
  <c r="D16" i="11"/>
  <c r="D13" i="11"/>
  <c r="L90" i="11"/>
  <c r="F90" i="11"/>
  <c r="L93" i="11"/>
  <c r="L92" i="11"/>
  <c r="L91" i="11"/>
  <c r="L89" i="11"/>
  <c r="L88" i="11"/>
  <c r="L87" i="11"/>
  <c r="L86" i="11"/>
  <c r="L85" i="11"/>
  <c r="F93" i="11"/>
  <c r="F92" i="11"/>
  <c r="F91" i="11"/>
  <c r="F89" i="11"/>
  <c r="F88" i="11"/>
  <c r="F87" i="11"/>
  <c r="I9" i="14" l="1"/>
  <c r="J42" i="10"/>
  <c r="L212" i="11"/>
  <c r="L211" i="11"/>
  <c r="L213" i="11"/>
  <c r="L215" i="11"/>
  <c r="L210" i="11"/>
  <c r="L209" i="11"/>
  <c r="L208" i="11"/>
  <c r="F222" i="11"/>
  <c r="F221" i="11"/>
  <c r="F210" i="11"/>
  <c r="F209" i="11"/>
  <c r="F208" i="11"/>
  <c r="L168" i="11" l="1"/>
  <c r="F168" i="11"/>
  <c r="L169" i="11"/>
  <c r="L167" i="11"/>
  <c r="L139" i="11" l="1"/>
  <c r="L140" i="11"/>
  <c r="L141" i="11"/>
  <c r="L142" i="11"/>
  <c r="L143" i="11"/>
  <c r="L144" i="11"/>
  <c r="L57" i="11"/>
  <c r="L58" i="11"/>
  <c r="L59" i="11"/>
  <c r="L60" i="11"/>
  <c r="L61" i="11"/>
  <c r="L62" i="11"/>
  <c r="L137" i="11"/>
  <c r="L138" i="11"/>
  <c r="L145" i="11"/>
  <c r="F137" i="11"/>
  <c r="F138" i="11"/>
  <c r="F139" i="11"/>
  <c r="F144" i="11"/>
  <c r="F145" i="11"/>
  <c r="F146" i="11"/>
  <c r="J37" i="10"/>
  <c r="V83" i="10" l="1"/>
  <c r="U83" i="10"/>
  <c r="T83" i="10"/>
  <c r="S83" i="10"/>
  <c r="K83" i="10"/>
  <c r="N83" i="10" s="1"/>
  <c r="E83" i="10"/>
  <c r="V225" i="11"/>
  <c r="U225" i="11"/>
  <c r="T225" i="11"/>
  <c r="S225" i="11"/>
  <c r="L225" i="11"/>
  <c r="F225" i="11"/>
  <c r="V224" i="11"/>
  <c r="U224" i="11"/>
  <c r="T224" i="11"/>
  <c r="S224" i="11"/>
  <c r="F224" i="11"/>
  <c r="F223" i="11"/>
  <c r="L207" i="11"/>
  <c r="F207" i="11"/>
  <c r="L206" i="11"/>
  <c r="F206" i="11"/>
  <c r="L204" i="11"/>
  <c r="F204" i="11"/>
  <c r="L205" i="11"/>
  <c r="F205" i="11"/>
  <c r="C29" i="10"/>
  <c r="C26" i="10"/>
  <c r="C23" i="10"/>
  <c r="C24" i="10"/>
  <c r="C22" i="10"/>
  <c r="C25" i="10"/>
  <c r="C37" i="10"/>
  <c r="L83" i="10" l="1"/>
  <c r="M83" i="10"/>
  <c r="C24" i="12"/>
  <c r="C22" i="12"/>
  <c r="E22" i="12" s="1"/>
  <c r="M96" i="12"/>
  <c r="V94" i="12"/>
  <c r="U94" i="12"/>
  <c r="T94" i="12"/>
  <c r="S94" i="12"/>
  <c r="V93" i="12"/>
  <c r="U93" i="12"/>
  <c r="T93" i="12"/>
  <c r="S93" i="12"/>
  <c r="K93" i="12"/>
  <c r="N93" i="12" s="1"/>
  <c r="E93" i="12"/>
  <c r="V92" i="12"/>
  <c r="U92" i="12"/>
  <c r="T92" i="12"/>
  <c r="S92" i="12"/>
  <c r="K92" i="12"/>
  <c r="L92" i="12" s="1"/>
  <c r="E92" i="12"/>
  <c r="V91" i="12"/>
  <c r="U91" i="12"/>
  <c r="T91" i="12"/>
  <c r="S91" i="12"/>
  <c r="K91" i="12"/>
  <c r="M91" i="12" s="1"/>
  <c r="E91" i="12"/>
  <c r="U90" i="12"/>
  <c r="S90" i="12"/>
  <c r="V90" i="12"/>
  <c r="T90" i="12"/>
  <c r="E90" i="12"/>
  <c r="V89" i="12"/>
  <c r="U89" i="12"/>
  <c r="T89" i="12"/>
  <c r="S89" i="12"/>
  <c r="K89" i="12"/>
  <c r="M89" i="12" s="1"/>
  <c r="E89" i="12"/>
  <c r="V88" i="12"/>
  <c r="U88" i="12"/>
  <c r="T88" i="12"/>
  <c r="S88" i="12"/>
  <c r="K88" i="12"/>
  <c r="N88" i="12" s="1"/>
  <c r="E88" i="12"/>
  <c r="V87" i="12"/>
  <c r="U87" i="12"/>
  <c r="T87" i="12"/>
  <c r="S87" i="12"/>
  <c r="K87" i="12"/>
  <c r="M87" i="12" s="1"/>
  <c r="E87" i="12"/>
  <c r="V86" i="12"/>
  <c r="U86" i="12"/>
  <c r="T86" i="12"/>
  <c r="S86" i="12"/>
  <c r="K86" i="12"/>
  <c r="L86" i="12" s="1"/>
  <c r="E86" i="12"/>
  <c r="V85" i="12"/>
  <c r="U85" i="12"/>
  <c r="T85" i="12"/>
  <c r="S85" i="12"/>
  <c r="K85" i="12"/>
  <c r="M85" i="12" s="1"/>
  <c r="E85" i="12"/>
  <c r="V84" i="12"/>
  <c r="U84" i="12"/>
  <c r="T84" i="12"/>
  <c r="S84" i="12"/>
  <c r="K84" i="12"/>
  <c r="N84" i="12" s="1"/>
  <c r="E84" i="12"/>
  <c r="V83" i="12"/>
  <c r="U83" i="12"/>
  <c r="T83" i="12"/>
  <c r="S83" i="12"/>
  <c r="K83" i="12"/>
  <c r="M83" i="12" s="1"/>
  <c r="E83" i="12"/>
  <c r="V82" i="12"/>
  <c r="U82" i="12"/>
  <c r="T82" i="12"/>
  <c r="S82" i="12"/>
  <c r="K82" i="12"/>
  <c r="L82" i="12" s="1"/>
  <c r="E82" i="12"/>
  <c r="V81" i="12"/>
  <c r="U81" i="12"/>
  <c r="T81" i="12"/>
  <c r="S81" i="12"/>
  <c r="K81" i="12"/>
  <c r="M81" i="12" s="1"/>
  <c r="E81" i="12"/>
  <c r="V80" i="12"/>
  <c r="U80" i="12"/>
  <c r="T80" i="12"/>
  <c r="S80" i="12"/>
  <c r="K80" i="12"/>
  <c r="N80" i="12" s="1"/>
  <c r="E80" i="12"/>
  <c r="V79" i="12"/>
  <c r="U79" i="12"/>
  <c r="T79" i="12"/>
  <c r="S79" i="12"/>
  <c r="K79" i="12"/>
  <c r="M79" i="12" s="1"/>
  <c r="E79" i="12"/>
  <c r="V78" i="12"/>
  <c r="U78" i="12"/>
  <c r="T78" i="12"/>
  <c r="S78" i="12"/>
  <c r="K78" i="12"/>
  <c r="L78" i="12" s="1"/>
  <c r="E78" i="12"/>
  <c r="V77" i="12"/>
  <c r="U77" i="12"/>
  <c r="T77" i="12"/>
  <c r="S77" i="12"/>
  <c r="K77" i="12"/>
  <c r="M77" i="12" s="1"/>
  <c r="E77" i="12"/>
  <c r="V76" i="12"/>
  <c r="U76" i="12"/>
  <c r="T76" i="12"/>
  <c r="S76" i="12"/>
  <c r="K76" i="12"/>
  <c r="N76" i="12" s="1"/>
  <c r="E76" i="12"/>
  <c r="V75" i="12"/>
  <c r="U75" i="12"/>
  <c r="T75" i="12"/>
  <c r="S75" i="12"/>
  <c r="V74" i="12"/>
  <c r="U74" i="12"/>
  <c r="T74" i="12"/>
  <c r="S74" i="12"/>
  <c r="K74" i="12"/>
  <c r="E74" i="12"/>
  <c r="V73" i="12"/>
  <c r="U73" i="12"/>
  <c r="T73" i="12"/>
  <c r="S73" i="12"/>
  <c r="K73" i="12"/>
  <c r="E73" i="12"/>
  <c r="V72" i="12"/>
  <c r="U72" i="12"/>
  <c r="T72" i="12"/>
  <c r="S72" i="12"/>
  <c r="V71" i="12"/>
  <c r="U71" i="12"/>
  <c r="T71" i="12"/>
  <c r="S71" i="12"/>
  <c r="K71" i="12"/>
  <c r="E71" i="12"/>
  <c r="V70" i="12"/>
  <c r="U70" i="12"/>
  <c r="T70" i="12"/>
  <c r="S70" i="12"/>
  <c r="K70" i="12"/>
  <c r="E70" i="12"/>
  <c r="V69" i="12"/>
  <c r="U69" i="12"/>
  <c r="T69" i="12"/>
  <c r="S69" i="12"/>
  <c r="K69" i="12"/>
  <c r="E69" i="12"/>
  <c r="V68" i="12"/>
  <c r="U68" i="12"/>
  <c r="T68" i="12"/>
  <c r="S68" i="12"/>
  <c r="K68" i="12"/>
  <c r="E68" i="12"/>
  <c r="V67" i="12"/>
  <c r="U67" i="12"/>
  <c r="T67" i="12"/>
  <c r="S67" i="12"/>
  <c r="K67" i="12"/>
  <c r="E67" i="12"/>
  <c r="V66" i="12"/>
  <c r="U66" i="12"/>
  <c r="T66" i="12"/>
  <c r="S66" i="12"/>
  <c r="K66" i="12"/>
  <c r="E66" i="12"/>
  <c r="V65" i="12"/>
  <c r="U65" i="12"/>
  <c r="T65" i="12"/>
  <c r="S65" i="12"/>
  <c r="K65" i="12"/>
  <c r="E65" i="12"/>
  <c r="V64" i="12"/>
  <c r="U64" i="12"/>
  <c r="T64" i="12"/>
  <c r="S64" i="12"/>
  <c r="K64" i="12"/>
  <c r="E64" i="12"/>
  <c r="V63" i="12"/>
  <c r="U63" i="12"/>
  <c r="T63" i="12"/>
  <c r="S63" i="12"/>
  <c r="V62" i="12"/>
  <c r="U62" i="12"/>
  <c r="T62" i="12"/>
  <c r="S62" i="12"/>
  <c r="K62" i="12"/>
  <c r="E62" i="12"/>
  <c r="V61" i="12"/>
  <c r="U61" i="12"/>
  <c r="T61" i="12"/>
  <c r="S61" i="12"/>
  <c r="K61" i="12"/>
  <c r="E61" i="12"/>
  <c r="V60" i="12"/>
  <c r="U60" i="12"/>
  <c r="T60" i="12"/>
  <c r="S60" i="12"/>
  <c r="K60" i="12"/>
  <c r="E60" i="12"/>
  <c r="V59" i="12"/>
  <c r="U59" i="12"/>
  <c r="T59" i="12"/>
  <c r="S59" i="12"/>
  <c r="K59" i="12"/>
  <c r="E59" i="12"/>
  <c r="V58" i="12"/>
  <c r="U58" i="12"/>
  <c r="T58" i="12"/>
  <c r="S58" i="12"/>
  <c r="K58" i="12"/>
  <c r="E58" i="12"/>
  <c r="V57" i="12"/>
  <c r="U57" i="12"/>
  <c r="T57" i="12"/>
  <c r="S57" i="12"/>
  <c r="V56" i="12"/>
  <c r="U56" i="12"/>
  <c r="T56" i="12"/>
  <c r="S56" i="12"/>
  <c r="K56" i="12"/>
  <c r="E56" i="12"/>
  <c r="V55" i="12"/>
  <c r="U55" i="12"/>
  <c r="T55" i="12"/>
  <c r="S55" i="12"/>
  <c r="K55" i="12"/>
  <c r="E55" i="12"/>
  <c r="V54" i="12"/>
  <c r="U54" i="12"/>
  <c r="T54" i="12"/>
  <c r="S54" i="12"/>
  <c r="K54" i="12"/>
  <c r="E54" i="12"/>
  <c r="V53" i="12"/>
  <c r="U53" i="12"/>
  <c r="T53" i="12"/>
  <c r="S53" i="12"/>
  <c r="K53" i="12"/>
  <c r="E53" i="12"/>
  <c r="V52" i="12"/>
  <c r="U52" i="12"/>
  <c r="T52" i="12"/>
  <c r="S52" i="12"/>
  <c r="K52" i="12"/>
  <c r="E52" i="12"/>
  <c r="V51" i="12"/>
  <c r="U51" i="12"/>
  <c r="T51" i="12"/>
  <c r="S51" i="12"/>
  <c r="K51" i="12"/>
  <c r="E51" i="12"/>
  <c r="V50" i="12"/>
  <c r="U50" i="12"/>
  <c r="T50" i="12"/>
  <c r="S50" i="12"/>
  <c r="K50" i="12"/>
  <c r="E50" i="12"/>
  <c r="V49" i="12"/>
  <c r="U49" i="12"/>
  <c r="T49" i="12"/>
  <c r="S49" i="12"/>
  <c r="K49" i="12"/>
  <c r="E49" i="12"/>
  <c r="V48" i="12"/>
  <c r="U48" i="12"/>
  <c r="T48" i="12"/>
  <c r="S48" i="12"/>
  <c r="K48" i="12"/>
  <c r="E48" i="12"/>
  <c r="V47" i="12"/>
  <c r="U47" i="12"/>
  <c r="T47" i="12"/>
  <c r="S47" i="12"/>
  <c r="K47" i="12"/>
  <c r="E47" i="12"/>
  <c r="V46" i="12"/>
  <c r="U46" i="12"/>
  <c r="T46" i="12"/>
  <c r="S46" i="12"/>
  <c r="V45" i="12"/>
  <c r="U45" i="12"/>
  <c r="T45" i="12"/>
  <c r="S45" i="12"/>
  <c r="K45" i="12"/>
  <c r="E45" i="12"/>
  <c r="V44" i="12"/>
  <c r="U44" i="12"/>
  <c r="T44" i="12"/>
  <c r="S44" i="12"/>
  <c r="K44" i="12"/>
  <c r="E44" i="12"/>
  <c r="V43" i="12"/>
  <c r="U43" i="12"/>
  <c r="T43" i="12"/>
  <c r="S43" i="12"/>
  <c r="K43" i="12"/>
  <c r="E43" i="12"/>
  <c r="V42" i="12"/>
  <c r="T42" i="12"/>
  <c r="S42" i="12"/>
  <c r="K42" i="12"/>
  <c r="H42" i="18" s="1"/>
  <c r="E42" i="12"/>
  <c r="V41" i="12"/>
  <c r="U41" i="12"/>
  <c r="T41" i="12"/>
  <c r="S41" i="12"/>
  <c r="K41" i="12"/>
  <c r="E41" i="12"/>
  <c r="V40" i="12"/>
  <c r="U40" i="12"/>
  <c r="T40" i="12"/>
  <c r="S40" i="12"/>
  <c r="V39" i="12"/>
  <c r="U39" i="12"/>
  <c r="T39" i="12"/>
  <c r="S39" i="12"/>
  <c r="K39" i="12"/>
  <c r="E39" i="12"/>
  <c r="V38" i="12"/>
  <c r="U38" i="12"/>
  <c r="T38" i="12"/>
  <c r="S38" i="12"/>
  <c r="V34" i="12"/>
  <c r="U34" i="12"/>
  <c r="T34" i="12"/>
  <c r="S34" i="12"/>
  <c r="K34" i="12"/>
  <c r="E34" i="12"/>
  <c r="V33" i="12"/>
  <c r="U33" i="12"/>
  <c r="T33" i="12"/>
  <c r="S33" i="12"/>
  <c r="K33" i="12"/>
  <c r="E33" i="12"/>
  <c r="V32" i="12"/>
  <c r="U32" i="12"/>
  <c r="T32" i="12"/>
  <c r="S32" i="12"/>
  <c r="K32" i="12"/>
  <c r="E32" i="12"/>
  <c r="V31" i="12"/>
  <c r="U31" i="12"/>
  <c r="T31" i="12"/>
  <c r="S31" i="12"/>
  <c r="K31" i="12"/>
  <c r="E31" i="12"/>
  <c r="V30" i="12"/>
  <c r="U30" i="12"/>
  <c r="T30" i="12"/>
  <c r="S30" i="12"/>
  <c r="V29" i="12"/>
  <c r="U29" i="12"/>
  <c r="T29" i="12"/>
  <c r="S29" i="12"/>
  <c r="K29" i="12"/>
  <c r="E29" i="12"/>
  <c r="V28" i="12"/>
  <c r="U28" i="12"/>
  <c r="T28" i="12"/>
  <c r="S28" i="12"/>
  <c r="V27" i="12"/>
  <c r="U27" i="12"/>
  <c r="T27" i="12"/>
  <c r="S27" i="12"/>
  <c r="K27" i="12"/>
  <c r="E27" i="12"/>
  <c r="V26" i="12"/>
  <c r="U26" i="12"/>
  <c r="S26" i="12"/>
  <c r="K26" i="12"/>
  <c r="T26" i="12"/>
  <c r="E26" i="12"/>
  <c r="V25" i="12"/>
  <c r="U25" i="12"/>
  <c r="T25" i="12"/>
  <c r="S25" i="12"/>
  <c r="K25" i="12"/>
  <c r="E25" i="12"/>
  <c r="V24" i="12"/>
  <c r="U24" i="12"/>
  <c r="S24" i="12"/>
  <c r="K24" i="12"/>
  <c r="H24" i="18" s="1"/>
  <c r="E24" i="12"/>
  <c r="V23" i="12"/>
  <c r="U23" i="12"/>
  <c r="T23" i="12"/>
  <c r="S23" i="12"/>
  <c r="K23" i="12"/>
  <c r="E23" i="12"/>
  <c r="V22" i="12"/>
  <c r="U22" i="12"/>
  <c r="S22" i="12"/>
  <c r="K22" i="12"/>
  <c r="H22" i="18" s="1"/>
  <c r="V21" i="12"/>
  <c r="U21" i="12"/>
  <c r="T21" i="12"/>
  <c r="S21" i="12"/>
  <c r="V20" i="12"/>
  <c r="U20" i="12"/>
  <c r="T20" i="12"/>
  <c r="S20" i="12"/>
  <c r="K20" i="12"/>
  <c r="E20" i="12"/>
  <c r="V19" i="12"/>
  <c r="U19" i="12"/>
  <c r="T19" i="12"/>
  <c r="S19" i="12"/>
  <c r="K19" i="12"/>
  <c r="E19" i="12"/>
  <c r="V18" i="12"/>
  <c r="U18" i="12"/>
  <c r="T18" i="12"/>
  <c r="S18" i="12"/>
  <c r="K18" i="12"/>
  <c r="E18" i="12"/>
  <c r="V17" i="12"/>
  <c r="U17" i="12"/>
  <c r="T17" i="12"/>
  <c r="S17" i="12"/>
  <c r="K17" i="12"/>
  <c r="E17" i="12"/>
  <c r="V16" i="12"/>
  <c r="U16" i="12"/>
  <c r="T16" i="12"/>
  <c r="S16" i="12"/>
  <c r="K16" i="12"/>
  <c r="E16" i="12"/>
  <c r="V15" i="12"/>
  <c r="U15" i="12"/>
  <c r="T15" i="12"/>
  <c r="S15" i="12"/>
  <c r="K15" i="12"/>
  <c r="E15" i="12"/>
  <c r="V14" i="12"/>
  <c r="U14" i="12"/>
  <c r="T14" i="12"/>
  <c r="S14" i="12"/>
  <c r="K14" i="12"/>
  <c r="E14" i="12"/>
  <c r="V13" i="12"/>
  <c r="U13" i="12"/>
  <c r="T13" i="12"/>
  <c r="S13" i="12"/>
  <c r="K13" i="12"/>
  <c r="E13" i="12"/>
  <c r="V12" i="12"/>
  <c r="U12" i="12"/>
  <c r="T12" i="12"/>
  <c r="S12" i="12"/>
  <c r="K12" i="12"/>
  <c r="E12" i="12"/>
  <c r="V11" i="12"/>
  <c r="U11" i="12"/>
  <c r="T11" i="12"/>
  <c r="S11" i="12"/>
  <c r="K11" i="12"/>
  <c r="E11" i="12"/>
  <c r="V10" i="12"/>
  <c r="U10" i="12"/>
  <c r="T10" i="12"/>
  <c r="S10" i="12"/>
  <c r="V9" i="12"/>
  <c r="U9" i="12"/>
  <c r="T9" i="12"/>
  <c r="S9" i="12"/>
  <c r="V8" i="12"/>
  <c r="U8" i="12"/>
  <c r="T8" i="12"/>
  <c r="S8" i="12"/>
  <c r="V7" i="12"/>
  <c r="U7" i="12"/>
  <c r="S7" i="12"/>
  <c r="T7" i="12"/>
  <c r="E7" i="12"/>
  <c r="M13" i="12" l="1"/>
  <c r="H13" i="18"/>
  <c r="M23" i="12"/>
  <c r="H23" i="18"/>
  <c r="N26" i="12"/>
  <c r="H26" i="18"/>
  <c r="M25" i="12"/>
  <c r="H25" i="18"/>
  <c r="M27" i="12"/>
  <c r="H27" i="18"/>
  <c r="M29" i="12"/>
  <c r="H29" i="18"/>
  <c r="M31" i="12"/>
  <c r="H31" i="18"/>
  <c r="M32" i="12"/>
  <c r="H32" i="18"/>
  <c r="M33" i="12"/>
  <c r="H33" i="18"/>
  <c r="L34" i="12"/>
  <c r="H34" i="18"/>
  <c r="N39" i="12"/>
  <c r="H39" i="18"/>
  <c r="M41" i="12"/>
  <c r="H41" i="18"/>
  <c r="M11" i="12"/>
  <c r="H11" i="18"/>
  <c r="N12" i="12"/>
  <c r="H12" i="18"/>
  <c r="L14" i="12"/>
  <c r="H14" i="18"/>
  <c r="N43" i="12"/>
  <c r="H43" i="18"/>
  <c r="M44" i="12"/>
  <c r="H44" i="18"/>
  <c r="L45" i="12"/>
  <c r="H45" i="18"/>
  <c r="M47" i="12"/>
  <c r="H47" i="18"/>
  <c r="N48" i="12"/>
  <c r="H48" i="18"/>
  <c r="M49" i="12"/>
  <c r="H49" i="18"/>
  <c r="M51" i="12"/>
  <c r="H51" i="18"/>
  <c r="N52" i="12"/>
  <c r="H52" i="18"/>
  <c r="M53" i="12"/>
  <c r="H53" i="18"/>
  <c r="L54" i="12"/>
  <c r="H54" i="18"/>
  <c r="M55" i="12"/>
  <c r="H55" i="18"/>
  <c r="N56" i="12"/>
  <c r="H56" i="18"/>
  <c r="M58" i="12"/>
  <c r="H58" i="18"/>
  <c r="L59" i="12"/>
  <c r="H59" i="18"/>
  <c r="M60" i="12"/>
  <c r="H60" i="18"/>
  <c r="N61" i="12"/>
  <c r="H61" i="18"/>
  <c r="L62" i="12"/>
  <c r="H62" i="18"/>
  <c r="L64" i="12"/>
  <c r="H64" i="18"/>
  <c r="M65" i="12"/>
  <c r="H65" i="18"/>
  <c r="N66" i="12"/>
  <c r="H66" i="18"/>
  <c r="M67" i="12"/>
  <c r="H67" i="18"/>
  <c r="L68" i="12"/>
  <c r="H68" i="18"/>
  <c r="M69" i="12"/>
  <c r="H69" i="18"/>
  <c r="N70" i="12"/>
  <c r="H70" i="18"/>
  <c r="M71" i="12"/>
  <c r="H71" i="18"/>
  <c r="L73" i="12"/>
  <c r="H73" i="18"/>
  <c r="M74" i="12"/>
  <c r="H74" i="18"/>
  <c r="M15" i="12"/>
  <c r="H15" i="18"/>
  <c r="M17" i="12"/>
  <c r="H17" i="18"/>
  <c r="N19" i="12"/>
  <c r="H19" i="18"/>
  <c r="L50" i="12"/>
  <c r="H50" i="18"/>
  <c r="N16" i="12"/>
  <c r="H16" i="18"/>
  <c r="L18" i="12"/>
  <c r="H18" i="18"/>
  <c r="N20" i="12"/>
  <c r="H20" i="18"/>
  <c r="M80" i="12"/>
  <c r="L58" i="12"/>
  <c r="N11" i="12"/>
  <c r="L47" i="12"/>
  <c r="L87" i="12"/>
  <c r="L32" i="12"/>
  <c r="L67" i="12"/>
  <c r="M19" i="12"/>
  <c r="L23" i="12"/>
  <c r="L29" i="12"/>
  <c r="L44" i="12"/>
  <c r="L53" i="12"/>
  <c r="N60" i="12"/>
  <c r="N71" i="12"/>
  <c r="L85" i="12"/>
  <c r="V95" i="12"/>
  <c r="N15" i="12"/>
  <c r="N23" i="12"/>
  <c r="L25" i="12"/>
  <c r="L49" i="12"/>
  <c r="L55" i="12"/>
  <c r="L65" i="12"/>
  <c r="L77" i="12"/>
  <c r="N83" i="12"/>
  <c r="L89" i="12"/>
  <c r="N91" i="12"/>
  <c r="N49" i="12"/>
  <c r="N77" i="12"/>
  <c r="N31" i="12"/>
  <c r="N32" i="12"/>
  <c r="N44" i="12"/>
  <c r="L51" i="12"/>
  <c r="N58" i="12"/>
  <c r="N67" i="12"/>
  <c r="L79" i="12"/>
  <c r="N85" i="12"/>
  <c r="E95" i="12"/>
  <c r="S95" i="12"/>
  <c r="N13" i="12"/>
  <c r="N69" i="12"/>
  <c r="N74" i="12"/>
  <c r="N81" i="12"/>
  <c r="N17" i="12"/>
  <c r="N27" i="12"/>
  <c r="N33" i="12"/>
  <c r="N41" i="12"/>
  <c r="M62" i="12"/>
  <c r="L11" i="12"/>
  <c r="L15" i="12"/>
  <c r="L19" i="12"/>
  <c r="N25" i="12"/>
  <c r="N29" i="12"/>
  <c r="L31" i="12"/>
  <c r="N47" i="12"/>
  <c r="N51" i="12"/>
  <c r="N55" i="12"/>
  <c r="L60" i="12"/>
  <c r="N62" i="12"/>
  <c r="L71" i="12"/>
  <c r="N79" i="12"/>
  <c r="L83" i="12"/>
  <c r="M84" i="12"/>
  <c r="N89" i="12"/>
  <c r="L91" i="12"/>
  <c r="L13" i="12"/>
  <c r="L17" i="12"/>
  <c r="L27" i="12"/>
  <c r="L33" i="12"/>
  <c r="L41" i="12"/>
  <c r="N53" i="12"/>
  <c r="N65" i="12"/>
  <c r="L69" i="12"/>
  <c r="L74" i="12"/>
  <c r="M76" i="12"/>
  <c r="L81" i="12"/>
  <c r="N87" i="12"/>
  <c r="L93" i="12"/>
  <c r="N24" i="12"/>
  <c r="M24" i="12"/>
  <c r="L24" i="12"/>
  <c r="N42" i="12"/>
  <c r="M42" i="12"/>
  <c r="L42" i="12"/>
  <c r="N22" i="12"/>
  <c r="M22" i="12"/>
  <c r="L22" i="12"/>
  <c r="M14" i="12"/>
  <c r="M18" i="12"/>
  <c r="T22" i="12"/>
  <c r="T24" i="12"/>
  <c r="M34" i="12"/>
  <c r="M45" i="12"/>
  <c r="M50" i="12"/>
  <c r="M54" i="12"/>
  <c r="M59" i="12"/>
  <c r="M64" i="12"/>
  <c r="M68" i="12"/>
  <c r="M73" i="12"/>
  <c r="M78" i="12"/>
  <c r="M82" i="12"/>
  <c r="M86" i="12"/>
  <c r="K90" i="12"/>
  <c r="M92" i="12"/>
  <c r="L12" i="12"/>
  <c r="N14" i="12"/>
  <c r="L16" i="12"/>
  <c r="N18" i="12"/>
  <c r="L20" i="12"/>
  <c r="L26" i="12"/>
  <c r="N34" i="12"/>
  <c r="L39" i="12"/>
  <c r="U42" i="12"/>
  <c r="U95" i="12" s="1"/>
  <c r="L43" i="12"/>
  <c r="N45" i="12"/>
  <c r="L48" i="12"/>
  <c r="N50" i="12"/>
  <c r="L52" i="12"/>
  <c r="N54" i="12"/>
  <c r="L56" i="12"/>
  <c r="N59" i="12"/>
  <c r="L61" i="12"/>
  <c r="N64" i="12"/>
  <c r="L66" i="12"/>
  <c r="N68" i="12"/>
  <c r="L70" i="12"/>
  <c r="N73" i="12"/>
  <c r="L76" i="12"/>
  <c r="N78" i="12"/>
  <c r="L80" i="12"/>
  <c r="N82" i="12"/>
  <c r="L84" i="12"/>
  <c r="N86" i="12"/>
  <c r="L88" i="12"/>
  <c r="N92" i="12"/>
  <c r="M93" i="12"/>
  <c r="K7" i="12"/>
  <c r="H7" i="18" s="1"/>
  <c r="M12" i="12"/>
  <c r="M16" i="12"/>
  <c r="M20" i="12"/>
  <c r="M26" i="12"/>
  <c r="M39" i="12"/>
  <c r="M43" i="12"/>
  <c r="M48" i="12"/>
  <c r="M52" i="12"/>
  <c r="M56" i="12"/>
  <c r="M61" i="12"/>
  <c r="M66" i="12"/>
  <c r="M70" i="12"/>
  <c r="M88" i="12"/>
  <c r="T95" i="12" l="1"/>
  <c r="H95" i="12" s="1"/>
  <c r="E97" i="12"/>
  <c r="D9" i="14"/>
  <c r="J95" i="12"/>
  <c r="G95" i="12"/>
  <c r="I95" i="12"/>
  <c r="N90" i="12"/>
  <c r="M90" i="12"/>
  <c r="L90" i="12"/>
  <c r="L7" i="12"/>
  <c r="N7" i="12"/>
  <c r="M7" i="12"/>
  <c r="L95" i="12" l="1"/>
  <c r="E9" i="14" s="1"/>
  <c r="F9" i="14" s="1"/>
  <c r="C9" i="14"/>
  <c r="M95" i="12" l="1"/>
  <c r="L97" i="12"/>
  <c r="K9" i="14" s="1"/>
  <c r="M97" i="12" l="1"/>
  <c r="L100" i="12"/>
  <c r="V161" i="11"/>
  <c r="U161" i="11"/>
  <c r="T161" i="11"/>
  <c r="S161" i="11"/>
  <c r="L161" i="11"/>
  <c r="F161" i="11"/>
  <c r="L163" i="11" l="1"/>
  <c r="L164" i="11"/>
  <c r="L165" i="11"/>
  <c r="L166" i="11"/>
  <c r="F163" i="11"/>
  <c r="F164" i="11"/>
  <c r="F165" i="11"/>
  <c r="F166" i="11"/>
  <c r="F167" i="11"/>
  <c r="I42" i="10" l="1"/>
  <c r="I7" i="10"/>
  <c r="V139" i="11" l="1"/>
  <c r="U139" i="11"/>
  <c r="T139" i="11"/>
  <c r="S139" i="11"/>
  <c r="L201" i="11"/>
  <c r="L200" i="11"/>
  <c r="L199" i="11"/>
  <c r="L198" i="11"/>
  <c r="L197" i="11"/>
  <c r="L196" i="11"/>
  <c r="L195" i="11"/>
  <c r="L194" i="11"/>
  <c r="L193" i="11"/>
  <c r="L192" i="11"/>
  <c r="L191" i="11"/>
  <c r="L190" i="11"/>
  <c r="L189" i="11"/>
  <c r="L188" i="11"/>
  <c r="L187" i="11"/>
  <c r="L186" i="11"/>
  <c r="L185" i="11"/>
  <c r="L184" i="11"/>
  <c r="L183" i="11"/>
  <c r="L182" i="11"/>
  <c r="L181" i="11"/>
  <c r="L180" i="11"/>
  <c r="L179" i="11"/>
  <c r="L178" i="11"/>
  <c r="K24" i="15"/>
  <c r="J24" i="15"/>
  <c r="I24" i="15"/>
  <c r="H24" i="15"/>
  <c r="G24" i="15"/>
  <c r="F24" i="15"/>
  <c r="E24" i="15"/>
  <c r="D24" i="15"/>
  <c r="C24" i="15"/>
  <c r="Q22" i="15"/>
  <c r="O22" i="15"/>
  <c r="N22" i="15"/>
  <c r="M22" i="15"/>
  <c r="K22" i="15"/>
  <c r="K15" i="15"/>
  <c r="H15" i="15"/>
  <c r="G15" i="15"/>
  <c r="E15" i="15"/>
  <c r="D15" i="15"/>
  <c r="C15" i="15"/>
  <c r="K14" i="15"/>
  <c r="H14" i="15"/>
  <c r="G14" i="15"/>
  <c r="E14" i="15"/>
  <c r="D14" i="15"/>
  <c r="C14" i="15"/>
  <c r="K13" i="15"/>
  <c r="H13" i="15"/>
  <c r="G13" i="15"/>
  <c r="E13" i="15"/>
  <c r="D13" i="15"/>
  <c r="C13" i="15"/>
  <c r="K12" i="15"/>
  <c r="H12" i="15"/>
  <c r="G12" i="15"/>
  <c r="E12" i="15"/>
  <c r="D12" i="15"/>
  <c r="C12" i="15"/>
  <c r="K11" i="15"/>
  <c r="H11" i="15"/>
  <c r="G11" i="15"/>
  <c r="E11" i="15"/>
  <c r="D11" i="15"/>
  <c r="C11" i="15"/>
  <c r="K10" i="15"/>
  <c r="H10" i="15"/>
  <c r="G10" i="15"/>
  <c r="E10" i="15"/>
  <c r="D10" i="15"/>
  <c r="C10" i="15"/>
  <c r="K9" i="15"/>
  <c r="H9" i="15"/>
  <c r="G9" i="15"/>
  <c r="E9" i="15"/>
  <c r="D9" i="15"/>
  <c r="C9" i="15"/>
  <c r="K8" i="15"/>
  <c r="H8" i="15"/>
  <c r="G8" i="15"/>
  <c r="E8" i="15"/>
  <c r="D8" i="15"/>
  <c r="C8" i="15"/>
  <c r="K7" i="15"/>
  <c r="H7" i="15"/>
  <c r="G7" i="15"/>
  <c r="E7" i="15"/>
  <c r="D7" i="15"/>
  <c r="C7" i="15"/>
  <c r="K6" i="15"/>
  <c r="H6" i="15"/>
  <c r="G6" i="15"/>
  <c r="E6" i="15"/>
  <c r="D6" i="15"/>
  <c r="C6" i="15"/>
  <c r="K5" i="15"/>
  <c r="H5" i="15"/>
  <c r="G5" i="15"/>
  <c r="E5" i="15"/>
  <c r="D5" i="15"/>
  <c r="C5" i="15"/>
  <c r="J15" i="15"/>
  <c r="J14" i="15"/>
  <c r="J13" i="15"/>
  <c r="J12" i="15"/>
  <c r="J11" i="15"/>
  <c r="J10" i="15"/>
  <c r="J9" i="15"/>
  <c r="J8" i="15"/>
  <c r="J7" i="15"/>
  <c r="J6" i="15"/>
  <c r="J5" i="15"/>
  <c r="J4" i="15"/>
  <c r="K4" i="15"/>
  <c r="H4" i="15"/>
  <c r="G4" i="15"/>
  <c r="E4" i="15"/>
  <c r="D4" i="15"/>
  <c r="C4" i="15"/>
  <c r="L177" i="11"/>
  <c r="L203" i="11" l="1"/>
  <c r="L202" i="11"/>
  <c r="F7" i="15"/>
  <c r="I6" i="15"/>
  <c r="F6" i="15"/>
  <c r="I5" i="15"/>
  <c r="F5" i="15"/>
  <c r="I4" i="15"/>
  <c r="F4" i="15"/>
  <c r="L50" i="11" l="1"/>
  <c r="L51" i="11"/>
  <c r="L52" i="11"/>
  <c r="L53" i="11"/>
  <c r="L54" i="11"/>
  <c r="L55" i="11"/>
  <c r="L56" i="11"/>
  <c r="L63" i="11"/>
  <c r="F52" i="11"/>
  <c r="F53" i="11"/>
  <c r="F54" i="11"/>
  <c r="F55" i="11"/>
  <c r="F56" i="11"/>
  <c r="F57" i="11"/>
  <c r="F61" i="11"/>
  <c r="F62" i="11"/>
  <c r="F63" i="11"/>
  <c r="V158" i="11"/>
  <c r="U158" i="11"/>
  <c r="T158" i="11"/>
  <c r="S158" i="11"/>
  <c r="L158" i="11"/>
  <c r="F158" i="11"/>
  <c r="F203" i="11" l="1"/>
  <c r="F202" i="11"/>
  <c r="V177" i="11"/>
  <c r="U177" i="11"/>
  <c r="T177" i="11"/>
  <c r="S177" i="11"/>
  <c r="F177" i="11"/>
  <c r="V176" i="11"/>
  <c r="U176" i="11"/>
  <c r="T176" i="11"/>
  <c r="S176" i="11"/>
  <c r="L176" i="11"/>
  <c r="F176" i="11"/>
  <c r="V175" i="11"/>
  <c r="U175" i="11"/>
  <c r="T175" i="11"/>
  <c r="S175" i="11"/>
  <c r="L175" i="11"/>
  <c r="F175" i="11"/>
  <c r="V174" i="11"/>
  <c r="U174" i="11"/>
  <c r="T174" i="11"/>
  <c r="S174" i="11"/>
  <c r="L174" i="11"/>
  <c r="F174" i="11"/>
  <c r="V173" i="11"/>
  <c r="U173" i="11"/>
  <c r="T173" i="11"/>
  <c r="S173" i="11"/>
  <c r="L173" i="11"/>
  <c r="F173" i="11"/>
  <c r="V172" i="11"/>
  <c r="U172" i="11"/>
  <c r="T172" i="11"/>
  <c r="S172" i="11"/>
  <c r="L172" i="11"/>
  <c r="F172" i="11"/>
  <c r="L103" i="11" l="1"/>
  <c r="F103" i="11"/>
  <c r="L102" i="11"/>
  <c r="F102" i="11"/>
  <c r="V101" i="11"/>
  <c r="U101" i="11"/>
  <c r="T101" i="11"/>
  <c r="S101" i="11"/>
  <c r="L101" i="11"/>
  <c r="F101" i="11"/>
  <c r="V100" i="11"/>
  <c r="U100" i="11"/>
  <c r="T100" i="11"/>
  <c r="S100" i="11"/>
  <c r="L100" i="11"/>
  <c r="F100" i="11"/>
  <c r="G40" i="18" l="1"/>
  <c r="G28" i="18"/>
  <c r="C35" i="10" l="1"/>
  <c r="C32" i="10"/>
  <c r="C31" i="10"/>
  <c r="C33" i="10"/>
  <c r="L108" i="11" l="1"/>
  <c r="L107" i="11"/>
  <c r="L106" i="11"/>
  <c r="L105" i="11"/>
  <c r="L104" i="11"/>
  <c r="F108" i="11"/>
  <c r="F107" i="11"/>
  <c r="F106" i="11"/>
  <c r="F105" i="11"/>
  <c r="F104" i="11"/>
  <c r="F99" i="11"/>
  <c r="F98" i="11"/>
  <c r="F97" i="11"/>
  <c r="V138" i="11"/>
  <c r="U138" i="11"/>
  <c r="T138" i="11"/>
  <c r="S138" i="11"/>
  <c r="F136" i="11"/>
  <c r="L132" i="11"/>
  <c r="L133" i="11"/>
  <c r="L134" i="11"/>
  <c r="L135" i="11"/>
  <c r="L136" i="11"/>
  <c r="K24" i="16"/>
  <c r="J24" i="16"/>
  <c r="I24" i="16"/>
  <c r="H24" i="16"/>
  <c r="G24" i="16"/>
  <c r="F24" i="16"/>
  <c r="E24" i="16"/>
  <c r="D24" i="16"/>
  <c r="C24" i="16"/>
  <c r="Q22" i="16"/>
  <c r="O22" i="16"/>
  <c r="N22" i="16"/>
  <c r="M22" i="16"/>
  <c r="K22" i="16"/>
  <c r="J15" i="16"/>
  <c r="K15" i="16"/>
  <c r="H15" i="16"/>
  <c r="G15" i="16"/>
  <c r="E15" i="16"/>
  <c r="D15" i="16"/>
  <c r="C15" i="16"/>
  <c r="J14" i="16"/>
  <c r="K14" i="16"/>
  <c r="H14" i="16"/>
  <c r="G14" i="16"/>
  <c r="E14" i="16"/>
  <c r="D14" i="16"/>
  <c r="C14" i="16"/>
  <c r="J13" i="16"/>
  <c r="K13" i="16"/>
  <c r="H13" i="16"/>
  <c r="G13" i="16"/>
  <c r="E13" i="16"/>
  <c r="D13" i="16"/>
  <c r="C13" i="16"/>
  <c r="J12" i="16"/>
  <c r="K12" i="16"/>
  <c r="H12" i="16"/>
  <c r="G12" i="16"/>
  <c r="E12" i="16"/>
  <c r="D12" i="16"/>
  <c r="C12" i="16"/>
  <c r="J11" i="16"/>
  <c r="K11" i="16"/>
  <c r="H11" i="16"/>
  <c r="G11" i="16"/>
  <c r="E11" i="16"/>
  <c r="D11" i="16"/>
  <c r="C11" i="16"/>
  <c r="J10" i="16"/>
  <c r="K10" i="16"/>
  <c r="H10" i="16"/>
  <c r="G10" i="16"/>
  <c r="E10" i="16"/>
  <c r="D10" i="16"/>
  <c r="C10" i="16"/>
  <c r="J9" i="16"/>
  <c r="K9" i="16"/>
  <c r="H9" i="16"/>
  <c r="G9" i="16"/>
  <c r="E9" i="16"/>
  <c r="D9" i="16"/>
  <c r="C9" i="16"/>
  <c r="J8" i="16"/>
  <c r="K8" i="16"/>
  <c r="H8" i="16"/>
  <c r="G8" i="16"/>
  <c r="E8" i="16"/>
  <c r="D8" i="16"/>
  <c r="C8" i="16"/>
  <c r="J7" i="16"/>
  <c r="K7" i="16"/>
  <c r="H7" i="16"/>
  <c r="G7" i="16"/>
  <c r="E7" i="16"/>
  <c r="D7" i="16"/>
  <c r="C7" i="16"/>
  <c r="J6" i="16"/>
  <c r="K6" i="16"/>
  <c r="H6" i="16"/>
  <c r="G6" i="16"/>
  <c r="E6" i="16"/>
  <c r="D6" i="16"/>
  <c r="C6" i="16"/>
  <c r="J5" i="16"/>
  <c r="K5" i="16"/>
  <c r="H5" i="16"/>
  <c r="G5" i="16"/>
  <c r="E5" i="16"/>
  <c r="D5" i="16"/>
  <c r="C5" i="16"/>
  <c r="J4" i="16"/>
  <c r="K4" i="16"/>
  <c r="H4" i="16"/>
  <c r="G4" i="16"/>
  <c r="E4" i="16"/>
  <c r="D4" i="16"/>
  <c r="C4" i="16"/>
  <c r="H90" i="10" l="1"/>
  <c r="H24" i="10"/>
  <c r="H26" i="10"/>
  <c r="H22" i="10"/>
  <c r="H7" i="10"/>
  <c r="V36" i="10"/>
  <c r="U36" i="10"/>
  <c r="T36" i="10"/>
  <c r="S36" i="10"/>
  <c r="F86" i="11"/>
  <c r="F85" i="11"/>
  <c r="V84" i="11"/>
  <c r="U84" i="11"/>
  <c r="T84" i="11"/>
  <c r="S84" i="11"/>
  <c r="L84" i="11"/>
  <c r="F84" i="11"/>
  <c r="V155" i="11"/>
  <c r="U155" i="11"/>
  <c r="T155" i="11"/>
  <c r="S155" i="11"/>
  <c r="L155" i="11"/>
  <c r="F155" i="11"/>
  <c r="L94" i="11"/>
  <c r="L83" i="11"/>
  <c r="L82" i="11"/>
  <c r="L81" i="11"/>
  <c r="L80" i="11"/>
  <c r="F94" i="11"/>
  <c r="F83" i="11"/>
  <c r="F82" i="11"/>
  <c r="F81" i="11"/>
  <c r="L160" i="11" l="1"/>
  <c r="L157" i="11"/>
  <c r="L156" i="11"/>
  <c r="L154" i="11"/>
  <c r="L153" i="11"/>
  <c r="F157" i="11"/>
  <c r="F156" i="11"/>
  <c r="F154" i="11"/>
  <c r="L113" i="11"/>
  <c r="F113" i="11"/>
  <c r="V167" i="11"/>
  <c r="U167" i="11"/>
  <c r="T167" i="11"/>
  <c r="S167" i="11"/>
  <c r="V170" i="11"/>
  <c r="U170" i="11"/>
  <c r="T170" i="11"/>
  <c r="S170" i="11"/>
  <c r="L170" i="11"/>
  <c r="F170" i="11"/>
  <c r="F51" i="11"/>
  <c r="V112" i="11"/>
  <c r="U112" i="11"/>
  <c r="T112" i="11"/>
  <c r="S112" i="11"/>
  <c r="L116" i="11"/>
  <c r="L115" i="11"/>
  <c r="L114" i="11"/>
  <c r="L112" i="11"/>
  <c r="L111" i="11"/>
  <c r="L110" i="11"/>
  <c r="F117" i="11"/>
  <c r="F116" i="11"/>
  <c r="F115" i="11"/>
  <c r="F114" i="11"/>
  <c r="F112" i="11"/>
  <c r="F111" i="11"/>
  <c r="F110" i="11"/>
  <c r="V81" i="11"/>
  <c r="U81" i="11"/>
  <c r="T81" i="11"/>
  <c r="S81" i="11"/>
  <c r="V83" i="11"/>
  <c r="U83" i="11"/>
  <c r="T83" i="11"/>
  <c r="S83" i="11"/>
  <c r="V82" i="11"/>
  <c r="U82" i="11"/>
  <c r="T82" i="11"/>
  <c r="S82" i="11"/>
  <c r="V111" i="11"/>
  <c r="U111" i="11"/>
  <c r="T111" i="11"/>
  <c r="S111" i="11"/>
  <c r="V110" i="11"/>
  <c r="U110" i="11"/>
  <c r="T110" i="11"/>
  <c r="S110" i="11"/>
  <c r="V109" i="11"/>
  <c r="U109" i="11"/>
  <c r="T109" i="11"/>
  <c r="S109" i="11"/>
  <c r="L109" i="11"/>
  <c r="F109" i="11"/>
  <c r="L64" i="11"/>
  <c r="L49" i="11"/>
  <c r="L48" i="11"/>
  <c r="L47" i="11"/>
  <c r="L46" i="11"/>
  <c r="F64" i="11"/>
  <c r="F50" i="11"/>
  <c r="F49" i="11"/>
  <c r="V171" i="11" l="1"/>
  <c r="U171" i="11"/>
  <c r="T171" i="11"/>
  <c r="S171" i="11"/>
  <c r="V169" i="11"/>
  <c r="U169" i="11"/>
  <c r="T169" i="11"/>
  <c r="S169" i="11"/>
  <c r="V166" i="11"/>
  <c r="U166" i="11"/>
  <c r="T166" i="11"/>
  <c r="S166" i="11"/>
  <c r="V163" i="11"/>
  <c r="U163" i="11"/>
  <c r="T163" i="11"/>
  <c r="S163" i="11"/>
  <c r="V160" i="11"/>
  <c r="U160" i="11"/>
  <c r="T160" i="11"/>
  <c r="S160" i="11"/>
  <c r="V157" i="11"/>
  <c r="U157" i="11"/>
  <c r="T157" i="11"/>
  <c r="S157" i="11"/>
  <c r="V154" i="11"/>
  <c r="U154" i="11"/>
  <c r="T154" i="11"/>
  <c r="S154" i="11"/>
  <c r="V153" i="11"/>
  <c r="U153" i="11"/>
  <c r="T153" i="11"/>
  <c r="S153" i="11"/>
  <c r="V152" i="11"/>
  <c r="U152" i="11"/>
  <c r="T152" i="11"/>
  <c r="S152" i="11"/>
  <c r="V151" i="11"/>
  <c r="U151" i="11"/>
  <c r="T151" i="11"/>
  <c r="S151" i="11"/>
  <c r="V150" i="11"/>
  <c r="U150" i="11"/>
  <c r="T150" i="11"/>
  <c r="S150" i="11"/>
  <c r="V149" i="11"/>
  <c r="U149" i="11"/>
  <c r="T149" i="11"/>
  <c r="S149" i="11"/>
  <c r="V148" i="11"/>
  <c r="U148" i="11"/>
  <c r="T148" i="11"/>
  <c r="S148" i="11"/>
  <c r="V147" i="11"/>
  <c r="U147" i="11"/>
  <c r="T147" i="11"/>
  <c r="S147" i="11"/>
  <c r="V146" i="11"/>
  <c r="U146" i="11"/>
  <c r="T146" i="11"/>
  <c r="S146" i="11"/>
  <c r="V145" i="11"/>
  <c r="U145" i="11"/>
  <c r="T145" i="11"/>
  <c r="S145" i="11"/>
  <c r="V144" i="11"/>
  <c r="U144" i="11"/>
  <c r="T144" i="11"/>
  <c r="S144" i="11"/>
  <c r="V137" i="11"/>
  <c r="U137" i="11"/>
  <c r="T137" i="11"/>
  <c r="S137" i="11"/>
  <c r="V136" i="11"/>
  <c r="U136" i="11"/>
  <c r="T136" i="11"/>
  <c r="S136" i="11"/>
  <c r="V135" i="11"/>
  <c r="U135" i="11"/>
  <c r="T135" i="11"/>
  <c r="S135" i="11"/>
  <c r="V134" i="11"/>
  <c r="U134" i="11"/>
  <c r="T134" i="11"/>
  <c r="S134" i="11"/>
  <c r="V133" i="11"/>
  <c r="U133" i="11"/>
  <c r="T133" i="11"/>
  <c r="S133" i="11"/>
  <c r="V132" i="11"/>
  <c r="U132" i="11"/>
  <c r="T132" i="11"/>
  <c r="S132" i="11"/>
  <c r="V131" i="11"/>
  <c r="U131" i="11"/>
  <c r="T131" i="11"/>
  <c r="S131" i="11"/>
  <c r="V130" i="11"/>
  <c r="U130" i="11"/>
  <c r="T130" i="11"/>
  <c r="S130" i="11"/>
  <c r="V129" i="11"/>
  <c r="U129" i="11"/>
  <c r="T129" i="11"/>
  <c r="S129" i="11"/>
  <c r="V128" i="11"/>
  <c r="U128" i="11"/>
  <c r="T128" i="11"/>
  <c r="S128" i="11"/>
  <c r="V127" i="11"/>
  <c r="U127" i="11"/>
  <c r="T127" i="11"/>
  <c r="S127" i="11"/>
  <c r="V126" i="11"/>
  <c r="U126" i="11"/>
  <c r="T126" i="11"/>
  <c r="S126" i="11"/>
  <c r="V125" i="11"/>
  <c r="U125" i="11"/>
  <c r="T125" i="11"/>
  <c r="S125" i="11"/>
  <c r="V31" i="11"/>
  <c r="U31" i="11"/>
  <c r="T31" i="11"/>
  <c r="S31" i="11"/>
  <c r="V30" i="11"/>
  <c r="U30" i="11"/>
  <c r="T30" i="11"/>
  <c r="S30" i="11"/>
  <c r="V29" i="11"/>
  <c r="U29" i="11"/>
  <c r="T29" i="11"/>
  <c r="S29" i="11"/>
  <c r="V28" i="11"/>
  <c r="U28" i="11"/>
  <c r="T28" i="11"/>
  <c r="S28" i="11"/>
  <c r="V27" i="11"/>
  <c r="U27" i="11"/>
  <c r="T27" i="11"/>
  <c r="S27" i="11"/>
  <c r="V26" i="11"/>
  <c r="U26" i="11"/>
  <c r="T26" i="11"/>
  <c r="S26" i="11"/>
  <c r="V70" i="11"/>
  <c r="U70" i="11"/>
  <c r="T70" i="11"/>
  <c r="S70" i="11"/>
  <c r="V69" i="11"/>
  <c r="U69" i="11"/>
  <c r="T69" i="11"/>
  <c r="S69" i="11"/>
  <c r="V68" i="11"/>
  <c r="U68" i="11"/>
  <c r="T68" i="11"/>
  <c r="S68" i="11"/>
  <c r="V67" i="11"/>
  <c r="U67" i="11"/>
  <c r="T67" i="11"/>
  <c r="S67" i="11"/>
  <c r="V66" i="11"/>
  <c r="U66" i="11"/>
  <c r="T66" i="11"/>
  <c r="S66" i="11"/>
  <c r="V65" i="11"/>
  <c r="U65" i="11"/>
  <c r="T65" i="11"/>
  <c r="S65" i="11"/>
  <c r="V64" i="11"/>
  <c r="U64" i="11"/>
  <c r="T64" i="11"/>
  <c r="S64" i="11"/>
  <c r="V63" i="11"/>
  <c r="U63" i="11"/>
  <c r="T63" i="11"/>
  <c r="S63" i="11"/>
  <c r="V62" i="11"/>
  <c r="U62" i="11"/>
  <c r="T62" i="11"/>
  <c r="S62" i="11"/>
  <c r="V61" i="11"/>
  <c r="U61" i="11"/>
  <c r="T61" i="11"/>
  <c r="S61" i="11"/>
  <c r="V50" i="11"/>
  <c r="U50" i="11"/>
  <c r="T50" i="11"/>
  <c r="S50" i="11"/>
  <c r="V49" i="11"/>
  <c r="U49" i="11"/>
  <c r="T49" i="11"/>
  <c r="S49" i="11"/>
  <c r="V48" i="11"/>
  <c r="U48" i="11"/>
  <c r="T48" i="11"/>
  <c r="S48" i="11"/>
  <c r="V47" i="11"/>
  <c r="U47" i="11"/>
  <c r="T47" i="11"/>
  <c r="S47" i="11"/>
  <c r="V94" i="11"/>
  <c r="U94" i="11"/>
  <c r="T94" i="11"/>
  <c r="S94" i="11"/>
  <c r="V93" i="11"/>
  <c r="U93" i="11"/>
  <c r="T93" i="11"/>
  <c r="S93" i="11"/>
  <c r="V92" i="11"/>
  <c r="U92" i="11"/>
  <c r="T92" i="11"/>
  <c r="S92" i="11"/>
  <c r="K89" i="10"/>
  <c r="L89" i="10" s="1"/>
  <c r="L28" i="11"/>
  <c r="F28" i="11"/>
  <c r="L27" i="11"/>
  <c r="F27" i="11"/>
  <c r="F33" i="11"/>
  <c r="F32" i="11"/>
  <c r="F31" i="11"/>
  <c r="F30" i="11"/>
  <c r="F29" i="11"/>
  <c r="F26" i="11"/>
  <c r="F25" i="11"/>
  <c r="F24" i="11"/>
  <c r="F23" i="11"/>
  <c r="L78" i="11" l="1"/>
  <c r="L79" i="11"/>
  <c r="F78" i="11"/>
  <c r="F79" i="11"/>
  <c r="F80" i="11"/>
  <c r="L26" i="11"/>
  <c r="L29" i="11"/>
  <c r="L30" i="11"/>
  <c r="L31" i="11"/>
  <c r="F48" i="11"/>
  <c r="L152" i="11"/>
  <c r="F152" i="11"/>
  <c r="L45" i="11" l="1"/>
  <c r="F46" i="11"/>
  <c r="F47" i="11"/>
  <c r="V107" i="11" l="1"/>
  <c r="U107" i="11"/>
  <c r="T107" i="11"/>
  <c r="S107" i="11"/>
  <c r="L171" i="11"/>
  <c r="L151" i="11"/>
  <c r="L150" i="11"/>
  <c r="F171" i="11"/>
  <c r="F169" i="11"/>
  <c r="F160" i="11"/>
  <c r="F153" i="11"/>
  <c r="F151" i="11"/>
  <c r="F150" i="11"/>
  <c r="L149" i="11"/>
  <c r="F149" i="11"/>
  <c r="L68" i="11"/>
  <c r="F68" i="11"/>
  <c r="L67" i="11"/>
  <c r="F67" i="11"/>
  <c r="L70" i="11"/>
  <c r="L69" i="11"/>
  <c r="L66" i="11"/>
  <c r="L65" i="11"/>
  <c r="F69" i="11"/>
  <c r="F66" i="11"/>
  <c r="L99" i="11" l="1"/>
  <c r="L98" i="11"/>
  <c r="L146" i="11"/>
  <c r="F148" i="11"/>
  <c r="F147" i="11"/>
  <c r="F135" i="11"/>
  <c r="F134" i="11"/>
  <c r="F133" i="11"/>
  <c r="F132" i="11"/>
  <c r="F131" i="11"/>
  <c r="F130" i="11"/>
  <c r="F129" i="11"/>
  <c r="F128" i="11"/>
  <c r="F127" i="11"/>
  <c r="F126" i="11"/>
  <c r="F125" i="11"/>
  <c r="V119" i="11"/>
  <c r="U119" i="11"/>
  <c r="T119" i="11"/>
  <c r="S119" i="11"/>
  <c r="L119" i="11"/>
  <c r="F119" i="11"/>
  <c r="F121" i="11"/>
  <c r="F77" i="11"/>
  <c r="F65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L148" i="11" l="1"/>
  <c r="L147" i="11"/>
  <c r="L131" i="11"/>
  <c r="L130" i="11"/>
  <c r="L129" i="11"/>
  <c r="L128" i="11"/>
  <c r="L127" i="11"/>
  <c r="L126" i="11"/>
  <c r="L125" i="11"/>
  <c r="V124" i="11"/>
  <c r="U124" i="11"/>
  <c r="T124" i="11"/>
  <c r="S124" i="11"/>
  <c r="L124" i="11"/>
  <c r="F124" i="11"/>
  <c r="V123" i="11"/>
  <c r="U123" i="11"/>
  <c r="T123" i="11"/>
  <c r="S123" i="11"/>
  <c r="L123" i="11"/>
  <c r="F123" i="11"/>
  <c r="V122" i="11"/>
  <c r="U122" i="11"/>
  <c r="T122" i="11"/>
  <c r="S122" i="11"/>
  <c r="L122" i="11"/>
  <c r="F122" i="11"/>
  <c r="V121" i="11"/>
  <c r="U121" i="11"/>
  <c r="T121" i="11"/>
  <c r="S121" i="11"/>
  <c r="L121" i="11"/>
  <c r="V120" i="11"/>
  <c r="U120" i="11"/>
  <c r="T120" i="11"/>
  <c r="S120" i="11"/>
  <c r="L120" i="11"/>
  <c r="F120" i="11"/>
  <c r="V118" i="11"/>
  <c r="U118" i="11"/>
  <c r="T118" i="11"/>
  <c r="S118" i="11"/>
  <c r="L118" i="11"/>
  <c r="F118" i="11"/>
  <c r="V117" i="11"/>
  <c r="U117" i="11"/>
  <c r="T117" i="11"/>
  <c r="S117" i="11"/>
  <c r="L117" i="11"/>
  <c r="V116" i="11"/>
  <c r="U116" i="11"/>
  <c r="T116" i="11"/>
  <c r="S116" i="11"/>
  <c r="V115" i="11"/>
  <c r="U115" i="11"/>
  <c r="T115" i="11"/>
  <c r="S115" i="11"/>
  <c r="V106" i="11"/>
  <c r="U106" i="11"/>
  <c r="T106" i="11"/>
  <c r="S106" i="11"/>
  <c r="V105" i="11"/>
  <c r="U105" i="11"/>
  <c r="T105" i="11"/>
  <c r="S105" i="11"/>
  <c r="V99" i="11"/>
  <c r="U99" i="11"/>
  <c r="T99" i="11"/>
  <c r="S99" i="11"/>
  <c r="V98" i="11"/>
  <c r="U98" i="11"/>
  <c r="T98" i="11"/>
  <c r="S98" i="11"/>
  <c r="V97" i="11"/>
  <c r="U97" i="11"/>
  <c r="T97" i="11"/>
  <c r="S97" i="11"/>
  <c r="L97" i="11"/>
  <c r="V96" i="11"/>
  <c r="U96" i="11"/>
  <c r="T96" i="11"/>
  <c r="S96" i="11"/>
  <c r="L96" i="11"/>
  <c r="F96" i="11"/>
  <c r="V95" i="11"/>
  <c r="U95" i="11"/>
  <c r="T95" i="11"/>
  <c r="S95" i="11"/>
  <c r="L95" i="11"/>
  <c r="F95" i="11"/>
  <c r="V80" i="11"/>
  <c r="U80" i="11"/>
  <c r="T80" i="11"/>
  <c r="S80" i="11"/>
  <c r="V79" i="11"/>
  <c r="U79" i="11"/>
  <c r="T79" i="11"/>
  <c r="S79" i="11"/>
  <c r="V78" i="11"/>
  <c r="U78" i="11"/>
  <c r="T78" i="11"/>
  <c r="S78" i="11"/>
  <c r="V77" i="11"/>
  <c r="U77" i="11"/>
  <c r="T77" i="11"/>
  <c r="S77" i="11"/>
  <c r="L77" i="11"/>
  <c r="V76" i="11"/>
  <c r="U76" i="11"/>
  <c r="T76" i="11"/>
  <c r="S76" i="11"/>
  <c r="L76" i="11"/>
  <c r="F76" i="11"/>
  <c r="V75" i="11"/>
  <c r="U75" i="11"/>
  <c r="T75" i="11"/>
  <c r="S75" i="11"/>
  <c r="L75" i="11"/>
  <c r="F75" i="11"/>
  <c r="V74" i="11"/>
  <c r="U74" i="11"/>
  <c r="T74" i="11"/>
  <c r="S74" i="11"/>
  <c r="L74" i="11"/>
  <c r="F74" i="11"/>
  <c r="V73" i="11"/>
  <c r="U73" i="11"/>
  <c r="T73" i="11"/>
  <c r="S73" i="11"/>
  <c r="L73" i="11"/>
  <c r="F73" i="11"/>
  <c r="V72" i="11"/>
  <c r="U72" i="11"/>
  <c r="T72" i="11"/>
  <c r="S72" i="11"/>
  <c r="L72" i="11"/>
  <c r="F72" i="11"/>
  <c r="V71" i="11"/>
  <c r="U71" i="11"/>
  <c r="T71" i="11"/>
  <c r="S71" i="11"/>
  <c r="L71" i="11"/>
  <c r="F71" i="11"/>
  <c r="F70" i="11"/>
  <c r="V46" i="11"/>
  <c r="U46" i="11"/>
  <c r="T46" i="11"/>
  <c r="S46" i="11"/>
  <c r="V45" i="11"/>
  <c r="U45" i="11"/>
  <c r="T45" i="11"/>
  <c r="S45" i="11"/>
  <c r="V44" i="11"/>
  <c r="U44" i="11"/>
  <c r="T44" i="11"/>
  <c r="S44" i="11"/>
  <c r="L44" i="11"/>
  <c r="V43" i="11"/>
  <c r="U43" i="11"/>
  <c r="T43" i="11"/>
  <c r="S43" i="11"/>
  <c r="L43" i="11"/>
  <c r="V42" i="11"/>
  <c r="U42" i="11"/>
  <c r="T42" i="11"/>
  <c r="S42" i="11"/>
  <c r="L42" i="11"/>
  <c r="V41" i="11"/>
  <c r="U41" i="11"/>
  <c r="T41" i="11"/>
  <c r="S41" i="11"/>
  <c r="L41" i="11"/>
  <c r="V40" i="11"/>
  <c r="U40" i="11"/>
  <c r="T40" i="11"/>
  <c r="S40" i="11"/>
  <c r="L40" i="11"/>
  <c r="V39" i="11"/>
  <c r="U39" i="11"/>
  <c r="T39" i="11"/>
  <c r="S39" i="11"/>
  <c r="L39" i="11"/>
  <c r="V38" i="11"/>
  <c r="U38" i="11"/>
  <c r="T38" i="11"/>
  <c r="S38" i="11"/>
  <c r="L38" i="11"/>
  <c r="V37" i="11"/>
  <c r="U37" i="11"/>
  <c r="T37" i="11"/>
  <c r="S37" i="11"/>
  <c r="L37" i="11"/>
  <c r="V36" i="11"/>
  <c r="U36" i="11"/>
  <c r="T36" i="11"/>
  <c r="S36" i="11"/>
  <c r="L36" i="11"/>
  <c r="V35" i="11"/>
  <c r="U35" i="11"/>
  <c r="T35" i="11"/>
  <c r="S35" i="11"/>
  <c r="L35" i="11"/>
  <c r="V34" i="11"/>
  <c r="U34" i="11"/>
  <c r="T34" i="11"/>
  <c r="S34" i="11"/>
  <c r="L34" i="11"/>
  <c r="V33" i="11"/>
  <c r="U33" i="11"/>
  <c r="T33" i="11"/>
  <c r="S33" i="11"/>
  <c r="L33" i="11"/>
  <c r="V32" i="11"/>
  <c r="U32" i="11"/>
  <c r="T32" i="11"/>
  <c r="S32" i="11"/>
  <c r="L32" i="11"/>
  <c r="V25" i="11"/>
  <c r="U25" i="11"/>
  <c r="T25" i="11"/>
  <c r="S25" i="11"/>
  <c r="L25" i="11"/>
  <c r="V24" i="11"/>
  <c r="U24" i="11"/>
  <c r="T24" i="11"/>
  <c r="S24" i="11"/>
  <c r="L24" i="11"/>
  <c r="V23" i="11"/>
  <c r="U23" i="11"/>
  <c r="T23" i="11"/>
  <c r="S23" i="11"/>
  <c r="L23" i="11"/>
  <c r="V22" i="11"/>
  <c r="U22" i="11"/>
  <c r="T22" i="11"/>
  <c r="S22" i="11"/>
  <c r="L22" i="11"/>
  <c r="F22" i="11"/>
  <c r="V21" i="11"/>
  <c r="U21" i="11"/>
  <c r="T21" i="11"/>
  <c r="S21" i="11"/>
  <c r="L21" i="11"/>
  <c r="F21" i="11"/>
  <c r="V20" i="11"/>
  <c r="U20" i="11"/>
  <c r="T20" i="11"/>
  <c r="S20" i="11"/>
  <c r="L20" i="11"/>
  <c r="F20" i="11"/>
  <c r="V19" i="11"/>
  <c r="U19" i="11"/>
  <c r="T19" i="11"/>
  <c r="S19" i="11"/>
  <c r="L19" i="11"/>
  <c r="F19" i="11"/>
  <c r="V18" i="11"/>
  <c r="U18" i="11"/>
  <c r="T18" i="11"/>
  <c r="S18" i="11"/>
  <c r="L18" i="11"/>
  <c r="F18" i="11"/>
  <c r="V17" i="11"/>
  <c r="U17" i="11"/>
  <c r="T17" i="11"/>
  <c r="S17" i="11"/>
  <c r="L17" i="11"/>
  <c r="F17" i="11"/>
  <c r="V16" i="11"/>
  <c r="U16" i="11"/>
  <c r="T16" i="11"/>
  <c r="S16" i="11"/>
  <c r="L16" i="11"/>
  <c r="F16" i="11"/>
  <c r="V15" i="11"/>
  <c r="U15" i="11"/>
  <c r="T15" i="11"/>
  <c r="S15" i="11"/>
  <c r="L15" i="11"/>
  <c r="F15" i="11"/>
  <c r="V14" i="11"/>
  <c r="U14" i="11"/>
  <c r="T14" i="11"/>
  <c r="S14" i="11"/>
  <c r="L14" i="11"/>
  <c r="F14" i="11"/>
  <c r="V13" i="11"/>
  <c r="U13" i="11"/>
  <c r="T13" i="11"/>
  <c r="S13" i="11"/>
  <c r="L13" i="11"/>
  <c r="F13" i="11"/>
  <c r="V12" i="11"/>
  <c r="U12" i="11"/>
  <c r="T12" i="11"/>
  <c r="S12" i="11"/>
  <c r="L12" i="11"/>
  <c r="F12" i="11"/>
  <c r="V11" i="11"/>
  <c r="U11" i="11"/>
  <c r="T11" i="11"/>
  <c r="S11" i="11"/>
  <c r="L11" i="11"/>
  <c r="F11" i="11"/>
  <c r="V10" i="11"/>
  <c r="U10" i="11"/>
  <c r="T10" i="11"/>
  <c r="S10" i="11"/>
  <c r="L10" i="11"/>
  <c r="F10" i="11"/>
  <c r="V9" i="11"/>
  <c r="U9" i="11"/>
  <c r="T9" i="11"/>
  <c r="S9" i="11"/>
  <c r="L9" i="11"/>
  <c r="F9" i="11"/>
  <c r="V8" i="11"/>
  <c r="U8" i="11"/>
  <c r="T8" i="11"/>
  <c r="S8" i="11"/>
  <c r="L8" i="11"/>
  <c r="F8" i="11"/>
  <c r="L226" i="11" l="1"/>
  <c r="L96" i="10" s="1"/>
  <c r="H8" i="14" s="1"/>
  <c r="J8" i="14"/>
  <c r="S226" i="11"/>
  <c r="T226" i="11"/>
  <c r="V226" i="11"/>
  <c r="F226" i="11"/>
  <c r="E96" i="10" s="1"/>
  <c r="G8" i="14" s="1"/>
  <c r="U226" i="11"/>
  <c r="V37" i="10"/>
  <c r="U37" i="10"/>
  <c r="T37" i="10"/>
  <c r="S37" i="10"/>
  <c r="K37" i="10"/>
  <c r="E37" i="10"/>
  <c r="V35" i="10"/>
  <c r="U35" i="10"/>
  <c r="T35" i="10"/>
  <c r="S35" i="10"/>
  <c r="K35" i="10"/>
  <c r="E35" i="10"/>
  <c r="L213" i="9"/>
  <c r="L212" i="9"/>
  <c r="L159" i="9"/>
  <c r="L161" i="9"/>
  <c r="F161" i="9"/>
  <c r="N35" i="10" l="1"/>
  <c r="G35" i="18"/>
  <c r="N37" i="10"/>
  <c r="G37" i="18"/>
  <c r="I8" i="14"/>
  <c r="J226" i="11"/>
  <c r="K226" i="11"/>
  <c r="I226" i="11"/>
  <c r="H226" i="11"/>
  <c r="L35" i="10"/>
  <c r="M35" i="10"/>
  <c r="M37" i="10"/>
  <c r="L37" i="10"/>
  <c r="J90" i="8"/>
  <c r="J7" i="8"/>
  <c r="J96" i="10" l="1"/>
  <c r="G96" i="10"/>
  <c r="H96" i="10"/>
  <c r="I96" i="10"/>
  <c r="L210" i="9"/>
  <c r="F210" i="9"/>
  <c r="V34" i="10"/>
  <c r="U34" i="10"/>
  <c r="T34" i="10"/>
  <c r="S34" i="10"/>
  <c r="K34" i="10"/>
  <c r="E34" i="10"/>
  <c r="V40" i="10"/>
  <c r="U40" i="10"/>
  <c r="T40" i="10"/>
  <c r="S40" i="10"/>
  <c r="V39" i="10"/>
  <c r="U39" i="10"/>
  <c r="T39" i="10"/>
  <c r="S39" i="10"/>
  <c r="K39" i="10"/>
  <c r="E39" i="10"/>
  <c r="L225" i="9"/>
  <c r="L224" i="9"/>
  <c r="L223" i="9"/>
  <c r="L222" i="9"/>
  <c r="L221" i="9"/>
  <c r="L220" i="9"/>
  <c r="L219" i="9"/>
  <c r="L218" i="9"/>
  <c r="L217" i="9"/>
  <c r="L216" i="9"/>
  <c r="L215" i="9"/>
  <c r="L214" i="9"/>
  <c r="L209" i="9"/>
  <c r="L208" i="9"/>
  <c r="L207" i="9"/>
  <c r="L206" i="9"/>
  <c r="L205" i="9"/>
  <c r="L204" i="9"/>
  <c r="L203" i="9"/>
  <c r="L202" i="9"/>
  <c r="L201" i="9"/>
  <c r="L200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09" i="9"/>
  <c r="V29" i="9"/>
  <c r="U29" i="9"/>
  <c r="T29" i="9"/>
  <c r="S29" i="9"/>
  <c r="L29" i="9"/>
  <c r="F29" i="9"/>
  <c r="L93" i="9"/>
  <c r="V92" i="9"/>
  <c r="U92" i="9"/>
  <c r="T92" i="9"/>
  <c r="S92" i="9"/>
  <c r="L92" i="9"/>
  <c r="L91" i="9"/>
  <c r="L90" i="9"/>
  <c r="L89" i="9"/>
  <c r="N39" i="10" l="1"/>
  <c r="G39" i="18"/>
  <c r="M34" i="10"/>
  <c r="G34" i="18"/>
  <c r="N34" i="10"/>
  <c r="L34" i="10"/>
  <c r="M39" i="10"/>
  <c r="L39" i="10"/>
  <c r="F142" i="9" l="1"/>
  <c r="V208" i="9" l="1"/>
  <c r="U208" i="9"/>
  <c r="T208" i="9"/>
  <c r="S208" i="9"/>
  <c r="V207" i="9"/>
  <c r="U207" i="9"/>
  <c r="T207" i="9"/>
  <c r="S207" i="9"/>
  <c r="L199" i="9"/>
  <c r="L198" i="9"/>
  <c r="L197" i="9"/>
  <c r="L196" i="9"/>
  <c r="L227" i="9"/>
  <c r="L226" i="9"/>
  <c r="V194" i="9"/>
  <c r="U194" i="9"/>
  <c r="T194" i="9"/>
  <c r="S194" i="9"/>
  <c r="L194" i="9"/>
  <c r="F194" i="9"/>
  <c r="L95" i="9"/>
  <c r="L94" i="9"/>
  <c r="L88" i="9"/>
  <c r="L34" i="9"/>
  <c r="L33" i="9"/>
  <c r="L32" i="9"/>
  <c r="L31" i="9"/>
  <c r="L30" i="9"/>
  <c r="L28" i="9"/>
  <c r="L27" i="9"/>
  <c r="L26" i="9"/>
  <c r="L25" i="9"/>
  <c r="L24" i="9"/>
  <c r="L23" i="9"/>
  <c r="F32" i="9"/>
  <c r="F31" i="9"/>
  <c r="F30" i="9"/>
  <c r="F28" i="9"/>
  <c r="F27" i="9"/>
  <c r="S9" i="9" l="1"/>
  <c r="T9" i="9"/>
  <c r="U9" i="9"/>
  <c r="V9" i="9"/>
  <c r="S10" i="9"/>
  <c r="T10" i="9"/>
  <c r="U10" i="9"/>
  <c r="V10" i="9"/>
  <c r="S11" i="9"/>
  <c r="T11" i="9"/>
  <c r="U11" i="9"/>
  <c r="V11" i="9"/>
  <c r="S12" i="9"/>
  <c r="T12" i="9"/>
  <c r="U12" i="9"/>
  <c r="V12" i="9"/>
  <c r="S13" i="9"/>
  <c r="T13" i="9"/>
  <c r="U13" i="9"/>
  <c r="V13" i="9"/>
  <c r="S14" i="9"/>
  <c r="T14" i="9"/>
  <c r="U14" i="9"/>
  <c r="V14" i="9"/>
  <c r="S15" i="9"/>
  <c r="T15" i="9"/>
  <c r="U15" i="9"/>
  <c r="V15" i="9"/>
  <c r="S16" i="9"/>
  <c r="T16" i="9"/>
  <c r="U16" i="9"/>
  <c r="V16" i="9"/>
  <c r="S17" i="9"/>
  <c r="T17" i="9"/>
  <c r="U17" i="9"/>
  <c r="V17" i="9"/>
  <c r="S18" i="9"/>
  <c r="T18" i="9"/>
  <c r="U18" i="9"/>
  <c r="V18" i="9"/>
  <c r="S19" i="9"/>
  <c r="T19" i="9"/>
  <c r="U19" i="9"/>
  <c r="V19" i="9"/>
  <c r="S20" i="9"/>
  <c r="T20" i="9"/>
  <c r="U20" i="9"/>
  <c r="V20" i="9"/>
  <c r="S21" i="9"/>
  <c r="T21" i="9"/>
  <c r="U21" i="9"/>
  <c r="V21" i="9"/>
  <c r="S22" i="9"/>
  <c r="T22" i="9"/>
  <c r="U22" i="9"/>
  <c r="V22" i="9"/>
  <c r="S23" i="9"/>
  <c r="T23" i="9"/>
  <c r="U23" i="9"/>
  <c r="V23" i="9"/>
  <c r="S24" i="9"/>
  <c r="T24" i="9"/>
  <c r="U24" i="9"/>
  <c r="V24" i="9"/>
  <c r="S25" i="9"/>
  <c r="T25" i="9"/>
  <c r="U25" i="9"/>
  <c r="V25" i="9"/>
  <c r="S26" i="9"/>
  <c r="T26" i="9"/>
  <c r="U26" i="9"/>
  <c r="V26" i="9"/>
  <c r="S27" i="9"/>
  <c r="T27" i="9"/>
  <c r="U27" i="9"/>
  <c r="V27" i="9"/>
  <c r="S28" i="9"/>
  <c r="T28" i="9"/>
  <c r="U28" i="9"/>
  <c r="V28" i="9"/>
  <c r="S30" i="9"/>
  <c r="T30" i="9"/>
  <c r="U30" i="9"/>
  <c r="V30" i="9"/>
  <c r="S31" i="9"/>
  <c r="T31" i="9"/>
  <c r="U31" i="9"/>
  <c r="V31" i="9"/>
  <c r="S32" i="9"/>
  <c r="T32" i="9"/>
  <c r="U32" i="9"/>
  <c r="V32" i="9"/>
  <c r="S33" i="9"/>
  <c r="T33" i="9"/>
  <c r="U33" i="9"/>
  <c r="V33" i="9"/>
  <c r="S34" i="9"/>
  <c r="T34" i="9"/>
  <c r="U34" i="9"/>
  <c r="V34" i="9"/>
  <c r="S35" i="9"/>
  <c r="T35" i="9"/>
  <c r="U35" i="9"/>
  <c r="V35" i="9"/>
  <c r="S36" i="9"/>
  <c r="T36" i="9"/>
  <c r="U36" i="9"/>
  <c r="V36" i="9"/>
  <c r="S37" i="9"/>
  <c r="T37" i="9"/>
  <c r="U37" i="9"/>
  <c r="V37" i="9"/>
  <c r="S38" i="9"/>
  <c r="T38" i="9"/>
  <c r="U38" i="9"/>
  <c r="V38" i="9"/>
  <c r="S39" i="9"/>
  <c r="T39" i="9"/>
  <c r="U39" i="9"/>
  <c r="V39" i="9"/>
  <c r="S40" i="9"/>
  <c r="T40" i="9"/>
  <c r="U40" i="9"/>
  <c r="V40" i="9"/>
  <c r="S41" i="9"/>
  <c r="T41" i="9"/>
  <c r="U41" i="9"/>
  <c r="V41" i="9"/>
  <c r="S42" i="9"/>
  <c r="T42" i="9"/>
  <c r="U42" i="9"/>
  <c r="V42" i="9"/>
  <c r="S43" i="9"/>
  <c r="T43" i="9"/>
  <c r="U43" i="9"/>
  <c r="V43" i="9"/>
  <c r="S44" i="9"/>
  <c r="T44" i="9"/>
  <c r="U44" i="9"/>
  <c r="V44" i="9"/>
  <c r="S45" i="9"/>
  <c r="T45" i="9"/>
  <c r="U45" i="9"/>
  <c r="V45" i="9"/>
  <c r="S46" i="9"/>
  <c r="T46" i="9"/>
  <c r="U46" i="9"/>
  <c r="V46" i="9"/>
  <c r="S47" i="9"/>
  <c r="T47" i="9"/>
  <c r="U47" i="9"/>
  <c r="V47" i="9"/>
  <c r="S48" i="9"/>
  <c r="T48" i="9"/>
  <c r="U48" i="9"/>
  <c r="V48" i="9"/>
  <c r="S49" i="9"/>
  <c r="T49" i="9"/>
  <c r="U49" i="9"/>
  <c r="V49" i="9"/>
  <c r="S50" i="9"/>
  <c r="T50" i="9"/>
  <c r="U50" i="9"/>
  <c r="V50" i="9"/>
  <c r="S51" i="9"/>
  <c r="T51" i="9"/>
  <c r="U51" i="9"/>
  <c r="V51" i="9"/>
  <c r="S52" i="9"/>
  <c r="T52" i="9"/>
  <c r="U52" i="9"/>
  <c r="V52" i="9"/>
  <c r="S53" i="9"/>
  <c r="T53" i="9"/>
  <c r="U53" i="9"/>
  <c r="V53" i="9"/>
  <c r="S54" i="9"/>
  <c r="T54" i="9"/>
  <c r="U54" i="9"/>
  <c r="V54" i="9"/>
  <c r="S55" i="9"/>
  <c r="T55" i="9"/>
  <c r="U55" i="9"/>
  <c r="V55" i="9"/>
  <c r="S56" i="9"/>
  <c r="T56" i="9"/>
  <c r="U56" i="9"/>
  <c r="V56" i="9"/>
  <c r="S57" i="9"/>
  <c r="T57" i="9"/>
  <c r="U57" i="9"/>
  <c r="V57" i="9"/>
  <c r="S58" i="9"/>
  <c r="T58" i="9"/>
  <c r="U58" i="9"/>
  <c r="V58" i="9"/>
  <c r="S59" i="9"/>
  <c r="T59" i="9"/>
  <c r="U59" i="9"/>
  <c r="V59" i="9"/>
  <c r="S60" i="9"/>
  <c r="T60" i="9"/>
  <c r="U60" i="9"/>
  <c r="V60" i="9"/>
  <c r="S61" i="9"/>
  <c r="T61" i="9"/>
  <c r="U61" i="9"/>
  <c r="V61" i="9"/>
  <c r="S62" i="9"/>
  <c r="T62" i="9"/>
  <c r="U62" i="9"/>
  <c r="V62" i="9"/>
  <c r="S63" i="9"/>
  <c r="T63" i="9"/>
  <c r="U63" i="9"/>
  <c r="V63" i="9"/>
  <c r="S64" i="9"/>
  <c r="T64" i="9"/>
  <c r="U64" i="9"/>
  <c r="V64" i="9"/>
  <c r="S65" i="9"/>
  <c r="T65" i="9"/>
  <c r="U65" i="9"/>
  <c r="V65" i="9"/>
  <c r="S66" i="9"/>
  <c r="T66" i="9"/>
  <c r="U66" i="9"/>
  <c r="V66" i="9"/>
  <c r="S67" i="9"/>
  <c r="T67" i="9"/>
  <c r="U67" i="9"/>
  <c r="V67" i="9"/>
  <c r="S68" i="9"/>
  <c r="T68" i="9"/>
  <c r="U68" i="9"/>
  <c r="V68" i="9"/>
  <c r="S69" i="9"/>
  <c r="T69" i="9"/>
  <c r="U69" i="9"/>
  <c r="V69" i="9"/>
  <c r="S70" i="9"/>
  <c r="T70" i="9"/>
  <c r="U70" i="9"/>
  <c r="V70" i="9"/>
  <c r="S71" i="9"/>
  <c r="T71" i="9"/>
  <c r="U71" i="9"/>
  <c r="V71" i="9"/>
  <c r="S72" i="9"/>
  <c r="T72" i="9"/>
  <c r="U72" i="9"/>
  <c r="V72" i="9"/>
  <c r="S73" i="9"/>
  <c r="T73" i="9"/>
  <c r="U73" i="9"/>
  <c r="V73" i="9"/>
  <c r="S74" i="9"/>
  <c r="T74" i="9"/>
  <c r="U74" i="9"/>
  <c r="V74" i="9"/>
  <c r="S75" i="9"/>
  <c r="T75" i="9"/>
  <c r="U75" i="9"/>
  <c r="V75" i="9"/>
  <c r="S76" i="9"/>
  <c r="T76" i="9"/>
  <c r="U76" i="9"/>
  <c r="V76" i="9"/>
  <c r="S77" i="9"/>
  <c r="T77" i="9"/>
  <c r="U77" i="9"/>
  <c r="V77" i="9"/>
  <c r="S78" i="9"/>
  <c r="T78" i="9"/>
  <c r="U78" i="9"/>
  <c r="V78" i="9"/>
  <c r="S79" i="9"/>
  <c r="T79" i="9"/>
  <c r="U79" i="9"/>
  <c r="V79" i="9"/>
  <c r="S80" i="9"/>
  <c r="T80" i="9"/>
  <c r="U80" i="9"/>
  <c r="V80" i="9"/>
  <c r="S81" i="9"/>
  <c r="T81" i="9"/>
  <c r="U81" i="9"/>
  <c r="V81" i="9"/>
  <c r="S82" i="9"/>
  <c r="T82" i="9"/>
  <c r="U82" i="9"/>
  <c r="V82" i="9"/>
  <c r="S83" i="9"/>
  <c r="T83" i="9"/>
  <c r="U83" i="9"/>
  <c r="V83" i="9"/>
  <c r="S84" i="9"/>
  <c r="T84" i="9"/>
  <c r="U84" i="9"/>
  <c r="V84" i="9"/>
  <c r="S85" i="9"/>
  <c r="T85" i="9"/>
  <c r="U85" i="9"/>
  <c r="V85" i="9"/>
  <c r="S86" i="9"/>
  <c r="T86" i="9"/>
  <c r="U86" i="9"/>
  <c r="V86" i="9"/>
  <c r="S87" i="9"/>
  <c r="T87" i="9"/>
  <c r="U87" i="9"/>
  <c r="V87" i="9"/>
  <c r="S88" i="9"/>
  <c r="T88" i="9"/>
  <c r="U88" i="9"/>
  <c r="V88" i="9"/>
  <c r="S94" i="9"/>
  <c r="T94" i="9"/>
  <c r="U94" i="9"/>
  <c r="V94" i="9"/>
  <c r="S95" i="9"/>
  <c r="T95" i="9"/>
  <c r="U95" i="9"/>
  <c r="V95" i="9"/>
  <c r="S96" i="9"/>
  <c r="T96" i="9"/>
  <c r="U96" i="9"/>
  <c r="V96" i="9"/>
  <c r="S97" i="9"/>
  <c r="T97" i="9"/>
  <c r="U97" i="9"/>
  <c r="V97" i="9"/>
  <c r="S98" i="9"/>
  <c r="T98" i="9"/>
  <c r="U98" i="9"/>
  <c r="V98" i="9"/>
  <c r="S99" i="9"/>
  <c r="T99" i="9"/>
  <c r="U99" i="9"/>
  <c r="V99" i="9"/>
  <c r="S100" i="9"/>
  <c r="T100" i="9"/>
  <c r="U100" i="9"/>
  <c r="V100" i="9"/>
  <c r="S101" i="9"/>
  <c r="T101" i="9"/>
  <c r="U101" i="9"/>
  <c r="V101" i="9"/>
  <c r="S102" i="9"/>
  <c r="T102" i="9"/>
  <c r="U102" i="9"/>
  <c r="V102" i="9"/>
  <c r="S103" i="9"/>
  <c r="T103" i="9"/>
  <c r="U103" i="9"/>
  <c r="V103" i="9"/>
  <c r="S104" i="9"/>
  <c r="T104" i="9"/>
  <c r="U104" i="9"/>
  <c r="V104" i="9"/>
  <c r="S105" i="9"/>
  <c r="T105" i="9"/>
  <c r="U105" i="9"/>
  <c r="V105" i="9"/>
  <c r="S106" i="9"/>
  <c r="T106" i="9"/>
  <c r="U106" i="9"/>
  <c r="V106" i="9"/>
  <c r="S107" i="9"/>
  <c r="T107" i="9"/>
  <c r="U107" i="9"/>
  <c r="V107" i="9"/>
  <c r="S108" i="9"/>
  <c r="T108" i="9"/>
  <c r="U108" i="9"/>
  <c r="V108" i="9"/>
  <c r="S109" i="9"/>
  <c r="T109" i="9"/>
  <c r="U109" i="9"/>
  <c r="V109" i="9"/>
  <c r="S110" i="9"/>
  <c r="T110" i="9"/>
  <c r="U110" i="9"/>
  <c r="V110" i="9"/>
  <c r="S111" i="9"/>
  <c r="T111" i="9"/>
  <c r="U111" i="9"/>
  <c r="V111" i="9"/>
  <c r="S112" i="9"/>
  <c r="T112" i="9"/>
  <c r="U112" i="9"/>
  <c r="V112" i="9"/>
  <c r="S113" i="9"/>
  <c r="T113" i="9"/>
  <c r="U113" i="9"/>
  <c r="V113" i="9"/>
  <c r="S114" i="9"/>
  <c r="T114" i="9"/>
  <c r="U114" i="9"/>
  <c r="V114" i="9"/>
  <c r="S115" i="9"/>
  <c r="T115" i="9"/>
  <c r="U115" i="9"/>
  <c r="V115" i="9"/>
  <c r="S116" i="9"/>
  <c r="T116" i="9"/>
  <c r="U116" i="9"/>
  <c r="V116" i="9"/>
  <c r="S117" i="9"/>
  <c r="T117" i="9"/>
  <c r="U117" i="9"/>
  <c r="V117" i="9"/>
  <c r="S118" i="9"/>
  <c r="T118" i="9"/>
  <c r="U118" i="9"/>
  <c r="V118" i="9"/>
  <c r="S119" i="9"/>
  <c r="T119" i="9"/>
  <c r="U119" i="9"/>
  <c r="V119" i="9"/>
  <c r="S120" i="9"/>
  <c r="T120" i="9"/>
  <c r="U120" i="9"/>
  <c r="V120" i="9"/>
  <c r="S121" i="9"/>
  <c r="T121" i="9"/>
  <c r="U121" i="9"/>
  <c r="V121" i="9"/>
  <c r="S122" i="9"/>
  <c r="T122" i="9"/>
  <c r="U122" i="9"/>
  <c r="V122" i="9"/>
  <c r="S123" i="9"/>
  <c r="T123" i="9"/>
  <c r="U123" i="9"/>
  <c r="V123" i="9"/>
  <c r="S124" i="9"/>
  <c r="T124" i="9"/>
  <c r="U124" i="9"/>
  <c r="V124" i="9"/>
  <c r="S125" i="9"/>
  <c r="T125" i="9"/>
  <c r="U125" i="9"/>
  <c r="V125" i="9"/>
  <c r="S126" i="9"/>
  <c r="T126" i="9"/>
  <c r="U126" i="9"/>
  <c r="V126" i="9"/>
  <c r="S127" i="9"/>
  <c r="T127" i="9"/>
  <c r="U127" i="9"/>
  <c r="V127" i="9"/>
  <c r="S128" i="9"/>
  <c r="T128" i="9"/>
  <c r="U128" i="9"/>
  <c r="V128" i="9"/>
  <c r="S129" i="9"/>
  <c r="T129" i="9"/>
  <c r="U129" i="9"/>
  <c r="V129" i="9"/>
  <c r="S130" i="9"/>
  <c r="T130" i="9"/>
  <c r="U130" i="9"/>
  <c r="V130" i="9"/>
  <c r="S131" i="9"/>
  <c r="T131" i="9"/>
  <c r="U131" i="9"/>
  <c r="V131" i="9"/>
  <c r="S132" i="9"/>
  <c r="T132" i="9"/>
  <c r="U132" i="9"/>
  <c r="V132" i="9"/>
  <c r="S133" i="9"/>
  <c r="T133" i="9"/>
  <c r="U133" i="9"/>
  <c r="V133" i="9"/>
  <c r="S134" i="9"/>
  <c r="T134" i="9"/>
  <c r="U134" i="9"/>
  <c r="V134" i="9"/>
  <c r="S135" i="9"/>
  <c r="T135" i="9"/>
  <c r="U135" i="9"/>
  <c r="V135" i="9"/>
  <c r="S136" i="9"/>
  <c r="T136" i="9"/>
  <c r="U136" i="9"/>
  <c r="V136" i="9"/>
  <c r="S137" i="9"/>
  <c r="T137" i="9"/>
  <c r="U137" i="9"/>
  <c r="V137" i="9"/>
  <c r="S138" i="9"/>
  <c r="T138" i="9"/>
  <c r="U138" i="9"/>
  <c r="V138" i="9"/>
  <c r="S139" i="9"/>
  <c r="T139" i="9"/>
  <c r="U139" i="9"/>
  <c r="V139" i="9"/>
  <c r="S140" i="9"/>
  <c r="T140" i="9"/>
  <c r="U140" i="9"/>
  <c r="V140" i="9"/>
  <c r="S141" i="9"/>
  <c r="T141" i="9"/>
  <c r="U141" i="9"/>
  <c r="V141" i="9"/>
  <c r="S142" i="9"/>
  <c r="T142" i="9"/>
  <c r="U142" i="9"/>
  <c r="V142" i="9"/>
  <c r="S143" i="9"/>
  <c r="T143" i="9"/>
  <c r="U143" i="9"/>
  <c r="V143" i="9"/>
  <c r="S144" i="9"/>
  <c r="T144" i="9"/>
  <c r="U144" i="9"/>
  <c r="V144" i="9"/>
  <c r="S145" i="9"/>
  <c r="T145" i="9"/>
  <c r="U145" i="9"/>
  <c r="V145" i="9"/>
  <c r="S146" i="9"/>
  <c r="T146" i="9"/>
  <c r="U146" i="9"/>
  <c r="V146" i="9"/>
  <c r="S147" i="9"/>
  <c r="T147" i="9"/>
  <c r="U147" i="9"/>
  <c r="V147" i="9"/>
  <c r="S148" i="9"/>
  <c r="T148" i="9"/>
  <c r="U148" i="9"/>
  <c r="V148" i="9"/>
  <c r="S149" i="9"/>
  <c r="T149" i="9"/>
  <c r="U149" i="9"/>
  <c r="V149" i="9"/>
  <c r="S150" i="9"/>
  <c r="T150" i="9"/>
  <c r="U150" i="9"/>
  <c r="V150" i="9"/>
  <c r="S151" i="9"/>
  <c r="T151" i="9"/>
  <c r="U151" i="9"/>
  <c r="V151" i="9"/>
  <c r="S152" i="9"/>
  <c r="T152" i="9"/>
  <c r="U152" i="9"/>
  <c r="V152" i="9"/>
  <c r="S153" i="9"/>
  <c r="T153" i="9"/>
  <c r="U153" i="9"/>
  <c r="V153" i="9"/>
  <c r="S154" i="9"/>
  <c r="T154" i="9"/>
  <c r="U154" i="9"/>
  <c r="V154" i="9"/>
  <c r="S155" i="9"/>
  <c r="T155" i="9"/>
  <c r="U155" i="9"/>
  <c r="V155" i="9"/>
  <c r="S156" i="9"/>
  <c r="T156" i="9"/>
  <c r="U156" i="9"/>
  <c r="V156" i="9"/>
  <c r="S157" i="9"/>
  <c r="T157" i="9"/>
  <c r="U157" i="9"/>
  <c r="V157" i="9"/>
  <c r="S158" i="9"/>
  <c r="T158" i="9"/>
  <c r="U158" i="9"/>
  <c r="V158" i="9"/>
  <c r="S159" i="9"/>
  <c r="T159" i="9"/>
  <c r="U159" i="9"/>
  <c r="V159" i="9"/>
  <c r="S160" i="9"/>
  <c r="T160" i="9"/>
  <c r="U160" i="9"/>
  <c r="V160" i="9"/>
  <c r="S162" i="9"/>
  <c r="T162" i="9"/>
  <c r="U162" i="9"/>
  <c r="V162" i="9"/>
  <c r="S163" i="9"/>
  <c r="T163" i="9"/>
  <c r="U163" i="9"/>
  <c r="V163" i="9"/>
  <c r="S164" i="9"/>
  <c r="T164" i="9"/>
  <c r="U164" i="9"/>
  <c r="V164" i="9"/>
  <c r="S165" i="9"/>
  <c r="T165" i="9"/>
  <c r="U165" i="9"/>
  <c r="V165" i="9"/>
  <c r="S166" i="9"/>
  <c r="T166" i="9"/>
  <c r="U166" i="9"/>
  <c r="V166" i="9"/>
  <c r="S167" i="9"/>
  <c r="T167" i="9"/>
  <c r="U167" i="9"/>
  <c r="V167" i="9"/>
  <c r="S168" i="9"/>
  <c r="T168" i="9"/>
  <c r="U168" i="9"/>
  <c r="V168" i="9"/>
  <c r="S169" i="9"/>
  <c r="T169" i="9"/>
  <c r="U169" i="9"/>
  <c r="V169" i="9"/>
  <c r="S170" i="9"/>
  <c r="T170" i="9"/>
  <c r="U170" i="9"/>
  <c r="V170" i="9"/>
  <c r="S171" i="9"/>
  <c r="T171" i="9"/>
  <c r="U171" i="9"/>
  <c r="V171" i="9"/>
  <c r="S172" i="9"/>
  <c r="T172" i="9"/>
  <c r="U172" i="9"/>
  <c r="V172" i="9"/>
  <c r="S173" i="9"/>
  <c r="T173" i="9"/>
  <c r="U173" i="9"/>
  <c r="V173" i="9"/>
  <c r="S174" i="9"/>
  <c r="T174" i="9"/>
  <c r="U174" i="9"/>
  <c r="V174" i="9"/>
  <c r="S175" i="9"/>
  <c r="T175" i="9"/>
  <c r="U175" i="9"/>
  <c r="V175" i="9"/>
  <c r="S176" i="9"/>
  <c r="T176" i="9"/>
  <c r="U176" i="9"/>
  <c r="V176" i="9"/>
  <c r="S177" i="9"/>
  <c r="T177" i="9"/>
  <c r="U177" i="9"/>
  <c r="V177" i="9"/>
  <c r="S178" i="9"/>
  <c r="T178" i="9"/>
  <c r="U178" i="9"/>
  <c r="V178" i="9"/>
  <c r="S179" i="9"/>
  <c r="T179" i="9"/>
  <c r="U179" i="9"/>
  <c r="V179" i="9"/>
  <c r="S180" i="9"/>
  <c r="T180" i="9"/>
  <c r="U180" i="9"/>
  <c r="V180" i="9"/>
  <c r="S181" i="9"/>
  <c r="T181" i="9"/>
  <c r="U181" i="9"/>
  <c r="V181" i="9"/>
  <c r="S182" i="9"/>
  <c r="T182" i="9"/>
  <c r="U182" i="9"/>
  <c r="V182" i="9"/>
  <c r="S183" i="9"/>
  <c r="T183" i="9"/>
  <c r="U183" i="9"/>
  <c r="V183" i="9"/>
  <c r="S184" i="9"/>
  <c r="T184" i="9"/>
  <c r="U184" i="9"/>
  <c r="V184" i="9"/>
  <c r="S185" i="9"/>
  <c r="T185" i="9"/>
  <c r="U185" i="9"/>
  <c r="V185" i="9"/>
  <c r="S186" i="9"/>
  <c r="T186" i="9"/>
  <c r="U186" i="9"/>
  <c r="V186" i="9"/>
  <c r="S187" i="9"/>
  <c r="T187" i="9"/>
  <c r="U187" i="9"/>
  <c r="V187" i="9"/>
  <c r="S188" i="9"/>
  <c r="T188" i="9"/>
  <c r="U188" i="9"/>
  <c r="V188" i="9"/>
  <c r="S189" i="9"/>
  <c r="T189" i="9"/>
  <c r="U189" i="9"/>
  <c r="V189" i="9"/>
  <c r="S190" i="9"/>
  <c r="T190" i="9"/>
  <c r="U190" i="9"/>
  <c r="V190" i="9"/>
  <c r="S191" i="9"/>
  <c r="T191" i="9"/>
  <c r="U191" i="9"/>
  <c r="V191" i="9"/>
  <c r="S192" i="9"/>
  <c r="T192" i="9"/>
  <c r="U192" i="9"/>
  <c r="V192" i="9"/>
  <c r="S193" i="9"/>
  <c r="T193" i="9"/>
  <c r="U193" i="9"/>
  <c r="V193" i="9"/>
  <c r="S195" i="9"/>
  <c r="T195" i="9"/>
  <c r="U195" i="9"/>
  <c r="V195" i="9"/>
  <c r="M96" i="10"/>
  <c r="V94" i="10"/>
  <c r="U94" i="10"/>
  <c r="T94" i="10"/>
  <c r="S94" i="10"/>
  <c r="F94" i="10"/>
  <c r="K94" i="10" s="1"/>
  <c r="E94" i="10"/>
  <c r="V93" i="10"/>
  <c r="U93" i="10"/>
  <c r="T93" i="10"/>
  <c r="S93" i="10"/>
  <c r="K93" i="10"/>
  <c r="N93" i="10" s="1"/>
  <c r="E93" i="10"/>
  <c r="V92" i="10"/>
  <c r="U92" i="10"/>
  <c r="T92" i="10"/>
  <c r="S92" i="10"/>
  <c r="K92" i="10"/>
  <c r="M92" i="10" s="1"/>
  <c r="E92" i="10"/>
  <c r="V91" i="10"/>
  <c r="U91" i="10"/>
  <c r="T91" i="10"/>
  <c r="S91" i="10"/>
  <c r="K91" i="10"/>
  <c r="M91" i="10" s="1"/>
  <c r="E91" i="10"/>
  <c r="U90" i="10"/>
  <c r="T90" i="10"/>
  <c r="V90" i="10"/>
  <c r="S90" i="10"/>
  <c r="E90" i="10"/>
  <c r="V89" i="10"/>
  <c r="U89" i="10"/>
  <c r="T89" i="10"/>
  <c r="S89" i="10"/>
  <c r="M89" i="10"/>
  <c r="E89" i="10"/>
  <c r="V88" i="10"/>
  <c r="U88" i="10"/>
  <c r="T88" i="10"/>
  <c r="S88" i="10"/>
  <c r="K88" i="10"/>
  <c r="M88" i="10" s="1"/>
  <c r="E88" i="10"/>
  <c r="V87" i="10"/>
  <c r="U87" i="10"/>
  <c r="T87" i="10"/>
  <c r="S87" i="10"/>
  <c r="K87" i="10"/>
  <c r="N87" i="10" s="1"/>
  <c r="E87" i="10"/>
  <c r="V86" i="10"/>
  <c r="U86" i="10"/>
  <c r="T86" i="10"/>
  <c r="S86" i="10"/>
  <c r="K86" i="10"/>
  <c r="M86" i="10" s="1"/>
  <c r="E86" i="10"/>
  <c r="V85" i="10"/>
  <c r="U85" i="10"/>
  <c r="T85" i="10"/>
  <c r="S85" i="10"/>
  <c r="K85" i="10"/>
  <c r="M85" i="10" s="1"/>
  <c r="E85" i="10"/>
  <c r="V84" i="10"/>
  <c r="U84" i="10"/>
  <c r="T84" i="10"/>
  <c r="S84" i="10"/>
  <c r="K84" i="10"/>
  <c r="M84" i="10" s="1"/>
  <c r="E84" i="10"/>
  <c r="V82" i="10"/>
  <c r="U82" i="10"/>
  <c r="T82" i="10"/>
  <c r="S82" i="10"/>
  <c r="K82" i="10"/>
  <c r="M82" i="10" s="1"/>
  <c r="E82" i="10"/>
  <c r="V81" i="10"/>
  <c r="U81" i="10"/>
  <c r="T81" i="10"/>
  <c r="S81" i="10"/>
  <c r="K81" i="10"/>
  <c r="M81" i="10" s="1"/>
  <c r="E81" i="10"/>
  <c r="V80" i="10"/>
  <c r="U80" i="10"/>
  <c r="T80" i="10"/>
  <c r="S80" i="10"/>
  <c r="K80" i="10"/>
  <c r="M80" i="10" s="1"/>
  <c r="E80" i="10"/>
  <c r="V79" i="10"/>
  <c r="U79" i="10"/>
  <c r="T79" i="10"/>
  <c r="S79" i="10"/>
  <c r="K79" i="10"/>
  <c r="N79" i="10" s="1"/>
  <c r="E79" i="10"/>
  <c r="V78" i="10"/>
  <c r="U78" i="10"/>
  <c r="T78" i="10"/>
  <c r="S78" i="10"/>
  <c r="K78" i="10"/>
  <c r="M78" i="10" s="1"/>
  <c r="E78" i="10"/>
  <c r="V77" i="10"/>
  <c r="U77" i="10"/>
  <c r="T77" i="10"/>
  <c r="S77" i="10"/>
  <c r="K77" i="10"/>
  <c r="M77" i="10" s="1"/>
  <c r="E77" i="10"/>
  <c r="V76" i="10"/>
  <c r="U76" i="10"/>
  <c r="T76" i="10"/>
  <c r="S76" i="10"/>
  <c r="K76" i="10"/>
  <c r="M76" i="10" s="1"/>
  <c r="E76" i="10"/>
  <c r="V75" i="10"/>
  <c r="U75" i="10"/>
  <c r="T75" i="10"/>
  <c r="S75" i="10"/>
  <c r="V74" i="10"/>
  <c r="U74" i="10"/>
  <c r="T74" i="10"/>
  <c r="S74" i="10"/>
  <c r="K74" i="10"/>
  <c r="E74" i="10"/>
  <c r="V73" i="10"/>
  <c r="U73" i="10"/>
  <c r="T73" i="10"/>
  <c r="S73" i="10"/>
  <c r="K73" i="10"/>
  <c r="E73" i="10"/>
  <c r="V72" i="10"/>
  <c r="U72" i="10"/>
  <c r="T72" i="10"/>
  <c r="S72" i="10"/>
  <c r="V71" i="10"/>
  <c r="U71" i="10"/>
  <c r="T71" i="10"/>
  <c r="S71" i="10"/>
  <c r="K71" i="10"/>
  <c r="E71" i="10"/>
  <c r="V70" i="10"/>
  <c r="U70" i="10"/>
  <c r="T70" i="10"/>
  <c r="S70" i="10"/>
  <c r="K70" i="10"/>
  <c r="E70" i="10"/>
  <c r="V69" i="10"/>
  <c r="U69" i="10"/>
  <c r="T69" i="10"/>
  <c r="S69" i="10"/>
  <c r="K69" i="10"/>
  <c r="E69" i="10"/>
  <c r="V68" i="10"/>
  <c r="U68" i="10"/>
  <c r="T68" i="10"/>
  <c r="S68" i="10"/>
  <c r="K68" i="10"/>
  <c r="E68" i="10"/>
  <c r="V67" i="10"/>
  <c r="U67" i="10"/>
  <c r="T67" i="10"/>
  <c r="S67" i="10"/>
  <c r="K67" i="10"/>
  <c r="E67" i="10"/>
  <c r="V66" i="10"/>
  <c r="U66" i="10"/>
  <c r="T66" i="10"/>
  <c r="S66" i="10"/>
  <c r="K66" i="10"/>
  <c r="E66" i="10"/>
  <c r="V65" i="10"/>
  <c r="U65" i="10"/>
  <c r="T65" i="10"/>
  <c r="S65" i="10"/>
  <c r="K65" i="10"/>
  <c r="E65" i="10"/>
  <c r="V64" i="10"/>
  <c r="U64" i="10"/>
  <c r="T64" i="10"/>
  <c r="S64" i="10"/>
  <c r="K64" i="10"/>
  <c r="E64" i="10"/>
  <c r="V63" i="10"/>
  <c r="U63" i="10"/>
  <c r="T63" i="10"/>
  <c r="S63" i="10"/>
  <c r="V62" i="10"/>
  <c r="U62" i="10"/>
  <c r="T62" i="10"/>
  <c r="S62" i="10"/>
  <c r="K62" i="10"/>
  <c r="E62" i="10"/>
  <c r="V61" i="10"/>
  <c r="U61" i="10"/>
  <c r="T61" i="10"/>
  <c r="S61" i="10"/>
  <c r="K61" i="10"/>
  <c r="E61" i="10"/>
  <c r="V60" i="10"/>
  <c r="U60" i="10"/>
  <c r="T60" i="10"/>
  <c r="S60" i="10"/>
  <c r="K60" i="10"/>
  <c r="E60" i="10"/>
  <c r="V59" i="10"/>
  <c r="U59" i="10"/>
  <c r="T59" i="10"/>
  <c r="S59" i="10"/>
  <c r="K59" i="10"/>
  <c r="E59" i="10"/>
  <c r="V58" i="10"/>
  <c r="U58" i="10"/>
  <c r="T58" i="10"/>
  <c r="S58" i="10"/>
  <c r="K58" i="10"/>
  <c r="E58" i="10"/>
  <c r="V57" i="10"/>
  <c r="U57" i="10"/>
  <c r="T57" i="10"/>
  <c r="S57" i="10"/>
  <c r="V56" i="10"/>
  <c r="U56" i="10"/>
  <c r="T56" i="10"/>
  <c r="S56" i="10"/>
  <c r="K56" i="10"/>
  <c r="E56" i="10"/>
  <c r="V55" i="10"/>
  <c r="U55" i="10"/>
  <c r="T55" i="10"/>
  <c r="S55" i="10"/>
  <c r="K55" i="10"/>
  <c r="E55" i="10"/>
  <c r="V54" i="10"/>
  <c r="U54" i="10"/>
  <c r="T54" i="10"/>
  <c r="S54" i="10"/>
  <c r="K54" i="10"/>
  <c r="E54" i="10"/>
  <c r="V53" i="10"/>
  <c r="U53" i="10"/>
  <c r="T53" i="10"/>
  <c r="S53" i="10"/>
  <c r="K53" i="10"/>
  <c r="E53" i="10"/>
  <c r="V52" i="10"/>
  <c r="U52" i="10"/>
  <c r="T52" i="10"/>
  <c r="S52" i="10"/>
  <c r="K52" i="10"/>
  <c r="E52" i="10"/>
  <c r="V51" i="10"/>
  <c r="U51" i="10"/>
  <c r="T51" i="10"/>
  <c r="S51" i="10"/>
  <c r="K51" i="10"/>
  <c r="E51" i="10"/>
  <c r="V50" i="10"/>
  <c r="U50" i="10"/>
  <c r="T50" i="10"/>
  <c r="S50" i="10"/>
  <c r="K50" i="10"/>
  <c r="E50" i="10"/>
  <c r="V49" i="10"/>
  <c r="U49" i="10"/>
  <c r="T49" i="10"/>
  <c r="S49" i="10"/>
  <c r="K49" i="10"/>
  <c r="E49" i="10"/>
  <c r="V48" i="10"/>
  <c r="U48" i="10"/>
  <c r="T48" i="10"/>
  <c r="S48" i="10"/>
  <c r="K48" i="10"/>
  <c r="E48" i="10"/>
  <c r="V47" i="10"/>
  <c r="U47" i="10"/>
  <c r="T47" i="10"/>
  <c r="S47" i="10"/>
  <c r="K47" i="10"/>
  <c r="E47" i="10"/>
  <c r="V46" i="10"/>
  <c r="U46" i="10"/>
  <c r="T46" i="10"/>
  <c r="S46" i="10"/>
  <c r="V45" i="10"/>
  <c r="U45" i="10"/>
  <c r="T45" i="10"/>
  <c r="S45" i="10"/>
  <c r="K45" i="10"/>
  <c r="E45" i="10"/>
  <c r="V44" i="10"/>
  <c r="U44" i="10"/>
  <c r="T44" i="10"/>
  <c r="S44" i="10"/>
  <c r="K44" i="10"/>
  <c r="E44" i="10"/>
  <c r="V43" i="10"/>
  <c r="U43" i="10"/>
  <c r="T43" i="10"/>
  <c r="S43" i="10"/>
  <c r="K43" i="10"/>
  <c r="E43" i="10"/>
  <c r="V42" i="10"/>
  <c r="U42" i="10"/>
  <c r="T42" i="10"/>
  <c r="S42" i="10"/>
  <c r="K42" i="10"/>
  <c r="E42" i="10"/>
  <c r="V41" i="10"/>
  <c r="U41" i="10"/>
  <c r="S41" i="10"/>
  <c r="T41" i="10"/>
  <c r="E41" i="10"/>
  <c r="V38" i="10"/>
  <c r="U38" i="10"/>
  <c r="T38" i="10"/>
  <c r="S38" i="10"/>
  <c r="V33" i="10"/>
  <c r="U33" i="10"/>
  <c r="T33" i="10"/>
  <c r="S33" i="10"/>
  <c r="K33" i="10"/>
  <c r="E33" i="10"/>
  <c r="V32" i="10"/>
  <c r="U32" i="10"/>
  <c r="T32" i="10"/>
  <c r="S32" i="10"/>
  <c r="K32" i="10"/>
  <c r="E32" i="10"/>
  <c r="V31" i="10"/>
  <c r="U31" i="10"/>
  <c r="T31" i="10"/>
  <c r="S31" i="10"/>
  <c r="K31" i="10"/>
  <c r="E31" i="10"/>
  <c r="V30" i="10"/>
  <c r="U30" i="10"/>
  <c r="T30" i="10"/>
  <c r="S30" i="10"/>
  <c r="V29" i="10"/>
  <c r="U29" i="10"/>
  <c r="T29" i="10"/>
  <c r="S29" i="10"/>
  <c r="K29" i="10"/>
  <c r="E29" i="10"/>
  <c r="V28" i="10"/>
  <c r="U28" i="10"/>
  <c r="T28" i="10"/>
  <c r="S28" i="10"/>
  <c r="V27" i="10"/>
  <c r="U27" i="10"/>
  <c r="T27" i="10"/>
  <c r="S27" i="10"/>
  <c r="K27" i="10"/>
  <c r="E27" i="10"/>
  <c r="V26" i="10"/>
  <c r="T26" i="10"/>
  <c r="U26" i="10"/>
  <c r="S26" i="10"/>
  <c r="E26" i="10"/>
  <c r="V25" i="10"/>
  <c r="U25" i="10"/>
  <c r="T25" i="10"/>
  <c r="S25" i="10"/>
  <c r="K25" i="10"/>
  <c r="E25" i="10"/>
  <c r="V24" i="10"/>
  <c r="U24" i="10"/>
  <c r="T24" i="10"/>
  <c r="S24" i="10"/>
  <c r="K24" i="10"/>
  <c r="E24" i="10"/>
  <c r="V23" i="10"/>
  <c r="T23" i="10"/>
  <c r="S23" i="10"/>
  <c r="U23" i="10"/>
  <c r="E23" i="10"/>
  <c r="V22" i="10"/>
  <c r="U22" i="10"/>
  <c r="T22" i="10"/>
  <c r="S22" i="10"/>
  <c r="K22" i="10"/>
  <c r="E22" i="10"/>
  <c r="V21" i="10"/>
  <c r="U21" i="10"/>
  <c r="T21" i="10"/>
  <c r="S21" i="10"/>
  <c r="V20" i="10"/>
  <c r="U20" i="10"/>
  <c r="T20" i="10"/>
  <c r="S20" i="10"/>
  <c r="K20" i="10"/>
  <c r="E20" i="10"/>
  <c r="V19" i="10"/>
  <c r="U19" i="10"/>
  <c r="T19" i="10"/>
  <c r="S19" i="10"/>
  <c r="K19" i="10"/>
  <c r="E19" i="10"/>
  <c r="V18" i="10"/>
  <c r="U18" i="10"/>
  <c r="T18" i="10"/>
  <c r="S18" i="10"/>
  <c r="K18" i="10"/>
  <c r="E18" i="10"/>
  <c r="V17" i="10"/>
  <c r="U17" i="10"/>
  <c r="T17" i="10"/>
  <c r="S17" i="10"/>
  <c r="K17" i="10"/>
  <c r="E17" i="10"/>
  <c r="V16" i="10"/>
  <c r="U16" i="10"/>
  <c r="T16" i="10"/>
  <c r="S16" i="10"/>
  <c r="K16" i="10"/>
  <c r="E16" i="10"/>
  <c r="V15" i="10"/>
  <c r="U15" i="10"/>
  <c r="T15" i="10"/>
  <c r="S15" i="10"/>
  <c r="K15" i="10"/>
  <c r="E15" i="10"/>
  <c r="V14" i="10"/>
  <c r="U14" i="10"/>
  <c r="T14" i="10"/>
  <c r="S14" i="10"/>
  <c r="K14" i="10"/>
  <c r="E14" i="10"/>
  <c r="V13" i="10"/>
  <c r="U13" i="10"/>
  <c r="T13" i="10"/>
  <c r="S13" i="10"/>
  <c r="K13" i="10"/>
  <c r="E13" i="10"/>
  <c r="V12" i="10"/>
  <c r="U12" i="10"/>
  <c r="T12" i="10"/>
  <c r="S12" i="10"/>
  <c r="K12" i="10"/>
  <c r="E12" i="10"/>
  <c r="V11" i="10"/>
  <c r="U11" i="10"/>
  <c r="T11" i="10"/>
  <c r="S11" i="10"/>
  <c r="K11" i="10"/>
  <c r="E11" i="10"/>
  <c r="V10" i="10"/>
  <c r="U10" i="10"/>
  <c r="T10" i="10"/>
  <c r="S10" i="10"/>
  <c r="V9" i="10"/>
  <c r="U9" i="10"/>
  <c r="T9" i="10"/>
  <c r="S9" i="10"/>
  <c r="V8" i="10"/>
  <c r="U8" i="10"/>
  <c r="T8" i="10"/>
  <c r="S8" i="10"/>
  <c r="V7" i="10"/>
  <c r="U7" i="10"/>
  <c r="T7" i="10"/>
  <c r="S7" i="10"/>
  <c r="E7" i="10"/>
  <c r="M25" i="10" l="1"/>
  <c r="G25" i="18"/>
  <c r="M44" i="10"/>
  <c r="G44" i="18"/>
  <c r="M45" i="10"/>
  <c r="G45" i="18"/>
  <c r="M49" i="10"/>
  <c r="G49" i="18"/>
  <c r="M50" i="10"/>
  <c r="G50" i="18"/>
  <c r="N51" i="10"/>
  <c r="G51" i="18"/>
  <c r="N11" i="10"/>
  <c r="G11" i="18"/>
  <c r="M12" i="10"/>
  <c r="G12" i="18"/>
  <c r="M13" i="10"/>
  <c r="G13" i="18"/>
  <c r="M14" i="10"/>
  <c r="G14" i="18"/>
  <c r="M15" i="10"/>
  <c r="G15" i="18"/>
  <c r="M16" i="10"/>
  <c r="G16" i="18"/>
  <c r="N17" i="10"/>
  <c r="G17" i="18"/>
  <c r="M18" i="10"/>
  <c r="G18" i="18"/>
  <c r="N19" i="10"/>
  <c r="G19" i="18"/>
  <c r="M20" i="10"/>
  <c r="G20" i="18"/>
  <c r="M22" i="10"/>
  <c r="G22" i="18"/>
  <c r="M27" i="10"/>
  <c r="G27" i="18"/>
  <c r="M29" i="10"/>
  <c r="G29" i="18"/>
  <c r="M31" i="10"/>
  <c r="G31" i="18"/>
  <c r="N32" i="10"/>
  <c r="G32" i="18"/>
  <c r="M33" i="10"/>
  <c r="G33" i="18"/>
  <c r="M24" i="10"/>
  <c r="G24" i="18"/>
  <c r="N42" i="10"/>
  <c r="G42" i="18"/>
  <c r="M43" i="10"/>
  <c r="G43" i="18"/>
  <c r="N47" i="10"/>
  <c r="G47" i="18"/>
  <c r="M48" i="10"/>
  <c r="G48" i="18"/>
  <c r="M52" i="10"/>
  <c r="G52" i="18"/>
  <c r="M53" i="10"/>
  <c r="G53" i="18"/>
  <c r="M54" i="10"/>
  <c r="G54" i="18"/>
  <c r="N55" i="10"/>
  <c r="G55" i="18"/>
  <c r="M56" i="10"/>
  <c r="G56" i="18"/>
  <c r="M58" i="10"/>
  <c r="G58" i="18"/>
  <c r="M59" i="10"/>
  <c r="G59" i="18"/>
  <c r="N60" i="10"/>
  <c r="G60" i="18"/>
  <c r="M61" i="10"/>
  <c r="G61" i="18"/>
  <c r="M62" i="10"/>
  <c r="G62" i="18"/>
  <c r="M64" i="10"/>
  <c r="G64" i="18"/>
  <c r="N65" i="10"/>
  <c r="G65" i="18"/>
  <c r="M66" i="10"/>
  <c r="G66" i="18"/>
  <c r="M67" i="10"/>
  <c r="G67" i="18"/>
  <c r="M68" i="10"/>
  <c r="G68" i="18"/>
  <c r="N69" i="10"/>
  <c r="G69" i="18"/>
  <c r="M70" i="10"/>
  <c r="G70" i="18"/>
  <c r="M71" i="10"/>
  <c r="G71" i="18"/>
  <c r="M73" i="10"/>
  <c r="G73" i="18"/>
  <c r="N74" i="10"/>
  <c r="G74" i="18"/>
  <c r="L14" i="10"/>
  <c r="N15" i="10"/>
  <c r="L78" i="10"/>
  <c r="L15" i="10"/>
  <c r="L88" i="10"/>
  <c r="N92" i="10"/>
  <c r="L76" i="10"/>
  <c r="M17" i="10"/>
  <c r="N13" i="10"/>
  <c r="N14" i="10"/>
  <c r="L16" i="10"/>
  <c r="L17" i="10"/>
  <c r="L33" i="10"/>
  <c r="L43" i="10"/>
  <c r="L48" i="10"/>
  <c r="L52" i="10"/>
  <c r="L56" i="10"/>
  <c r="L61" i="10"/>
  <c r="L66" i="10"/>
  <c r="L70" i="10"/>
  <c r="L73" i="10"/>
  <c r="N76" i="10"/>
  <c r="L80" i="10"/>
  <c r="L82" i="10"/>
  <c r="N86" i="10"/>
  <c r="N16" i="10"/>
  <c r="N33" i="10"/>
  <c r="N43" i="10"/>
  <c r="N48" i="10"/>
  <c r="N52" i="10"/>
  <c r="N56" i="10"/>
  <c r="N61" i="10"/>
  <c r="N66" i="10"/>
  <c r="N70" i="10"/>
  <c r="N80" i="10"/>
  <c r="E95" i="10"/>
  <c r="T95" i="10"/>
  <c r="L11" i="10"/>
  <c r="L18" i="10"/>
  <c r="L19" i="10"/>
  <c r="L24" i="10"/>
  <c r="L25" i="10"/>
  <c r="L84" i="10"/>
  <c r="V95" i="10"/>
  <c r="M11" i="10"/>
  <c r="L12" i="10"/>
  <c r="L13" i="10"/>
  <c r="N18" i="10"/>
  <c r="M19" i="10"/>
  <c r="L20" i="10"/>
  <c r="N24" i="10"/>
  <c r="N25" i="10"/>
  <c r="L31" i="10"/>
  <c r="L45" i="10"/>
  <c r="L50" i="10"/>
  <c r="L54" i="10"/>
  <c r="L59" i="10"/>
  <c r="L64" i="10"/>
  <c r="L68" i="10"/>
  <c r="N84" i="10"/>
  <c r="S95" i="10"/>
  <c r="N12" i="10"/>
  <c r="N20" i="10"/>
  <c r="N31" i="10"/>
  <c r="N45" i="10"/>
  <c r="N50" i="10"/>
  <c r="N54" i="10"/>
  <c r="N59" i="10"/>
  <c r="N64" i="10"/>
  <c r="N68" i="10"/>
  <c r="N73" i="10"/>
  <c r="N78" i="10"/>
  <c r="N82" i="10"/>
  <c r="L86" i="10"/>
  <c r="M87" i="10"/>
  <c r="N88" i="10"/>
  <c r="L92" i="10"/>
  <c r="N22" i="10"/>
  <c r="K23" i="10"/>
  <c r="G23" i="18" s="1"/>
  <c r="K26" i="10"/>
  <c r="G26" i="18" s="1"/>
  <c r="N27" i="10"/>
  <c r="N29" i="10"/>
  <c r="L32" i="10"/>
  <c r="U95" i="10"/>
  <c r="L42" i="10"/>
  <c r="N44" i="10"/>
  <c r="L47" i="10"/>
  <c r="N49" i="10"/>
  <c r="L51" i="10"/>
  <c r="N53" i="10"/>
  <c r="L55" i="10"/>
  <c r="N58" i="10"/>
  <c r="L60" i="10"/>
  <c r="N62" i="10"/>
  <c r="L65" i="10"/>
  <c r="N67" i="10"/>
  <c r="L69" i="10"/>
  <c r="N71" i="10"/>
  <c r="L74" i="10"/>
  <c r="N77" i="10"/>
  <c r="L79" i="10"/>
  <c r="N81" i="10"/>
  <c r="N85" i="10"/>
  <c r="L87" i="10"/>
  <c r="N89" i="10"/>
  <c r="K90" i="10"/>
  <c r="N91" i="10"/>
  <c r="L93" i="10"/>
  <c r="M32" i="10"/>
  <c r="M42" i="10"/>
  <c r="M47" i="10"/>
  <c r="M51" i="10"/>
  <c r="M55" i="10"/>
  <c r="M60" i="10"/>
  <c r="M65" i="10"/>
  <c r="M69" i="10"/>
  <c r="M74" i="10"/>
  <c r="M79" i="10"/>
  <c r="M93" i="10"/>
  <c r="K7" i="10"/>
  <c r="G7" i="18" s="1"/>
  <c r="L22" i="10"/>
  <c r="L27" i="10"/>
  <c r="L29" i="10"/>
  <c r="K41" i="10"/>
  <c r="G41" i="18" s="1"/>
  <c r="L44" i="10"/>
  <c r="L49" i="10"/>
  <c r="L53" i="10"/>
  <c r="L58" i="10"/>
  <c r="L62" i="10"/>
  <c r="L67" i="10"/>
  <c r="L71" i="10"/>
  <c r="L77" i="10"/>
  <c r="L81" i="10"/>
  <c r="L85" i="10"/>
  <c r="L91" i="10"/>
  <c r="J37" i="8"/>
  <c r="C26" i="8"/>
  <c r="C22" i="8"/>
  <c r="C29" i="8"/>
  <c r="C23" i="8"/>
  <c r="C37" i="8"/>
  <c r="C20" i="8"/>
  <c r="C19" i="8"/>
  <c r="C18" i="8"/>
  <c r="C17" i="8"/>
  <c r="C16" i="8"/>
  <c r="C15" i="8"/>
  <c r="C14" i="8"/>
  <c r="C13" i="8"/>
  <c r="C12" i="8"/>
  <c r="C11" i="8"/>
  <c r="E97" i="10" l="1"/>
  <c r="C8" i="14" s="1"/>
  <c r="D8" i="14"/>
  <c r="G95" i="10"/>
  <c r="H95" i="10"/>
  <c r="J95" i="10"/>
  <c r="I95" i="10"/>
  <c r="N23" i="10"/>
  <c r="M23" i="10"/>
  <c r="L23" i="10"/>
  <c r="L41" i="10"/>
  <c r="N41" i="10"/>
  <c r="M41" i="10"/>
  <c r="N90" i="10"/>
  <c r="M90" i="10"/>
  <c r="L90" i="10"/>
  <c r="L7" i="10"/>
  <c r="N7" i="10"/>
  <c r="M7" i="10"/>
  <c r="N26" i="10"/>
  <c r="M26" i="10"/>
  <c r="L26" i="10"/>
  <c r="L190" i="9"/>
  <c r="F190" i="9"/>
  <c r="L189" i="9"/>
  <c r="F189" i="9"/>
  <c r="L188" i="9"/>
  <c r="F188" i="9"/>
  <c r="I97" i="10" l="1"/>
  <c r="J97" i="10"/>
  <c r="H97" i="10"/>
  <c r="G97" i="10"/>
  <c r="L95" i="10"/>
  <c r="L133" i="9"/>
  <c r="F133" i="9"/>
  <c r="E15" i="19"/>
  <c r="E14" i="19"/>
  <c r="E13" i="19"/>
  <c r="E12" i="19"/>
  <c r="E11" i="19"/>
  <c r="E10" i="19"/>
  <c r="E9" i="19"/>
  <c r="L97" i="10" l="1"/>
  <c r="K8" i="14" s="1"/>
  <c r="E8" i="14"/>
  <c r="M95" i="10"/>
  <c r="M97" i="10" l="1"/>
  <c r="L100" i="10"/>
  <c r="F8" i="14"/>
  <c r="E8" i="19"/>
  <c r="V36" i="8"/>
  <c r="U36" i="8"/>
  <c r="T36" i="8"/>
  <c r="S36" i="8"/>
  <c r="L79" i="9"/>
  <c r="L78" i="9"/>
  <c r="L77" i="9"/>
  <c r="L76" i="9"/>
  <c r="L75" i="9"/>
  <c r="L74" i="9"/>
  <c r="L73" i="9"/>
  <c r="L72" i="9"/>
  <c r="L71" i="9"/>
  <c r="L70" i="9"/>
  <c r="L69" i="9"/>
  <c r="F88" i="9"/>
  <c r="L146" i="9" l="1"/>
  <c r="L145" i="9"/>
  <c r="L144" i="9"/>
  <c r="L143" i="9"/>
  <c r="L142" i="9"/>
  <c r="L154" i="9"/>
  <c r="L153" i="9"/>
  <c r="L152" i="9"/>
  <c r="L151" i="9"/>
  <c r="L150" i="9"/>
  <c r="L149" i="9"/>
  <c r="L148" i="9"/>
  <c r="L147" i="9"/>
  <c r="L141" i="9"/>
  <c r="L140" i="9"/>
  <c r="L139" i="9"/>
  <c r="F150" i="9"/>
  <c r="F149" i="9"/>
  <c r="F148" i="9"/>
  <c r="F147" i="9"/>
  <c r="F141" i="9"/>
  <c r="F140" i="9"/>
  <c r="F34" i="9" l="1"/>
  <c r="V226" i="9"/>
  <c r="U226" i="9"/>
  <c r="T226" i="9"/>
  <c r="S226" i="9"/>
  <c r="F226" i="9"/>
  <c r="L195" i="9"/>
  <c r="F195" i="9"/>
  <c r="L193" i="9"/>
  <c r="F193" i="9"/>
  <c r="L192" i="9"/>
  <c r="L191" i="9"/>
  <c r="F191" i="9"/>
  <c r="L187" i="9"/>
  <c r="F187" i="9"/>
  <c r="L186" i="9"/>
  <c r="L185" i="9"/>
  <c r="L184" i="9"/>
  <c r="L183" i="9"/>
  <c r="F183" i="9"/>
  <c r="L182" i="9"/>
  <c r="F182" i="9"/>
  <c r="L181" i="9"/>
  <c r="F181" i="9"/>
  <c r="L179" i="9"/>
  <c r="F179" i="9"/>
  <c r="L177" i="9"/>
  <c r="F177" i="9"/>
  <c r="L175" i="9"/>
  <c r="F175" i="9"/>
  <c r="L173" i="9"/>
  <c r="F173" i="9"/>
  <c r="L171" i="9"/>
  <c r="F171" i="9"/>
  <c r="L169" i="9"/>
  <c r="L166" i="9"/>
  <c r="F166" i="9"/>
  <c r="L80" i="9" l="1"/>
  <c r="L81" i="9"/>
  <c r="L82" i="9"/>
  <c r="L83" i="9"/>
  <c r="L84" i="9"/>
  <c r="L85" i="9"/>
  <c r="L86" i="9"/>
  <c r="L87" i="9"/>
  <c r="F83" i="9"/>
  <c r="F84" i="9"/>
  <c r="F85" i="9"/>
  <c r="L132" i="9" l="1"/>
  <c r="L137" i="9" l="1"/>
  <c r="L136" i="9"/>
  <c r="L135" i="9"/>
  <c r="L131" i="9"/>
  <c r="L130" i="9"/>
  <c r="L129" i="9"/>
  <c r="L128" i="9"/>
  <c r="L127" i="9"/>
  <c r="F135" i="9"/>
  <c r="F131" i="9"/>
  <c r="I37" i="8"/>
  <c r="I26" i="8"/>
  <c r="I22" i="8"/>
  <c r="I7" i="8"/>
  <c r="L155" i="9" l="1"/>
  <c r="L156" i="9"/>
  <c r="F152" i="9"/>
  <c r="F153" i="9"/>
  <c r="F154" i="9"/>
  <c r="F155" i="9"/>
  <c r="F156" i="9"/>
  <c r="L157" i="9"/>
  <c r="F157" i="9"/>
  <c r="F159" i="9"/>
  <c r="L68" i="9"/>
  <c r="F67" i="9"/>
  <c r="F68" i="9"/>
  <c r="C25" i="8" l="1"/>
  <c r="L180" i="9"/>
  <c r="F180" i="9"/>
  <c r="L178" i="9"/>
  <c r="F178" i="9"/>
  <c r="L160" i="9"/>
  <c r="I29" i="8"/>
  <c r="I23" i="8"/>
  <c r="D15" i="19" l="1"/>
  <c r="D14" i="19"/>
  <c r="D13" i="19"/>
  <c r="D12" i="19"/>
  <c r="D11" i="19"/>
  <c r="D10" i="19"/>
  <c r="D9" i="19"/>
  <c r="D8" i="19"/>
  <c r="D7" i="19"/>
  <c r="D6" i="19"/>
  <c r="D5" i="19"/>
  <c r="D4" i="19"/>
  <c r="L176" i="9" l="1"/>
  <c r="F176" i="9"/>
  <c r="F26" i="9" l="1"/>
  <c r="H41" i="8" l="1"/>
  <c r="H7" i="8"/>
  <c r="L162" i="9" l="1"/>
  <c r="L163" i="9"/>
  <c r="L164" i="9"/>
  <c r="L165" i="9"/>
  <c r="L167" i="9"/>
  <c r="L168" i="9"/>
  <c r="L170" i="9"/>
  <c r="F160" i="9"/>
  <c r="L172" i="9" l="1"/>
  <c r="F172" i="9"/>
  <c r="F170" i="9"/>
  <c r="E17" i="8" l="1"/>
  <c r="L104" i="9" l="1"/>
  <c r="F104" i="9"/>
  <c r="F163" i="9"/>
  <c r="F162" i="9"/>
  <c r="F167" i="9"/>
  <c r="S227" i="9" l="1"/>
  <c r="T227" i="9"/>
  <c r="U227" i="9"/>
  <c r="V227" i="9"/>
  <c r="V8" i="9"/>
  <c r="U8" i="9"/>
  <c r="T8" i="9"/>
  <c r="S8" i="9"/>
  <c r="S8" i="8"/>
  <c r="T8" i="8"/>
  <c r="U8" i="8"/>
  <c r="V8" i="8"/>
  <c r="S9" i="8"/>
  <c r="T9" i="8"/>
  <c r="U9" i="8"/>
  <c r="V9" i="8"/>
  <c r="S10" i="8"/>
  <c r="T10" i="8"/>
  <c r="U10" i="8"/>
  <c r="V10" i="8"/>
  <c r="S11" i="8"/>
  <c r="T11" i="8"/>
  <c r="U11" i="8"/>
  <c r="V11" i="8"/>
  <c r="S12" i="8"/>
  <c r="T12" i="8"/>
  <c r="U12" i="8"/>
  <c r="V12" i="8"/>
  <c r="S13" i="8"/>
  <c r="T13" i="8"/>
  <c r="U13" i="8"/>
  <c r="V13" i="8"/>
  <c r="S14" i="8"/>
  <c r="T14" i="8"/>
  <c r="U14" i="8"/>
  <c r="V14" i="8"/>
  <c r="S15" i="8"/>
  <c r="T15" i="8"/>
  <c r="U15" i="8"/>
  <c r="V15" i="8"/>
  <c r="S16" i="8"/>
  <c r="T16" i="8"/>
  <c r="U16" i="8"/>
  <c r="V16" i="8"/>
  <c r="S17" i="8"/>
  <c r="T17" i="8"/>
  <c r="U17" i="8"/>
  <c r="V17" i="8"/>
  <c r="S18" i="8"/>
  <c r="T18" i="8"/>
  <c r="U18" i="8"/>
  <c r="V18" i="8"/>
  <c r="S19" i="8"/>
  <c r="T19" i="8"/>
  <c r="U19" i="8"/>
  <c r="V19" i="8"/>
  <c r="S20" i="8"/>
  <c r="T20" i="8"/>
  <c r="U20" i="8"/>
  <c r="V20" i="8"/>
  <c r="S21" i="8"/>
  <c r="T21" i="8"/>
  <c r="U21" i="8"/>
  <c r="V21" i="8"/>
  <c r="S22" i="8"/>
  <c r="T22" i="8"/>
  <c r="U22" i="8"/>
  <c r="V22" i="8"/>
  <c r="S23" i="8"/>
  <c r="T23" i="8"/>
  <c r="U23" i="8"/>
  <c r="V23" i="8"/>
  <c r="S24" i="8"/>
  <c r="T24" i="8"/>
  <c r="U24" i="8"/>
  <c r="V24" i="8"/>
  <c r="S25" i="8"/>
  <c r="T25" i="8"/>
  <c r="U25" i="8"/>
  <c r="V25" i="8"/>
  <c r="T26" i="8"/>
  <c r="U26" i="8"/>
  <c r="V26" i="8"/>
  <c r="S27" i="8"/>
  <c r="T27" i="8"/>
  <c r="U27" i="8"/>
  <c r="V27" i="8"/>
  <c r="S28" i="8"/>
  <c r="T28" i="8"/>
  <c r="U28" i="8"/>
  <c r="V28" i="8"/>
  <c r="S29" i="8"/>
  <c r="T29" i="8"/>
  <c r="U29" i="8"/>
  <c r="V29" i="8"/>
  <c r="S30" i="8"/>
  <c r="T30" i="8"/>
  <c r="U30" i="8"/>
  <c r="V30" i="8"/>
  <c r="S31" i="8"/>
  <c r="T31" i="8"/>
  <c r="U31" i="8"/>
  <c r="V31" i="8"/>
  <c r="S32" i="8"/>
  <c r="T32" i="8"/>
  <c r="U32" i="8"/>
  <c r="V32" i="8"/>
  <c r="S33" i="8"/>
  <c r="T33" i="8"/>
  <c r="U33" i="8"/>
  <c r="V33" i="8"/>
  <c r="S34" i="8"/>
  <c r="T34" i="8"/>
  <c r="U34" i="8"/>
  <c r="V34" i="8"/>
  <c r="S35" i="8"/>
  <c r="T35" i="8"/>
  <c r="U35" i="8"/>
  <c r="V35" i="8"/>
  <c r="S37" i="8"/>
  <c r="T37" i="8"/>
  <c r="U37" i="8"/>
  <c r="V37" i="8"/>
  <c r="S38" i="8"/>
  <c r="T38" i="8"/>
  <c r="U38" i="8"/>
  <c r="V38" i="8"/>
  <c r="S39" i="8"/>
  <c r="T39" i="8"/>
  <c r="U39" i="8"/>
  <c r="V39" i="8"/>
  <c r="S40" i="8"/>
  <c r="T40" i="8"/>
  <c r="U40" i="8"/>
  <c r="V40" i="8"/>
  <c r="S41" i="8"/>
  <c r="T41" i="8"/>
  <c r="U41" i="8"/>
  <c r="V41" i="8"/>
  <c r="S42" i="8"/>
  <c r="T42" i="8"/>
  <c r="U42" i="8"/>
  <c r="V42" i="8"/>
  <c r="S43" i="8"/>
  <c r="T43" i="8"/>
  <c r="U43" i="8"/>
  <c r="V43" i="8"/>
  <c r="S44" i="8"/>
  <c r="T44" i="8"/>
  <c r="U44" i="8"/>
  <c r="V44" i="8"/>
  <c r="S45" i="8"/>
  <c r="T45" i="8"/>
  <c r="U45" i="8"/>
  <c r="V45" i="8"/>
  <c r="S46" i="8"/>
  <c r="T46" i="8"/>
  <c r="U46" i="8"/>
  <c r="V46" i="8"/>
  <c r="S47" i="8"/>
  <c r="T47" i="8"/>
  <c r="U47" i="8"/>
  <c r="V47" i="8"/>
  <c r="S48" i="8"/>
  <c r="T48" i="8"/>
  <c r="U48" i="8"/>
  <c r="V48" i="8"/>
  <c r="S49" i="8"/>
  <c r="T49" i="8"/>
  <c r="U49" i="8"/>
  <c r="V49" i="8"/>
  <c r="S50" i="8"/>
  <c r="T50" i="8"/>
  <c r="U50" i="8"/>
  <c r="V50" i="8"/>
  <c r="S51" i="8"/>
  <c r="T51" i="8"/>
  <c r="U51" i="8"/>
  <c r="V51" i="8"/>
  <c r="S52" i="8"/>
  <c r="T52" i="8"/>
  <c r="U52" i="8"/>
  <c r="V52" i="8"/>
  <c r="S53" i="8"/>
  <c r="T53" i="8"/>
  <c r="U53" i="8"/>
  <c r="V53" i="8"/>
  <c r="S54" i="8"/>
  <c r="T54" i="8"/>
  <c r="U54" i="8"/>
  <c r="V54" i="8"/>
  <c r="S55" i="8"/>
  <c r="T55" i="8"/>
  <c r="U55" i="8"/>
  <c r="V55" i="8"/>
  <c r="S56" i="8"/>
  <c r="T56" i="8"/>
  <c r="U56" i="8"/>
  <c r="V56" i="8"/>
  <c r="S57" i="8"/>
  <c r="T57" i="8"/>
  <c r="U57" i="8"/>
  <c r="V57" i="8"/>
  <c r="S58" i="8"/>
  <c r="T58" i="8"/>
  <c r="U58" i="8"/>
  <c r="V58" i="8"/>
  <c r="S59" i="8"/>
  <c r="T59" i="8"/>
  <c r="U59" i="8"/>
  <c r="V59" i="8"/>
  <c r="S60" i="8"/>
  <c r="T60" i="8"/>
  <c r="U60" i="8"/>
  <c r="V60" i="8"/>
  <c r="S61" i="8"/>
  <c r="T61" i="8"/>
  <c r="U61" i="8"/>
  <c r="V61" i="8"/>
  <c r="S62" i="8"/>
  <c r="T62" i="8"/>
  <c r="U62" i="8"/>
  <c r="V62" i="8"/>
  <c r="S63" i="8"/>
  <c r="T63" i="8"/>
  <c r="U63" i="8"/>
  <c r="V63" i="8"/>
  <c r="S64" i="8"/>
  <c r="T64" i="8"/>
  <c r="U64" i="8"/>
  <c r="V64" i="8"/>
  <c r="S65" i="8"/>
  <c r="T65" i="8"/>
  <c r="U65" i="8"/>
  <c r="V65" i="8"/>
  <c r="S66" i="8"/>
  <c r="T66" i="8"/>
  <c r="U66" i="8"/>
  <c r="V66" i="8"/>
  <c r="S67" i="8"/>
  <c r="T67" i="8"/>
  <c r="U67" i="8"/>
  <c r="V67" i="8"/>
  <c r="S68" i="8"/>
  <c r="T68" i="8"/>
  <c r="U68" i="8"/>
  <c r="V68" i="8"/>
  <c r="S69" i="8"/>
  <c r="T69" i="8"/>
  <c r="U69" i="8"/>
  <c r="V69" i="8"/>
  <c r="S70" i="8"/>
  <c r="T70" i="8"/>
  <c r="U70" i="8"/>
  <c r="V70" i="8"/>
  <c r="S71" i="8"/>
  <c r="T71" i="8"/>
  <c r="U71" i="8"/>
  <c r="V71" i="8"/>
  <c r="S72" i="8"/>
  <c r="T72" i="8"/>
  <c r="U72" i="8"/>
  <c r="V72" i="8"/>
  <c r="S73" i="8"/>
  <c r="T73" i="8"/>
  <c r="U73" i="8"/>
  <c r="V73" i="8"/>
  <c r="S74" i="8"/>
  <c r="T74" i="8"/>
  <c r="U74" i="8"/>
  <c r="V74" i="8"/>
  <c r="S75" i="8"/>
  <c r="T75" i="8"/>
  <c r="U75" i="8"/>
  <c r="V75" i="8"/>
  <c r="S76" i="8"/>
  <c r="T76" i="8"/>
  <c r="U76" i="8"/>
  <c r="V76" i="8"/>
  <c r="S77" i="8"/>
  <c r="T77" i="8"/>
  <c r="U77" i="8"/>
  <c r="V77" i="8"/>
  <c r="S78" i="8"/>
  <c r="T78" i="8"/>
  <c r="U78" i="8"/>
  <c r="V78" i="8"/>
  <c r="S79" i="8"/>
  <c r="T79" i="8"/>
  <c r="U79" i="8"/>
  <c r="V79" i="8"/>
  <c r="S80" i="8"/>
  <c r="T80" i="8"/>
  <c r="U80" i="8"/>
  <c r="V80" i="8"/>
  <c r="S81" i="8"/>
  <c r="T81" i="8"/>
  <c r="U81" i="8"/>
  <c r="V81" i="8"/>
  <c r="S82" i="8"/>
  <c r="T82" i="8"/>
  <c r="U82" i="8"/>
  <c r="V82" i="8"/>
  <c r="S83" i="8"/>
  <c r="T83" i="8"/>
  <c r="U83" i="8"/>
  <c r="V83" i="8"/>
  <c r="S84" i="8"/>
  <c r="T84" i="8"/>
  <c r="U84" i="8"/>
  <c r="V84" i="8"/>
  <c r="S85" i="8"/>
  <c r="T85" i="8"/>
  <c r="U85" i="8"/>
  <c r="V85" i="8"/>
  <c r="S86" i="8"/>
  <c r="T86" i="8"/>
  <c r="U86" i="8"/>
  <c r="V86" i="8"/>
  <c r="S87" i="8"/>
  <c r="T87" i="8"/>
  <c r="U87" i="8"/>
  <c r="V87" i="8"/>
  <c r="S88" i="8"/>
  <c r="T88" i="8"/>
  <c r="U88" i="8"/>
  <c r="V88" i="8"/>
  <c r="S89" i="8"/>
  <c r="T89" i="8"/>
  <c r="U89" i="8"/>
  <c r="V89" i="8"/>
  <c r="T90" i="8"/>
  <c r="U90" i="8"/>
  <c r="V90" i="8"/>
  <c r="S91" i="8"/>
  <c r="T91" i="8"/>
  <c r="U91" i="8"/>
  <c r="V91" i="8"/>
  <c r="S92" i="8"/>
  <c r="T92" i="8"/>
  <c r="U92" i="8"/>
  <c r="V92" i="8"/>
  <c r="S93" i="8"/>
  <c r="T93" i="8"/>
  <c r="U93" i="8"/>
  <c r="V93" i="8"/>
  <c r="S94" i="8"/>
  <c r="T94" i="8"/>
  <c r="U94" i="8"/>
  <c r="V94" i="8"/>
  <c r="V7" i="8"/>
  <c r="U7" i="8"/>
  <c r="T7" i="8"/>
  <c r="T228" i="9" l="1"/>
  <c r="V95" i="8"/>
  <c r="U95" i="8"/>
  <c r="V228" i="9"/>
  <c r="S228" i="9"/>
  <c r="U228" i="9"/>
  <c r="T95" i="8"/>
  <c r="L174" i="9"/>
  <c r="F174" i="9"/>
  <c r="F168" i="9"/>
  <c r="F165" i="9"/>
  <c r="F164" i="9"/>
  <c r="L67" i="9" l="1"/>
  <c r="L66" i="9"/>
  <c r="F66" i="9"/>
  <c r="L65" i="9"/>
  <c r="F65" i="9"/>
  <c r="L64" i="9"/>
  <c r="F64" i="9"/>
  <c r="L63" i="9"/>
  <c r="F63" i="9"/>
  <c r="L62" i="9"/>
  <c r="F62" i="9"/>
  <c r="L61" i="9"/>
  <c r="F61" i="9"/>
  <c r="L60" i="9"/>
  <c r="F60" i="9"/>
  <c r="L59" i="9"/>
  <c r="F59" i="9"/>
  <c r="L58" i="9"/>
  <c r="F58" i="9"/>
  <c r="L57" i="9"/>
  <c r="F57" i="9"/>
  <c r="L56" i="9"/>
  <c r="F56" i="9"/>
  <c r="L55" i="9"/>
  <c r="F55" i="9"/>
  <c r="L54" i="9"/>
  <c r="F54" i="9"/>
  <c r="G90" i="8"/>
  <c r="S90" i="8" s="1"/>
  <c r="G7" i="8"/>
  <c r="S7" i="8" s="1"/>
  <c r="L52" i="9" l="1"/>
  <c r="L53" i="9"/>
  <c r="F52" i="9"/>
  <c r="F53" i="9"/>
  <c r="G26" i="8" l="1"/>
  <c r="S26" i="8" s="1"/>
  <c r="S95" i="8" s="1"/>
  <c r="L96" i="9" l="1"/>
  <c r="L97" i="9"/>
  <c r="L98" i="9"/>
  <c r="L99" i="9"/>
  <c r="L100" i="9"/>
  <c r="L101" i="9"/>
  <c r="L102" i="9"/>
  <c r="F98" i="9"/>
  <c r="F99" i="9"/>
  <c r="F100" i="9"/>
  <c r="F101" i="9"/>
  <c r="F102" i="9"/>
  <c r="F139" i="9" l="1"/>
  <c r="L138" i="9"/>
  <c r="F138" i="9"/>
  <c r="F137" i="9"/>
  <c r="F136" i="9"/>
  <c r="F130" i="9"/>
  <c r="K37" i="8" l="1"/>
  <c r="M37" i="8" s="1"/>
  <c r="E37" i="8"/>
  <c r="K35" i="8"/>
  <c r="L35" i="8" s="1"/>
  <c r="E35" i="8"/>
  <c r="C24" i="8"/>
  <c r="L241" i="7"/>
  <c r="F241" i="7"/>
  <c r="L240" i="7"/>
  <c r="F240" i="7"/>
  <c r="L239" i="7"/>
  <c r="L238" i="7"/>
  <c r="F238" i="7"/>
  <c r="L237" i="7"/>
  <c r="L236" i="7"/>
  <c r="F129" i="9"/>
  <c r="F128" i="9"/>
  <c r="F127" i="9"/>
  <c r="L135" i="7"/>
  <c r="L134" i="7"/>
  <c r="L133" i="7"/>
  <c r="L38" i="9"/>
  <c r="L37" i="9"/>
  <c r="L36" i="9"/>
  <c r="L35" i="9"/>
  <c r="L22" i="9"/>
  <c r="L21" i="9"/>
  <c r="L20" i="9"/>
  <c r="L19" i="9"/>
  <c r="L18" i="9"/>
  <c r="L17" i="9"/>
  <c r="L112" i="9"/>
  <c r="L111" i="9"/>
  <c r="L110" i="9"/>
  <c r="L109" i="9"/>
  <c r="L108" i="9"/>
  <c r="L107" i="9"/>
  <c r="L106" i="9"/>
  <c r="L103" i="9"/>
  <c r="F125" i="9"/>
  <c r="F124" i="9"/>
  <c r="F123" i="9"/>
  <c r="F122" i="9"/>
  <c r="F126" i="9"/>
  <c r="L126" i="9"/>
  <c r="L125" i="9"/>
  <c r="F121" i="9"/>
  <c r="F120" i="9"/>
  <c r="F119" i="9"/>
  <c r="F118" i="9"/>
  <c r="F117" i="9"/>
  <c r="F116" i="9"/>
  <c r="F115" i="9"/>
  <c r="F114" i="9"/>
  <c r="F113" i="9"/>
  <c r="F112" i="9"/>
  <c r="F111" i="9"/>
  <c r="F87" i="9"/>
  <c r="F86" i="9"/>
  <c r="F110" i="9"/>
  <c r="F109" i="9"/>
  <c r="F108" i="9"/>
  <c r="F107" i="9"/>
  <c r="F106" i="9"/>
  <c r="F35" i="18" l="1"/>
  <c r="L37" i="8"/>
  <c r="N37" i="8"/>
  <c r="F37" i="18"/>
  <c r="M35" i="8"/>
  <c r="N35" i="8"/>
  <c r="F227" i="9" l="1"/>
  <c r="L124" i="9"/>
  <c r="L123" i="9"/>
  <c r="L122" i="9"/>
  <c r="L121" i="9"/>
  <c r="L120" i="9"/>
  <c r="L119" i="9"/>
  <c r="L118" i="9"/>
  <c r="L117" i="9"/>
  <c r="L116" i="9"/>
  <c r="L115" i="9"/>
  <c r="L114" i="9"/>
  <c r="L113" i="9"/>
  <c r="F103" i="9"/>
  <c r="F97" i="9"/>
  <c r="F96" i="9"/>
  <c r="F95" i="9"/>
  <c r="F94" i="9"/>
  <c r="L51" i="9"/>
  <c r="F51" i="9"/>
  <c r="L50" i="9"/>
  <c r="F50" i="9"/>
  <c r="L49" i="9"/>
  <c r="F49" i="9"/>
  <c r="L48" i="9"/>
  <c r="F48" i="9"/>
  <c r="L47" i="9"/>
  <c r="F47" i="9"/>
  <c r="L46" i="9"/>
  <c r="F46" i="9"/>
  <c r="L45" i="9"/>
  <c r="F45" i="9"/>
  <c r="L44" i="9"/>
  <c r="F44" i="9"/>
  <c r="L43" i="9"/>
  <c r="F43" i="9"/>
  <c r="L42" i="9"/>
  <c r="F42" i="9"/>
  <c r="L41" i="9"/>
  <c r="F41" i="9"/>
  <c r="L40" i="9"/>
  <c r="F40" i="9"/>
  <c r="L39" i="9"/>
  <c r="J7" i="14" s="1"/>
  <c r="F39" i="9"/>
  <c r="F38" i="9"/>
  <c r="F37" i="9"/>
  <c r="F36" i="9"/>
  <c r="F35" i="9"/>
  <c r="F33" i="9"/>
  <c r="F25" i="9"/>
  <c r="F23" i="9"/>
  <c r="F22" i="9"/>
  <c r="F21" i="9"/>
  <c r="F20" i="9"/>
  <c r="F19" i="9"/>
  <c r="F18" i="9"/>
  <c r="F17" i="9"/>
  <c r="L16" i="9"/>
  <c r="F16" i="9"/>
  <c r="L15" i="9"/>
  <c r="F15" i="9"/>
  <c r="L14" i="9"/>
  <c r="F14" i="9"/>
  <c r="L13" i="9"/>
  <c r="F13" i="9"/>
  <c r="L12" i="9"/>
  <c r="F12" i="9"/>
  <c r="L11" i="9"/>
  <c r="F11" i="9"/>
  <c r="L10" i="9"/>
  <c r="F10" i="9"/>
  <c r="L9" i="9"/>
  <c r="F9" i="9"/>
  <c r="L8" i="9"/>
  <c r="F8" i="9"/>
  <c r="F94" i="8"/>
  <c r="K94" i="8" s="1"/>
  <c r="E94" i="8"/>
  <c r="K93" i="8"/>
  <c r="E93" i="8"/>
  <c r="K92" i="8"/>
  <c r="N92" i="8" s="1"/>
  <c r="E92" i="8"/>
  <c r="K91" i="8"/>
  <c r="N91" i="8" s="1"/>
  <c r="E91" i="8"/>
  <c r="K90" i="8"/>
  <c r="E90" i="8"/>
  <c r="K89" i="8"/>
  <c r="L89" i="8" s="1"/>
  <c r="E89" i="8"/>
  <c r="K88" i="8"/>
  <c r="N88" i="8" s="1"/>
  <c r="E88" i="8"/>
  <c r="K87" i="8"/>
  <c r="N87" i="8" s="1"/>
  <c r="E87" i="8"/>
  <c r="K86" i="8"/>
  <c r="N86" i="8" s="1"/>
  <c r="E86" i="8"/>
  <c r="K85" i="8"/>
  <c r="M85" i="8" s="1"/>
  <c r="E85" i="8"/>
  <c r="K84" i="8"/>
  <c r="N84" i="8" s="1"/>
  <c r="E84" i="8"/>
  <c r="K83" i="8"/>
  <c r="N83" i="8" s="1"/>
  <c r="E83" i="8"/>
  <c r="K82" i="8"/>
  <c r="N82" i="8" s="1"/>
  <c r="E82" i="8"/>
  <c r="K81" i="8"/>
  <c r="L81" i="8" s="1"/>
  <c r="E81" i="8"/>
  <c r="K80" i="8"/>
  <c r="N80" i="8" s="1"/>
  <c r="E80" i="8"/>
  <c r="K79" i="8"/>
  <c r="N79" i="8" s="1"/>
  <c r="E79" i="8"/>
  <c r="K78" i="8"/>
  <c r="N78" i="8" s="1"/>
  <c r="E78" i="8"/>
  <c r="K77" i="8"/>
  <c r="M77" i="8" s="1"/>
  <c r="E77" i="8"/>
  <c r="K76" i="8"/>
  <c r="N76" i="8" s="1"/>
  <c r="E76" i="8"/>
  <c r="K74" i="8"/>
  <c r="L74" i="8" s="1"/>
  <c r="E74" i="8"/>
  <c r="K73" i="8"/>
  <c r="L73" i="8" s="1"/>
  <c r="E73" i="8"/>
  <c r="K71" i="8"/>
  <c r="F71" i="18" s="1"/>
  <c r="E71" i="8"/>
  <c r="K70" i="8"/>
  <c r="E70" i="8"/>
  <c r="K69" i="8"/>
  <c r="E69" i="8"/>
  <c r="K68" i="8"/>
  <c r="M68" i="8" s="1"/>
  <c r="E68" i="8"/>
  <c r="K67" i="8"/>
  <c r="N67" i="8" s="1"/>
  <c r="E67" i="8"/>
  <c r="K66" i="8"/>
  <c r="E66" i="8"/>
  <c r="K65" i="8"/>
  <c r="L65" i="8" s="1"/>
  <c r="E65" i="8"/>
  <c r="K64" i="8"/>
  <c r="M64" i="8" s="1"/>
  <c r="E64" i="8"/>
  <c r="K62" i="8"/>
  <c r="F62" i="18" s="1"/>
  <c r="E62" i="8"/>
  <c r="K61" i="8"/>
  <c r="E61" i="8"/>
  <c r="K60" i="8"/>
  <c r="E60" i="8"/>
  <c r="K59" i="8"/>
  <c r="E59" i="8"/>
  <c r="K58" i="8"/>
  <c r="N58" i="8" s="1"/>
  <c r="E58" i="8"/>
  <c r="K56" i="8"/>
  <c r="E56" i="8"/>
  <c r="K55" i="8"/>
  <c r="E55" i="8"/>
  <c r="K54" i="8"/>
  <c r="E54" i="8"/>
  <c r="K53" i="8"/>
  <c r="E53" i="8"/>
  <c r="K52" i="8"/>
  <c r="E52" i="8"/>
  <c r="K51" i="8"/>
  <c r="L51" i="8" s="1"/>
  <c r="E51" i="8"/>
  <c r="K50" i="8"/>
  <c r="E50" i="8"/>
  <c r="K49" i="8"/>
  <c r="E49" i="8"/>
  <c r="K48" i="8"/>
  <c r="E48" i="8"/>
  <c r="K47" i="8"/>
  <c r="E47" i="8"/>
  <c r="K45" i="8"/>
  <c r="E45" i="8"/>
  <c r="K44" i="8"/>
  <c r="E44" i="8"/>
  <c r="K43" i="8"/>
  <c r="E43" i="8"/>
  <c r="K42" i="8"/>
  <c r="L42" i="8" s="1"/>
  <c r="E42" i="8"/>
  <c r="K41" i="8"/>
  <c r="F41" i="18" s="1"/>
  <c r="E41" i="8"/>
  <c r="K40" i="8"/>
  <c r="E40" i="8"/>
  <c r="K39" i="8"/>
  <c r="E39" i="8"/>
  <c r="K34" i="8"/>
  <c r="M34" i="8" s="1"/>
  <c r="E34" i="8"/>
  <c r="K33" i="8"/>
  <c r="F33" i="18" s="1"/>
  <c r="E33" i="8"/>
  <c r="K32" i="8"/>
  <c r="E32" i="8"/>
  <c r="K31" i="8"/>
  <c r="L31" i="8" s="1"/>
  <c r="E31" i="8"/>
  <c r="K29" i="8"/>
  <c r="E29" i="8"/>
  <c r="K28" i="8"/>
  <c r="E28" i="8"/>
  <c r="K27" i="8"/>
  <c r="E27" i="8"/>
  <c r="K26" i="8"/>
  <c r="F26" i="18" s="1"/>
  <c r="E26" i="8"/>
  <c r="K25" i="8"/>
  <c r="E25" i="8"/>
  <c r="K24" i="8"/>
  <c r="E24" i="8"/>
  <c r="K23" i="8"/>
  <c r="E23" i="8"/>
  <c r="K22" i="8"/>
  <c r="E22" i="8"/>
  <c r="K20" i="8"/>
  <c r="F20" i="18" s="1"/>
  <c r="E20" i="8"/>
  <c r="K19" i="8"/>
  <c r="F19" i="18" s="1"/>
  <c r="E19" i="8"/>
  <c r="K18" i="8"/>
  <c r="F18" i="18" s="1"/>
  <c r="E18" i="8"/>
  <c r="K17" i="8"/>
  <c r="F17" i="18" s="1"/>
  <c r="K16" i="8"/>
  <c r="F16" i="18" s="1"/>
  <c r="E16" i="8"/>
  <c r="K15" i="8"/>
  <c r="F15" i="18" s="1"/>
  <c r="E15" i="8"/>
  <c r="K14" i="8"/>
  <c r="F14" i="18" s="1"/>
  <c r="E14" i="8"/>
  <c r="K13" i="8"/>
  <c r="F13" i="18" s="1"/>
  <c r="E13" i="8"/>
  <c r="K12" i="8"/>
  <c r="F12" i="18" s="1"/>
  <c r="E12" i="8"/>
  <c r="K11" i="8"/>
  <c r="F11" i="18" s="1"/>
  <c r="E11" i="8"/>
  <c r="K7" i="8"/>
  <c r="F7" i="18" s="1"/>
  <c r="E7" i="8"/>
  <c r="N93" i="8" l="1"/>
  <c r="L93" i="8"/>
  <c r="N81" i="8"/>
  <c r="N62" i="8"/>
  <c r="L85" i="8"/>
  <c r="N85" i="8"/>
  <c r="N71" i="8"/>
  <c r="N89" i="8"/>
  <c r="N31" i="8"/>
  <c r="M73" i="8"/>
  <c r="N33" i="8"/>
  <c r="M71" i="8"/>
  <c r="M82" i="8"/>
  <c r="M89" i="8"/>
  <c r="M25" i="8"/>
  <c r="F25" i="18"/>
  <c r="M44" i="8"/>
  <c r="F44" i="18"/>
  <c r="N52" i="8"/>
  <c r="F52" i="18"/>
  <c r="M49" i="8"/>
  <c r="F49" i="18"/>
  <c r="N24" i="8"/>
  <c r="F24" i="18"/>
  <c r="N28" i="8"/>
  <c r="F28" i="18"/>
  <c r="L33" i="8"/>
  <c r="N43" i="8"/>
  <c r="F43" i="18"/>
  <c r="L45" i="8"/>
  <c r="F45" i="18"/>
  <c r="N55" i="8"/>
  <c r="F55" i="18"/>
  <c r="N59" i="8"/>
  <c r="F59" i="18"/>
  <c r="L62" i="8"/>
  <c r="N64" i="8"/>
  <c r="F64" i="18"/>
  <c r="L28" i="8"/>
  <c r="M31" i="8"/>
  <c r="F31" i="18"/>
  <c r="N32" i="8"/>
  <c r="F32" i="18"/>
  <c r="M33" i="8"/>
  <c r="N40" i="8"/>
  <c r="F40" i="18"/>
  <c r="N42" i="8"/>
  <c r="F42" i="18"/>
  <c r="M45" i="8"/>
  <c r="N48" i="8"/>
  <c r="F48" i="18"/>
  <c r="L50" i="8"/>
  <c r="F50" i="18"/>
  <c r="L55" i="8"/>
  <c r="M58" i="8"/>
  <c r="F58" i="18"/>
  <c r="M59" i="8"/>
  <c r="N61" i="8"/>
  <c r="F61" i="18"/>
  <c r="M62" i="8"/>
  <c r="L64" i="8"/>
  <c r="L67" i="8"/>
  <c r="F67" i="18"/>
  <c r="L71" i="8"/>
  <c r="N73" i="8"/>
  <c r="F73" i="18"/>
  <c r="N74" i="8"/>
  <c r="F74" i="18"/>
  <c r="N77" i="8"/>
  <c r="M78" i="8"/>
  <c r="M81" i="8"/>
  <c r="L82" i="8"/>
  <c r="L83" i="8"/>
  <c r="L54" i="8"/>
  <c r="F54" i="18"/>
  <c r="N39" i="8"/>
  <c r="F39" i="18"/>
  <c r="N47" i="8"/>
  <c r="F47" i="18"/>
  <c r="N51" i="8"/>
  <c r="F51" i="18"/>
  <c r="N56" i="8"/>
  <c r="F56" i="18"/>
  <c r="N60" i="8"/>
  <c r="F60" i="18"/>
  <c r="N66" i="8"/>
  <c r="F66" i="18"/>
  <c r="N69" i="8"/>
  <c r="F69" i="18"/>
  <c r="L77" i="8"/>
  <c r="L92" i="8"/>
  <c r="M27" i="8"/>
  <c r="F27" i="18"/>
  <c r="L34" i="8"/>
  <c r="F34" i="18"/>
  <c r="M53" i="8"/>
  <c r="F53" i="18"/>
  <c r="N65" i="8"/>
  <c r="F65" i="18"/>
  <c r="N68" i="8"/>
  <c r="F68" i="18"/>
  <c r="L69" i="8"/>
  <c r="L78" i="8"/>
  <c r="M91" i="8"/>
  <c r="N70" i="8"/>
  <c r="F70" i="18"/>
  <c r="L87" i="8"/>
  <c r="M86" i="8"/>
  <c r="L86" i="8"/>
  <c r="M22" i="8"/>
  <c r="F22" i="18"/>
  <c r="M29" i="8"/>
  <c r="F29" i="18"/>
  <c r="M23" i="8"/>
  <c r="F23" i="18"/>
  <c r="L228" i="9"/>
  <c r="L96" i="8" s="1"/>
  <c r="H7" i="14" s="1"/>
  <c r="E95" i="8"/>
  <c r="L22" i="8"/>
  <c r="M54" i="8"/>
  <c r="L58" i="8"/>
  <c r="N22" i="8"/>
  <c r="N44" i="8"/>
  <c r="N53" i="8"/>
  <c r="L59" i="8"/>
  <c r="L60" i="8"/>
  <c r="M67" i="8"/>
  <c r="L68" i="8"/>
  <c r="L79" i="8"/>
  <c r="L91" i="8"/>
  <c r="F228" i="9"/>
  <c r="L53" i="8"/>
  <c r="L39" i="8"/>
  <c r="L44" i="8"/>
  <c r="L47" i="8"/>
  <c r="M50" i="8"/>
  <c r="N49" i="8"/>
  <c r="N12" i="8"/>
  <c r="M12" i="8"/>
  <c r="L12" i="8"/>
  <c r="N16" i="8"/>
  <c r="M16" i="8"/>
  <c r="L16" i="8"/>
  <c r="N7" i="8"/>
  <c r="M7" i="8"/>
  <c r="L7" i="8"/>
  <c r="M41" i="8"/>
  <c r="L41" i="8"/>
  <c r="N41" i="8"/>
  <c r="L13" i="8"/>
  <c r="N13" i="8"/>
  <c r="M13" i="8"/>
  <c r="L19" i="8"/>
  <c r="N19" i="8"/>
  <c r="M19" i="8"/>
  <c r="L11" i="8"/>
  <c r="N11" i="8"/>
  <c r="M11" i="8"/>
  <c r="L15" i="8"/>
  <c r="N15" i="8"/>
  <c r="M15" i="8"/>
  <c r="L17" i="8"/>
  <c r="N17" i="8"/>
  <c r="M17" i="8"/>
  <c r="N26" i="8"/>
  <c r="M26" i="8"/>
  <c r="L26" i="8"/>
  <c r="N14" i="8"/>
  <c r="M14" i="8"/>
  <c r="L14" i="8"/>
  <c r="N18" i="8"/>
  <c r="M18" i="8"/>
  <c r="L18" i="8"/>
  <c r="N20" i="8"/>
  <c r="M20" i="8"/>
  <c r="L20" i="8"/>
  <c r="N90" i="8"/>
  <c r="M90" i="8"/>
  <c r="L90" i="8"/>
  <c r="N23" i="8"/>
  <c r="L24" i="8"/>
  <c r="N25" i="8"/>
  <c r="N27" i="8"/>
  <c r="M28" i="8"/>
  <c r="N29" i="8"/>
  <c r="L32" i="8"/>
  <c r="N34" i="8"/>
  <c r="M39" i="8"/>
  <c r="L40" i="8"/>
  <c r="M42" i="8"/>
  <c r="L43" i="8"/>
  <c r="N45" i="8"/>
  <c r="M47" i="8"/>
  <c r="L48" i="8"/>
  <c r="N50" i="8"/>
  <c r="M51" i="8"/>
  <c r="L52" i="8"/>
  <c r="N54" i="8"/>
  <c r="M55" i="8"/>
  <c r="L56" i="8"/>
  <c r="M60" i="8"/>
  <c r="L61" i="8"/>
  <c r="M65" i="8"/>
  <c r="L66" i="8"/>
  <c r="M69" i="8"/>
  <c r="L70" i="8"/>
  <c r="M74" i="8"/>
  <c r="L76" i="8"/>
  <c r="M79" i="8"/>
  <c r="L80" i="8"/>
  <c r="M83" i="8"/>
  <c r="L84" i="8"/>
  <c r="M87" i="8"/>
  <c r="L88" i="8"/>
  <c r="M92" i="8"/>
  <c r="M24" i="8"/>
  <c r="M32" i="8"/>
  <c r="M40" i="8"/>
  <c r="M43" i="8"/>
  <c r="M48" i="8"/>
  <c r="L49" i="8"/>
  <c r="M52" i="8"/>
  <c r="M56" i="8"/>
  <c r="M61" i="8"/>
  <c r="M66" i="8"/>
  <c r="M70" i="8"/>
  <c r="M76" i="8"/>
  <c r="M80" i="8"/>
  <c r="M84" i="8"/>
  <c r="M88" i="8"/>
  <c r="M93" i="8"/>
  <c r="L23" i="8"/>
  <c r="L25" i="8"/>
  <c r="L27" i="8"/>
  <c r="L29" i="8"/>
  <c r="L144" i="7"/>
  <c r="L143" i="7"/>
  <c r="L142" i="7"/>
  <c r="L141" i="7"/>
  <c r="L140" i="7"/>
  <c r="L139" i="7"/>
  <c r="L138" i="7"/>
  <c r="L137" i="7"/>
  <c r="L136" i="7"/>
  <c r="L132" i="7"/>
  <c r="L131" i="7"/>
  <c r="L130" i="7"/>
  <c r="K87" i="6"/>
  <c r="N87" i="6" s="1"/>
  <c r="E87" i="6"/>
  <c r="K86" i="6"/>
  <c r="N86" i="6" s="1"/>
  <c r="E86" i="6"/>
  <c r="E96" i="8" l="1"/>
  <c r="M96" i="8" s="1"/>
  <c r="H228" i="9"/>
  <c r="J228" i="9"/>
  <c r="I228" i="9"/>
  <c r="K228" i="9"/>
  <c r="D7" i="14"/>
  <c r="G95" i="8"/>
  <c r="H95" i="8"/>
  <c r="J95" i="8"/>
  <c r="I95" i="8"/>
  <c r="L95" i="8"/>
  <c r="E7" i="14" s="1"/>
  <c r="E7" i="19" s="1"/>
  <c r="L86" i="6"/>
  <c r="M86" i="6"/>
  <c r="L87" i="6"/>
  <c r="M87" i="6"/>
  <c r="H96" i="8" l="1"/>
  <c r="I96" i="8"/>
  <c r="G96" i="8"/>
  <c r="J96" i="8"/>
  <c r="F7" i="14"/>
  <c r="E97" i="8"/>
  <c r="H97" i="8" s="1"/>
  <c r="G7" i="14"/>
  <c r="I7" i="14" s="1"/>
  <c r="L97" i="8"/>
  <c r="K7" i="14" s="1"/>
  <c r="M95" i="8"/>
  <c r="J20" i="6"/>
  <c r="J19" i="6"/>
  <c r="J18" i="6"/>
  <c r="J17" i="6"/>
  <c r="J16" i="6"/>
  <c r="J15" i="6"/>
  <c r="J90" i="6"/>
  <c r="L233" i="7"/>
  <c r="J7" i="6"/>
  <c r="C7" i="14" l="1"/>
  <c r="I97" i="8"/>
  <c r="G97" i="8"/>
  <c r="J97" i="8"/>
  <c r="L100" i="8"/>
  <c r="M97" i="8"/>
  <c r="J29" i="6"/>
  <c r="J26" i="6"/>
  <c r="J23" i="6"/>
  <c r="L231" i="7" l="1"/>
  <c r="F231" i="7"/>
  <c r="L230" i="7"/>
  <c r="F230" i="7"/>
  <c r="L28" i="7" l="1"/>
  <c r="L104" i="7" l="1"/>
  <c r="F104" i="7"/>
  <c r="F132" i="7"/>
  <c r="F131" i="7"/>
  <c r="F130" i="7"/>
  <c r="L129" i="7"/>
  <c r="F129" i="7"/>
  <c r="L128" i="7"/>
  <c r="F128" i="7"/>
  <c r="L127" i="7"/>
  <c r="F127" i="7"/>
  <c r="F89" i="7" l="1"/>
  <c r="F88" i="7"/>
  <c r="F87" i="7"/>
  <c r="F86" i="7"/>
  <c r="L114" i="7"/>
  <c r="L113" i="7"/>
  <c r="L112" i="7"/>
  <c r="L111" i="7"/>
  <c r="L110" i="7"/>
  <c r="L109" i="7"/>
  <c r="L108" i="7"/>
  <c r="L107" i="7"/>
  <c r="L106" i="7"/>
  <c r="L105" i="7"/>
  <c r="L103" i="7"/>
  <c r="L102" i="7"/>
  <c r="L101" i="7"/>
  <c r="L100" i="7"/>
  <c r="F107" i="7"/>
  <c r="F106" i="7"/>
  <c r="F105" i="7"/>
  <c r="L126" i="7"/>
  <c r="L125" i="7"/>
  <c r="L124" i="7"/>
  <c r="L123" i="7"/>
  <c r="F142" i="7"/>
  <c r="F141" i="7"/>
  <c r="F140" i="7"/>
  <c r="F139" i="7"/>
  <c r="F138" i="7"/>
  <c r="F137" i="7"/>
  <c r="F126" i="7"/>
  <c r="F125" i="7"/>
  <c r="F124" i="7"/>
  <c r="L89" i="7"/>
  <c r="L88" i="7"/>
  <c r="L87" i="7"/>
  <c r="L86" i="7"/>
  <c r="F93" i="7"/>
  <c r="F92" i="7"/>
  <c r="F91" i="7"/>
  <c r="F90" i="7"/>
  <c r="L96" i="7"/>
  <c r="L95" i="7"/>
  <c r="L94" i="7"/>
  <c r="L93" i="7"/>
  <c r="L92" i="7"/>
  <c r="L91" i="7"/>
  <c r="L90" i="7"/>
  <c r="L85" i="7"/>
  <c r="K80" i="6"/>
  <c r="N80" i="6" s="1"/>
  <c r="E80" i="6"/>
  <c r="L80" i="6" l="1"/>
  <c r="M80" i="6"/>
  <c r="L186" i="7" l="1"/>
  <c r="L187" i="7"/>
  <c r="L188" i="7"/>
  <c r="L189" i="7"/>
  <c r="L190" i="7"/>
  <c r="L191" i="7"/>
  <c r="L192" i="7"/>
  <c r="L193" i="7"/>
  <c r="L194" i="7"/>
  <c r="L195" i="7"/>
  <c r="F186" i="7"/>
  <c r="F187" i="7"/>
  <c r="F188" i="7"/>
  <c r="F189" i="7"/>
  <c r="F190" i="7"/>
  <c r="F191" i="7"/>
  <c r="F192" i="7"/>
  <c r="F193" i="7"/>
  <c r="I7" i="6"/>
  <c r="F184" i="7"/>
  <c r="I90" i="6" l="1"/>
  <c r="C26" i="6"/>
  <c r="C25" i="6"/>
  <c r="C22" i="6"/>
  <c r="F226" i="7" l="1"/>
  <c r="F235" i="7"/>
  <c r="F234" i="7"/>
  <c r="F232" i="7"/>
  <c r="F229" i="7"/>
  <c r="F228" i="7"/>
  <c r="L242" i="7" l="1"/>
  <c r="L235" i="7"/>
  <c r="L234" i="7"/>
  <c r="L232" i="7"/>
  <c r="L229" i="7"/>
  <c r="L228" i="7"/>
  <c r="L227" i="7"/>
  <c r="L226" i="7"/>
  <c r="L225" i="7"/>
  <c r="F242" i="7"/>
  <c r="F227" i="7"/>
  <c r="L224" i="7" l="1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F224" i="7" l="1"/>
  <c r="L205" i="7" l="1"/>
  <c r="F103" i="7"/>
  <c r="F225" i="7"/>
  <c r="F223" i="7"/>
  <c r="C15" i="19"/>
  <c r="C14" i="19"/>
  <c r="C13" i="19"/>
  <c r="C12" i="19"/>
  <c r="C11" i="19"/>
  <c r="C10" i="19"/>
  <c r="C9" i="19"/>
  <c r="C8" i="19"/>
  <c r="C7" i="19"/>
  <c r="C6" i="19"/>
  <c r="C5" i="19"/>
  <c r="C4" i="19"/>
  <c r="F15" i="16" l="1"/>
  <c r="I14" i="16"/>
  <c r="F14" i="16"/>
  <c r="I15" i="16"/>
  <c r="C37" i="6"/>
  <c r="C29" i="6"/>
  <c r="C23" i="6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H14" i="6"/>
  <c r="H13" i="6"/>
  <c r="H12" i="6"/>
  <c r="H11" i="6"/>
  <c r="H37" i="6"/>
  <c r="H7" i="6"/>
  <c r="L84" i="7" l="1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H90" i="6" l="1"/>
  <c r="L27" i="7" l="1"/>
  <c r="F27" i="7"/>
  <c r="F30" i="5"/>
  <c r="L30" i="5"/>
  <c r="F123" i="7"/>
  <c r="L122" i="7"/>
  <c r="F122" i="7"/>
  <c r="L121" i="7"/>
  <c r="F121" i="7"/>
  <c r="L120" i="7"/>
  <c r="F120" i="7"/>
  <c r="L119" i="7"/>
  <c r="L118" i="7"/>
  <c r="F119" i="7"/>
  <c r="L24" i="7" l="1"/>
  <c r="F101" i="7"/>
  <c r="F113" i="7"/>
  <c r="F114" i="7"/>
  <c r="L115" i="7"/>
  <c r="F115" i="7"/>
  <c r="F70" i="7" l="1"/>
  <c r="F69" i="7"/>
  <c r="L68" i="7"/>
  <c r="F68" i="7"/>
  <c r="L67" i="7"/>
  <c r="F95" i="7"/>
  <c r="F94" i="7"/>
  <c r="F67" i="7"/>
  <c r="F209" i="7"/>
  <c r="L207" i="7" l="1"/>
  <c r="F207" i="7"/>
  <c r="L203" i="7"/>
  <c r="F203" i="7"/>
  <c r="G7" i="6"/>
  <c r="L167" i="7" l="1"/>
  <c r="F167" i="7"/>
  <c r="L176" i="7"/>
  <c r="F176" i="7"/>
  <c r="L175" i="7"/>
  <c r="F175" i="7"/>
  <c r="L174" i="7"/>
  <c r="F174" i="7"/>
  <c r="L173" i="7"/>
  <c r="F173" i="7"/>
  <c r="L172" i="7"/>
  <c r="F172" i="7"/>
  <c r="L171" i="7"/>
  <c r="F171" i="7"/>
  <c r="L170" i="7"/>
  <c r="F170" i="7"/>
  <c r="L169" i="7"/>
  <c r="F169" i="7"/>
  <c r="L168" i="7"/>
  <c r="F168" i="7"/>
  <c r="L181" i="7"/>
  <c r="L180" i="7"/>
  <c r="L179" i="7"/>
  <c r="L178" i="7"/>
  <c r="L177" i="7"/>
  <c r="L166" i="7"/>
  <c r="L165" i="7"/>
  <c r="L164" i="7"/>
  <c r="L163" i="7"/>
  <c r="F181" i="7"/>
  <c r="F180" i="7"/>
  <c r="F179" i="7"/>
  <c r="F178" i="7"/>
  <c r="F177" i="7"/>
  <c r="F166" i="7"/>
  <c r="F165" i="7"/>
  <c r="G41" i="6"/>
  <c r="L26" i="7" l="1"/>
  <c r="F26" i="7"/>
  <c r="H153" i="7"/>
  <c r="F76" i="5"/>
  <c r="L201" i="7" l="1"/>
  <c r="F201" i="7"/>
  <c r="L66" i="7"/>
  <c r="F66" i="7"/>
  <c r="L65" i="7"/>
  <c r="F65" i="7"/>
  <c r="L64" i="7"/>
  <c r="F64" i="7"/>
  <c r="L63" i="7"/>
  <c r="F63" i="7"/>
  <c r="L62" i="7"/>
  <c r="F62" i="7"/>
  <c r="L61" i="7"/>
  <c r="F61" i="7"/>
  <c r="L60" i="7"/>
  <c r="F60" i="7"/>
  <c r="L59" i="7"/>
  <c r="F59" i="7"/>
  <c r="L58" i="7"/>
  <c r="F58" i="7"/>
  <c r="L57" i="7"/>
  <c r="F57" i="7"/>
  <c r="L56" i="7"/>
  <c r="F56" i="7"/>
  <c r="L55" i="7" l="1"/>
  <c r="K83" i="3"/>
  <c r="P22" i="14"/>
  <c r="L34" i="7"/>
  <c r="L33" i="7"/>
  <c r="L32" i="7"/>
  <c r="L31" i="7"/>
  <c r="L25" i="7"/>
  <c r="L23" i="7"/>
  <c r="L22" i="7"/>
  <c r="L54" i="7"/>
  <c r="L5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244" i="7"/>
  <c r="L243" i="7"/>
  <c r="L202" i="7"/>
  <c r="L200" i="7"/>
  <c r="L199" i="7"/>
  <c r="L198" i="7"/>
  <c r="L197" i="7"/>
  <c r="F244" i="7"/>
  <c r="F243" i="7"/>
  <c r="F212" i="7"/>
  <c r="F211" i="7"/>
  <c r="F210" i="7"/>
  <c r="F208" i="7"/>
  <c r="F202" i="7"/>
  <c r="F200" i="7"/>
  <c r="F199" i="7"/>
  <c r="F198" i="7"/>
  <c r="F197" i="7"/>
  <c r="F196" i="7"/>
  <c r="F19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5" i="7"/>
  <c r="F34" i="7"/>
  <c r="L246" i="7" l="1"/>
  <c r="F246" i="7"/>
  <c r="L245" i="7"/>
  <c r="F245" i="7"/>
  <c r="L196" i="7"/>
  <c r="F194" i="7"/>
  <c r="L185" i="7"/>
  <c r="F185" i="7"/>
  <c r="L183" i="7"/>
  <c r="F183" i="7"/>
  <c r="L182" i="7"/>
  <c r="F182" i="7"/>
  <c r="F152" i="7"/>
  <c r="F151" i="7"/>
  <c r="L150" i="7"/>
  <c r="F150" i="7"/>
  <c r="L149" i="7"/>
  <c r="F149" i="7"/>
  <c r="L148" i="7"/>
  <c r="F148" i="7"/>
  <c r="L147" i="7"/>
  <c r="F147" i="7"/>
  <c r="L146" i="7"/>
  <c r="F146" i="7"/>
  <c r="L145" i="7"/>
  <c r="F145" i="7"/>
  <c r="F144" i="7"/>
  <c r="F143" i="7"/>
  <c r="F118" i="7"/>
  <c r="L117" i="7"/>
  <c r="F117" i="7"/>
  <c r="L116" i="7"/>
  <c r="F116" i="7"/>
  <c r="F112" i="7"/>
  <c r="F111" i="7"/>
  <c r="F110" i="7"/>
  <c r="F109" i="7"/>
  <c r="F108" i="7"/>
  <c r="L99" i="7"/>
  <c r="F99" i="7"/>
  <c r="L98" i="7"/>
  <c r="F98" i="7"/>
  <c r="L97" i="7"/>
  <c r="F97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J6" i="14" s="1"/>
  <c r="F33" i="7"/>
  <c r="F32" i="7"/>
  <c r="F31" i="7"/>
  <c r="F25" i="7"/>
  <c r="F23" i="7"/>
  <c r="F22" i="7"/>
  <c r="L21" i="7"/>
  <c r="F21" i="7"/>
  <c r="L20" i="7"/>
  <c r="F20" i="7"/>
  <c r="L19" i="7"/>
  <c r="F19" i="7"/>
  <c r="L18" i="7"/>
  <c r="F18" i="7"/>
  <c r="L17" i="7"/>
  <c r="F17" i="7"/>
  <c r="L16" i="7"/>
  <c r="F16" i="7"/>
  <c r="L15" i="7"/>
  <c r="F15" i="7"/>
  <c r="L14" i="7"/>
  <c r="F14" i="7"/>
  <c r="L13" i="7"/>
  <c r="F13" i="7"/>
  <c r="L12" i="7"/>
  <c r="F12" i="7"/>
  <c r="L11" i="7"/>
  <c r="F11" i="7"/>
  <c r="L10" i="7"/>
  <c r="F10" i="7"/>
  <c r="L9" i="7"/>
  <c r="F9" i="7"/>
  <c r="L8" i="7"/>
  <c r="F8" i="7"/>
  <c r="F247" i="7" l="1"/>
  <c r="E96" i="6" s="1"/>
  <c r="G6" i="14" s="1"/>
  <c r="L247" i="7"/>
  <c r="L96" i="6" s="1"/>
  <c r="H6" i="14" s="1"/>
  <c r="L230" i="5"/>
  <c r="L229" i="5"/>
  <c r="L228" i="5"/>
  <c r="L226" i="5"/>
  <c r="C24" i="6"/>
  <c r="I6" i="14" l="1"/>
  <c r="N96" i="6"/>
  <c r="F94" i="6"/>
  <c r="K94" i="6" s="1"/>
  <c r="E94" i="6"/>
  <c r="K93" i="6"/>
  <c r="N93" i="6" s="1"/>
  <c r="E93" i="6"/>
  <c r="K92" i="6"/>
  <c r="N92" i="6" s="1"/>
  <c r="E92" i="6"/>
  <c r="K91" i="6"/>
  <c r="L91" i="6" s="1"/>
  <c r="E91" i="6"/>
  <c r="K90" i="6"/>
  <c r="N90" i="6" s="1"/>
  <c r="E90" i="6"/>
  <c r="K89" i="6"/>
  <c r="N89" i="6" s="1"/>
  <c r="E89" i="6"/>
  <c r="K88" i="6"/>
  <c r="M88" i="6" s="1"/>
  <c r="E88" i="6"/>
  <c r="K85" i="6"/>
  <c r="N85" i="6" s="1"/>
  <c r="E85" i="6"/>
  <c r="K84" i="6"/>
  <c r="N84" i="6" s="1"/>
  <c r="E84" i="6"/>
  <c r="K83" i="6"/>
  <c r="M83" i="6" s="1"/>
  <c r="E83" i="6"/>
  <c r="K82" i="6"/>
  <c r="N82" i="6" s="1"/>
  <c r="E82" i="6"/>
  <c r="K81" i="6"/>
  <c r="N81" i="6" s="1"/>
  <c r="E81" i="6"/>
  <c r="K79" i="6"/>
  <c r="N79" i="6" s="1"/>
  <c r="E79" i="6"/>
  <c r="K78" i="6"/>
  <c r="N78" i="6" s="1"/>
  <c r="E78" i="6"/>
  <c r="K77" i="6"/>
  <c r="N77" i="6" s="1"/>
  <c r="E77" i="6"/>
  <c r="K76" i="6"/>
  <c r="L76" i="6" s="1"/>
  <c r="E76" i="6"/>
  <c r="K74" i="6"/>
  <c r="E74" i="6"/>
  <c r="K73" i="6"/>
  <c r="E73" i="6"/>
  <c r="K71" i="6"/>
  <c r="E71" i="6"/>
  <c r="K70" i="6"/>
  <c r="E70" i="6"/>
  <c r="K69" i="6"/>
  <c r="E69" i="6"/>
  <c r="K68" i="6"/>
  <c r="E68" i="6"/>
  <c r="K67" i="6"/>
  <c r="E67" i="6"/>
  <c r="K66" i="6"/>
  <c r="E66" i="6"/>
  <c r="K65" i="6"/>
  <c r="E65" i="6"/>
  <c r="K64" i="6"/>
  <c r="E64" i="6"/>
  <c r="K62" i="6"/>
  <c r="E62" i="6"/>
  <c r="K61" i="6"/>
  <c r="E61" i="6"/>
  <c r="K60" i="6"/>
  <c r="E60" i="6"/>
  <c r="K59" i="6"/>
  <c r="L59" i="6" s="1"/>
  <c r="E59" i="6"/>
  <c r="K58" i="6"/>
  <c r="E58" i="6"/>
  <c r="N56" i="6"/>
  <c r="K56" i="6"/>
  <c r="L56" i="6" s="1"/>
  <c r="E56" i="6"/>
  <c r="K55" i="6"/>
  <c r="E55" i="6"/>
  <c r="K54" i="6"/>
  <c r="E54" i="6"/>
  <c r="K53" i="6"/>
  <c r="E53" i="6"/>
  <c r="K52" i="6"/>
  <c r="E52" i="6"/>
  <c r="K51" i="6"/>
  <c r="E51" i="6"/>
  <c r="K50" i="6"/>
  <c r="E50" i="6"/>
  <c r="K49" i="6"/>
  <c r="E49" i="6"/>
  <c r="K48" i="6"/>
  <c r="E48" i="6"/>
  <c r="K47" i="6"/>
  <c r="E47" i="6"/>
  <c r="K45" i="6"/>
  <c r="E45" i="6"/>
  <c r="K44" i="6"/>
  <c r="E44" i="6"/>
  <c r="K43" i="6"/>
  <c r="E43" i="6"/>
  <c r="K42" i="6"/>
  <c r="E42" i="6"/>
  <c r="K41" i="6"/>
  <c r="L41" i="6" s="1"/>
  <c r="E41" i="6"/>
  <c r="K40" i="6"/>
  <c r="E40" i="6"/>
  <c r="K39" i="6"/>
  <c r="E39" i="6"/>
  <c r="K37" i="6"/>
  <c r="E37" i="6"/>
  <c r="K35" i="6"/>
  <c r="E35" i="6"/>
  <c r="K34" i="6"/>
  <c r="E34" i="6"/>
  <c r="N33" i="6"/>
  <c r="K33" i="6"/>
  <c r="E33" i="6"/>
  <c r="K32" i="6"/>
  <c r="E32" i="6"/>
  <c r="K31" i="6"/>
  <c r="E31" i="6"/>
  <c r="K29" i="6"/>
  <c r="E29" i="6"/>
  <c r="K28" i="6"/>
  <c r="E28" i="6"/>
  <c r="K27" i="6"/>
  <c r="N27" i="6" s="1"/>
  <c r="E27" i="6"/>
  <c r="K26" i="6"/>
  <c r="E26" i="18" s="1"/>
  <c r="E26" i="6"/>
  <c r="K25" i="6"/>
  <c r="E25" i="6"/>
  <c r="K24" i="6"/>
  <c r="E24" i="6"/>
  <c r="K23" i="6"/>
  <c r="E23" i="18" s="1"/>
  <c r="E23" i="6"/>
  <c r="K22" i="6"/>
  <c r="E22" i="18" s="1"/>
  <c r="E22" i="6"/>
  <c r="K20" i="6"/>
  <c r="E20" i="6"/>
  <c r="K19" i="6"/>
  <c r="E19" i="6"/>
  <c r="K18" i="6"/>
  <c r="E18" i="6"/>
  <c r="K17" i="6"/>
  <c r="E17" i="6"/>
  <c r="K16" i="6"/>
  <c r="E16" i="6"/>
  <c r="K15" i="6"/>
  <c r="E15" i="6"/>
  <c r="N14" i="6"/>
  <c r="K14" i="6"/>
  <c r="E14" i="6"/>
  <c r="K13" i="6"/>
  <c r="E13" i="6"/>
  <c r="K12" i="6"/>
  <c r="E12" i="6"/>
  <c r="K11" i="6"/>
  <c r="E11" i="6"/>
  <c r="K7" i="6"/>
  <c r="E7" i="18" s="1"/>
  <c r="E7" i="6"/>
  <c r="F44" i="5"/>
  <c r="J26" i="4"/>
  <c r="J22" i="4"/>
  <c r="L32" i="6" l="1"/>
  <c r="E32" i="18"/>
  <c r="L24" i="6"/>
  <c r="E24" i="18"/>
  <c r="N42" i="6"/>
  <c r="E42" i="18"/>
  <c r="N55" i="6"/>
  <c r="E55" i="18"/>
  <c r="M64" i="6"/>
  <c r="E64" i="18"/>
  <c r="M66" i="6"/>
  <c r="E66" i="18"/>
  <c r="L69" i="6"/>
  <c r="E69" i="18"/>
  <c r="L74" i="6"/>
  <c r="E74" i="18"/>
  <c r="N34" i="6"/>
  <c r="E34" i="18"/>
  <c r="L40" i="6"/>
  <c r="E40" i="18"/>
  <c r="N28" i="6"/>
  <c r="E28" i="18"/>
  <c r="L31" i="6"/>
  <c r="E31" i="18"/>
  <c r="M33" i="6"/>
  <c r="E33" i="18"/>
  <c r="L66" i="6"/>
  <c r="N25" i="6"/>
  <c r="E25" i="18"/>
  <c r="M27" i="6"/>
  <c r="E27" i="18"/>
  <c r="N35" i="6"/>
  <c r="E35" i="18"/>
  <c r="M45" i="6"/>
  <c r="E45" i="18"/>
  <c r="M56" i="6"/>
  <c r="E56" i="18"/>
  <c r="N65" i="6"/>
  <c r="E65" i="18"/>
  <c r="N66" i="6"/>
  <c r="N73" i="6"/>
  <c r="E73" i="18"/>
  <c r="L92" i="6"/>
  <c r="L85" i="6"/>
  <c r="L44" i="6"/>
  <c r="E44" i="18"/>
  <c r="L20" i="6"/>
  <c r="E20" i="18"/>
  <c r="N19" i="6"/>
  <c r="E19" i="18"/>
  <c r="M18" i="6"/>
  <c r="E18" i="18"/>
  <c r="L17" i="6"/>
  <c r="E17" i="18"/>
  <c r="N16" i="6"/>
  <c r="E16" i="18"/>
  <c r="N15" i="6"/>
  <c r="E15" i="18"/>
  <c r="L53" i="6"/>
  <c r="E53" i="18"/>
  <c r="M50" i="6"/>
  <c r="E50" i="18"/>
  <c r="L50" i="6"/>
  <c r="M48" i="6"/>
  <c r="E48" i="18"/>
  <c r="L48" i="6"/>
  <c r="N48" i="6"/>
  <c r="N43" i="6"/>
  <c r="E43" i="18"/>
  <c r="M68" i="6"/>
  <c r="E68" i="18"/>
  <c r="L67" i="6"/>
  <c r="E67" i="18"/>
  <c r="N52" i="6"/>
  <c r="E52" i="18"/>
  <c r="L49" i="6"/>
  <c r="E49" i="18"/>
  <c r="L62" i="6"/>
  <c r="E62" i="18"/>
  <c r="N61" i="6"/>
  <c r="E61" i="18"/>
  <c r="N60" i="6"/>
  <c r="E60" i="18"/>
  <c r="M59" i="6"/>
  <c r="E59" i="18"/>
  <c r="L58" i="6"/>
  <c r="E58" i="18"/>
  <c r="M54" i="6"/>
  <c r="E54" i="18"/>
  <c r="N51" i="6"/>
  <c r="E51" i="18"/>
  <c r="M39" i="6"/>
  <c r="E39" i="18"/>
  <c r="N39" i="6"/>
  <c r="N47" i="6"/>
  <c r="E47" i="18"/>
  <c r="N11" i="6"/>
  <c r="E11" i="18"/>
  <c r="L12" i="6"/>
  <c r="E12" i="18"/>
  <c r="L13" i="6"/>
  <c r="E13" i="18"/>
  <c r="M14" i="6"/>
  <c r="E14" i="18"/>
  <c r="L39" i="6"/>
  <c r="M91" i="6"/>
  <c r="N37" i="6"/>
  <c r="E37" i="18"/>
  <c r="N29" i="6"/>
  <c r="E29" i="18"/>
  <c r="L70" i="6"/>
  <c r="E70" i="18"/>
  <c r="N71" i="6"/>
  <c r="E71" i="18"/>
  <c r="M41" i="6"/>
  <c r="E41" i="18"/>
  <c r="N12" i="6"/>
  <c r="N20" i="6"/>
  <c r="N31" i="6"/>
  <c r="M12" i="6"/>
  <c r="M13" i="6"/>
  <c r="M20" i="6"/>
  <c r="M24" i="6"/>
  <c r="M31" i="6"/>
  <c r="M32" i="6"/>
  <c r="L35" i="6"/>
  <c r="M40" i="6"/>
  <c r="N41" i="6"/>
  <c r="M49" i="6"/>
  <c r="N50" i="6"/>
  <c r="M58" i="6"/>
  <c r="N59" i="6"/>
  <c r="L68" i="6"/>
  <c r="L71" i="6"/>
  <c r="L83" i="6"/>
  <c r="N83" i="6"/>
  <c r="L88" i="6"/>
  <c r="N88" i="6"/>
  <c r="N91" i="6"/>
  <c r="M92" i="6"/>
  <c r="N68" i="6"/>
  <c r="L93" i="6"/>
  <c r="L16" i="6"/>
  <c r="M16" i="6"/>
  <c r="M17" i="6"/>
  <c r="N18" i="6"/>
  <c r="M35" i="6"/>
  <c r="L43" i="6"/>
  <c r="L45" i="6"/>
  <c r="L52" i="6"/>
  <c r="L54" i="6"/>
  <c r="L61" i="6"/>
  <c r="L64" i="6"/>
  <c r="N69" i="6"/>
  <c r="M74" i="6"/>
  <c r="M76" i="6"/>
  <c r="L79" i="6"/>
  <c r="M84" i="6"/>
  <c r="M89" i="6"/>
  <c r="L14" i="6"/>
  <c r="L27" i="6"/>
  <c r="L33" i="6"/>
  <c r="M43" i="6"/>
  <c r="M44" i="6"/>
  <c r="N45" i="6"/>
  <c r="M52" i="6"/>
  <c r="M53" i="6"/>
  <c r="N54" i="6"/>
  <c r="M61" i="6"/>
  <c r="M62" i="6"/>
  <c r="N64" i="6"/>
  <c r="M69" i="6"/>
  <c r="N74" i="6"/>
  <c r="M79" i="6"/>
  <c r="L81" i="6"/>
  <c r="L18" i="6"/>
  <c r="M67" i="6"/>
  <c r="M70" i="6"/>
  <c r="L77" i="6"/>
  <c r="L84" i="6"/>
  <c r="L89" i="6"/>
  <c r="L7" i="6"/>
  <c r="N7" i="6"/>
  <c r="M7" i="6"/>
  <c r="M23" i="6"/>
  <c r="L23" i="6"/>
  <c r="N23" i="6"/>
  <c r="M26" i="6"/>
  <c r="L26" i="6"/>
  <c r="N26" i="6"/>
  <c r="E95" i="6"/>
  <c r="M22" i="6"/>
  <c r="L22" i="6"/>
  <c r="N22" i="6"/>
  <c r="L11" i="6"/>
  <c r="N13" i="6"/>
  <c r="L15" i="6"/>
  <c r="N17" i="6"/>
  <c r="L19" i="6"/>
  <c r="N24" i="6"/>
  <c r="L25" i="6"/>
  <c r="L28" i="6"/>
  <c r="L29" i="6"/>
  <c r="N32" i="6"/>
  <c r="L34" i="6"/>
  <c r="L37" i="6"/>
  <c r="N40" i="6"/>
  <c r="L42" i="6"/>
  <c r="N44" i="6"/>
  <c r="L47" i="6"/>
  <c r="N49" i="6"/>
  <c r="L51" i="6"/>
  <c r="N53" i="6"/>
  <c r="L55" i="6"/>
  <c r="N58" i="6"/>
  <c r="L60" i="6"/>
  <c r="N62" i="6"/>
  <c r="L65" i="6"/>
  <c r="N67" i="6"/>
  <c r="N70" i="6"/>
  <c r="M71" i="6"/>
  <c r="L73" i="6"/>
  <c r="N76" i="6"/>
  <c r="M77" i="6"/>
  <c r="L78" i="6"/>
  <c r="M81" i="6"/>
  <c r="L82" i="6"/>
  <c r="M85" i="6"/>
  <c r="L90" i="6"/>
  <c r="M93" i="6"/>
  <c r="M19" i="6"/>
  <c r="M25" i="6"/>
  <c r="M28" i="6"/>
  <c r="M29" i="6"/>
  <c r="M34" i="6"/>
  <c r="M37" i="6"/>
  <c r="M42" i="6"/>
  <c r="M47" i="6"/>
  <c r="M51" i="6"/>
  <c r="M55" i="6"/>
  <c r="M60" i="6"/>
  <c r="M65" i="6"/>
  <c r="M73" i="6"/>
  <c r="M78" i="6"/>
  <c r="M82" i="6"/>
  <c r="M90" i="6"/>
  <c r="M11" i="6"/>
  <c r="M15" i="6"/>
  <c r="E97" i="6" l="1"/>
  <c r="C6" i="14" s="1"/>
  <c r="D6" i="14"/>
  <c r="L95" i="6"/>
  <c r="E6" i="14" s="1"/>
  <c r="E6" i="19" s="1"/>
  <c r="F6" i="14" l="1"/>
  <c r="L97" i="6"/>
  <c r="K6" i="14" s="1"/>
  <c r="N95" i="6"/>
  <c r="L100" i="6" l="1"/>
  <c r="N97" i="6"/>
  <c r="J93" i="4" l="1"/>
  <c r="J23" i="4"/>
  <c r="J29" i="4"/>
  <c r="C29" i="4" l="1"/>
  <c r="C26" i="4"/>
  <c r="C23" i="4"/>
  <c r="C22" i="4"/>
  <c r="C37" i="4"/>
  <c r="L224" i="5" l="1"/>
  <c r="F224" i="5"/>
  <c r="L222" i="5"/>
  <c r="L55" i="5" l="1"/>
  <c r="L54" i="5"/>
  <c r="L53" i="5"/>
  <c r="L52" i="5"/>
  <c r="L64" i="5"/>
  <c r="I26" i="4"/>
  <c r="I29" i="4"/>
  <c r="I23" i="4"/>
  <c r="L220" i="5"/>
  <c r="F220" i="5"/>
  <c r="F164" i="5" l="1"/>
  <c r="F165" i="5"/>
  <c r="L218" i="5" l="1"/>
  <c r="F218" i="5"/>
  <c r="L217" i="5"/>
  <c r="F217" i="5"/>
  <c r="L216" i="5"/>
  <c r="F216" i="5"/>
  <c r="L215" i="5"/>
  <c r="F215" i="5"/>
  <c r="L214" i="5"/>
  <c r="F214" i="5"/>
  <c r="I7" i="4"/>
  <c r="L227" i="5" l="1"/>
  <c r="L225" i="5"/>
  <c r="L223" i="5"/>
  <c r="L221" i="5"/>
  <c r="L219" i="5"/>
  <c r="L213" i="5"/>
  <c r="L211" i="5"/>
  <c r="L209" i="5"/>
  <c r="L208" i="5"/>
  <c r="F227" i="5"/>
  <c r="F225" i="5"/>
  <c r="F223" i="5"/>
  <c r="F221" i="5"/>
  <c r="F219" i="5"/>
  <c r="F213" i="5"/>
  <c r="F211" i="5"/>
  <c r="F209" i="5"/>
  <c r="F82" i="5"/>
  <c r="F81" i="5"/>
  <c r="F80" i="5"/>
  <c r="F79" i="5"/>
  <c r="F68" i="5" l="1"/>
  <c r="L63" i="5"/>
  <c r="L62" i="5"/>
  <c r="L61" i="5"/>
  <c r="L60" i="5"/>
  <c r="L59" i="5"/>
  <c r="L58" i="5"/>
  <c r="L57" i="5"/>
  <c r="L56" i="5"/>
  <c r="L51" i="5"/>
  <c r="L50" i="5"/>
  <c r="L49" i="5"/>
  <c r="L48" i="5"/>
  <c r="L47" i="5"/>
  <c r="L46" i="5"/>
  <c r="L68" i="5"/>
  <c r="C25" i="4"/>
  <c r="L201" i="5" l="1"/>
  <c r="F201" i="5"/>
  <c r="N86" i="4"/>
  <c r="M86" i="4"/>
  <c r="K86" i="4"/>
  <c r="L86" i="4" s="1"/>
  <c r="E86" i="4"/>
  <c r="L199" i="5" l="1"/>
  <c r="L83" i="5"/>
  <c r="L82" i="5"/>
  <c r="L81" i="5"/>
  <c r="L80" i="5"/>
  <c r="L79" i="5"/>
  <c r="L78" i="5"/>
  <c r="H7" i="4"/>
  <c r="H26" i="4" l="1"/>
  <c r="H22" i="4"/>
  <c r="H37" i="4"/>
  <c r="L103" i="5"/>
  <c r="F103" i="5"/>
  <c r="L197" i="5" l="1"/>
  <c r="F197" i="5"/>
  <c r="L196" i="5"/>
  <c r="F196" i="5"/>
  <c r="L159" i="3"/>
  <c r="F159" i="3"/>
  <c r="L158" i="3"/>
  <c r="F158" i="3"/>
  <c r="L45" i="5" l="1"/>
  <c r="L102" i="5"/>
  <c r="F102" i="5"/>
  <c r="L101" i="5"/>
  <c r="F101" i="5"/>
  <c r="L100" i="5"/>
  <c r="F100" i="5"/>
  <c r="L99" i="5"/>
  <c r="F99" i="5"/>
  <c r="L104" i="5" l="1"/>
  <c r="L98" i="5"/>
  <c r="L97" i="5"/>
  <c r="L96" i="5"/>
  <c r="L95" i="5"/>
  <c r="F104" i="5"/>
  <c r="F98" i="5"/>
  <c r="F97" i="5"/>
  <c r="F96" i="5"/>
  <c r="L108" i="5" l="1"/>
  <c r="G7" i="4" l="1"/>
  <c r="L164" i="5" l="1"/>
  <c r="L163" i="5"/>
  <c r="F163" i="5"/>
  <c r="L162" i="5"/>
  <c r="F162" i="5"/>
  <c r="L161" i="5"/>
  <c r="F161" i="5"/>
  <c r="L160" i="5"/>
  <c r="F160" i="5"/>
  <c r="L159" i="5"/>
  <c r="F159" i="5"/>
  <c r="L158" i="5"/>
  <c r="F158" i="5"/>
  <c r="L157" i="5"/>
  <c r="F157" i="5"/>
  <c r="K56" i="2" l="1"/>
  <c r="K55" i="2"/>
  <c r="K53" i="2"/>
  <c r="K52" i="2"/>
  <c r="K51" i="2"/>
  <c r="K50" i="2"/>
  <c r="K49" i="2"/>
  <c r="K48" i="2"/>
  <c r="K43" i="2"/>
  <c r="K42" i="2"/>
  <c r="K39" i="2"/>
  <c r="K29" i="2"/>
  <c r="L88" i="5" l="1"/>
  <c r="F88" i="5"/>
  <c r="L94" i="5" l="1"/>
  <c r="F94" i="5"/>
  <c r="L93" i="5"/>
  <c r="F93" i="5"/>
  <c r="L77" i="5" l="1"/>
  <c r="L188" i="5" l="1"/>
  <c r="F188" i="5"/>
  <c r="L156" i="5"/>
  <c r="F156" i="5"/>
  <c r="L155" i="5"/>
  <c r="F155" i="5"/>
  <c r="L154" i="5"/>
  <c r="F154" i="5"/>
  <c r="L153" i="5"/>
  <c r="F153" i="5"/>
  <c r="L152" i="5"/>
  <c r="F152" i="5"/>
  <c r="L151" i="5"/>
  <c r="F151" i="5"/>
  <c r="L150" i="5"/>
  <c r="F150" i="5"/>
  <c r="L149" i="5"/>
  <c r="F149" i="5"/>
  <c r="L148" i="5"/>
  <c r="F148" i="5"/>
  <c r="L147" i="5"/>
  <c r="F147" i="5"/>
  <c r="L146" i="5"/>
  <c r="F146" i="5"/>
  <c r="L145" i="5"/>
  <c r="F145" i="5"/>
  <c r="L144" i="5"/>
  <c r="F144" i="5"/>
  <c r="L143" i="5"/>
  <c r="F143" i="5"/>
  <c r="L142" i="5"/>
  <c r="F142" i="5"/>
  <c r="L141" i="5"/>
  <c r="F141" i="5"/>
  <c r="L140" i="5"/>
  <c r="F140" i="5"/>
  <c r="L139" i="5"/>
  <c r="F139" i="5"/>
  <c r="L138" i="5"/>
  <c r="F138" i="5"/>
  <c r="L137" i="5"/>
  <c r="F137" i="5"/>
  <c r="L136" i="5"/>
  <c r="F136" i="5"/>
  <c r="L135" i="5"/>
  <c r="F135" i="5"/>
  <c r="L134" i="5"/>
  <c r="F134" i="5"/>
  <c r="L133" i="5"/>
  <c r="F133" i="5"/>
  <c r="L132" i="5"/>
  <c r="F132" i="5"/>
  <c r="L131" i="5"/>
  <c r="F131" i="5"/>
  <c r="L186" i="5" l="1"/>
  <c r="L185" i="5"/>
  <c r="L184" i="5"/>
  <c r="L183" i="5"/>
  <c r="L182" i="5"/>
  <c r="L181" i="5"/>
  <c r="L130" i="5"/>
  <c r="F183" i="5"/>
  <c r="F182" i="5"/>
  <c r="F181" i="5"/>
  <c r="F130" i="5"/>
  <c r="F69" i="4"/>
  <c r="F77" i="5" l="1"/>
  <c r="F78" i="5"/>
  <c r="F41" i="5" l="1"/>
  <c r="F42" i="5"/>
  <c r="F43" i="5"/>
  <c r="L233" i="5"/>
  <c r="F233" i="5"/>
  <c r="L232" i="5"/>
  <c r="F232" i="5"/>
  <c r="L231" i="5"/>
  <c r="F231" i="5"/>
  <c r="F208" i="5"/>
  <c r="L207" i="5"/>
  <c r="F207" i="5"/>
  <c r="L206" i="5"/>
  <c r="F206" i="5"/>
  <c r="L205" i="5"/>
  <c r="F205" i="5"/>
  <c r="L204" i="5"/>
  <c r="F204" i="5"/>
  <c r="L203" i="5"/>
  <c r="F203" i="5"/>
  <c r="L202" i="5"/>
  <c r="F202" i="5"/>
  <c r="L200" i="5"/>
  <c r="F200" i="5"/>
  <c r="L198" i="5"/>
  <c r="F198" i="5"/>
  <c r="L195" i="5"/>
  <c r="F195" i="5"/>
  <c r="L194" i="5"/>
  <c r="F194" i="5"/>
  <c r="L193" i="5"/>
  <c r="F193" i="5"/>
  <c r="L192" i="5"/>
  <c r="F192" i="5"/>
  <c r="L191" i="5"/>
  <c r="F191" i="5"/>
  <c r="L190" i="5"/>
  <c r="F190" i="5"/>
  <c r="L189" i="5"/>
  <c r="F189" i="5"/>
  <c r="L187" i="5"/>
  <c r="F187" i="5"/>
  <c r="F186" i="5"/>
  <c r="F185" i="5"/>
  <c r="F184" i="5"/>
  <c r="L129" i="5"/>
  <c r="F129" i="5"/>
  <c r="L128" i="5"/>
  <c r="F128" i="5"/>
  <c r="L127" i="5"/>
  <c r="F127" i="5"/>
  <c r="L126" i="5"/>
  <c r="F126" i="5"/>
  <c r="L125" i="5"/>
  <c r="F125" i="5"/>
  <c r="L124" i="5"/>
  <c r="F124" i="5"/>
  <c r="L123" i="5"/>
  <c r="F123" i="5"/>
  <c r="L122" i="5"/>
  <c r="F122" i="5"/>
  <c r="L121" i="5"/>
  <c r="F121" i="5"/>
  <c r="L120" i="5"/>
  <c r="F120" i="5"/>
  <c r="L119" i="5"/>
  <c r="F119" i="5"/>
  <c r="L118" i="5"/>
  <c r="F118" i="5"/>
  <c r="L117" i="5"/>
  <c r="F117" i="5"/>
  <c r="L116" i="5"/>
  <c r="F116" i="5"/>
  <c r="L115" i="5"/>
  <c r="F115" i="5"/>
  <c r="L114" i="5"/>
  <c r="F114" i="5"/>
  <c r="L113" i="5"/>
  <c r="F113" i="5"/>
  <c r="L112" i="5"/>
  <c r="F112" i="5"/>
  <c r="L111" i="5"/>
  <c r="F111" i="5"/>
  <c r="L110" i="5"/>
  <c r="F110" i="5"/>
  <c r="L109" i="5"/>
  <c r="F109" i="5"/>
  <c r="F108" i="5"/>
  <c r="L107" i="5"/>
  <c r="F107" i="5"/>
  <c r="L106" i="5"/>
  <c r="F106" i="5"/>
  <c r="L105" i="5"/>
  <c r="F105" i="5"/>
  <c r="F95" i="5"/>
  <c r="L92" i="5"/>
  <c r="F92" i="5"/>
  <c r="L91" i="5"/>
  <c r="F91" i="5"/>
  <c r="L90" i="5"/>
  <c r="F90" i="5"/>
  <c r="L89" i="5"/>
  <c r="F89" i="5"/>
  <c r="L87" i="5"/>
  <c r="F87" i="5"/>
  <c r="L86" i="5"/>
  <c r="F86" i="5"/>
  <c r="L85" i="5"/>
  <c r="F85" i="5"/>
  <c r="L84" i="5"/>
  <c r="F84" i="5"/>
  <c r="F83" i="5"/>
  <c r="L76" i="5"/>
  <c r="L75" i="5"/>
  <c r="F75" i="5"/>
  <c r="L74" i="5"/>
  <c r="F74" i="5"/>
  <c r="L73" i="5"/>
  <c r="F73" i="5"/>
  <c r="L72" i="5"/>
  <c r="F72" i="5"/>
  <c r="L71" i="5"/>
  <c r="F71" i="5"/>
  <c r="L70" i="5"/>
  <c r="F70" i="5"/>
  <c r="L69" i="5"/>
  <c r="F69" i="5"/>
  <c r="L44" i="5"/>
  <c r="L43" i="5"/>
  <c r="L42" i="5"/>
  <c r="L41" i="5"/>
  <c r="L40" i="5"/>
  <c r="F40" i="5"/>
  <c r="L39" i="5"/>
  <c r="F39" i="5"/>
  <c r="L38" i="5"/>
  <c r="F38" i="5"/>
  <c r="L37" i="5"/>
  <c r="L36" i="5"/>
  <c r="F36" i="5"/>
  <c r="L35" i="5"/>
  <c r="F35" i="5"/>
  <c r="L34" i="5"/>
  <c r="F34" i="5"/>
  <c r="L33" i="5"/>
  <c r="F33" i="5"/>
  <c r="L29" i="5"/>
  <c r="F29" i="5"/>
  <c r="L28" i="5"/>
  <c r="F28" i="5"/>
  <c r="L27" i="5"/>
  <c r="F27" i="5"/>
  <c r="L26" i="5"/>
  <c r="L25" i="5"/>
  <c r="L24" i="5"/>
  <c r="L23" i="5"/>
  <c r="F23" i="5"/>
  <c r="L22" i="5"/>
  <c r="F22" i="5"/>
  <c r="L21" i="5"/>
  <c r="F21" i="5"/>
  <c r="L20" i="5"/>
  <c r="F20" i="5"/>
  <c r="L19" i="5"/>
  <c r="F19" i="5"/>
  <c r="L18" i="5"/>
  <c r="F18" i="5"/>
  <c r="L17" i="5"/>
  <c r="F17" i="5"/>
  <c r="L16" i="5"/>
  <c r="F16" i="5"/>
  <c r="L15" i="5"/>
  <c r="F15" i="5"/>
  <c r="L14" i="5"/>
  <c r="F14" i="5"/>
  <c r="L13" i="5"/>
  <c r="F13" i="5"/>
  <c r="L12" i="5"/>
  <c r="F12" i="5"/>
  <c r="L11" i="5"/>
  <c r="F11" i="5"/>
  <c r="L10" i="5"/>
  <c r="F10" i="5"/>
  <c r="L9" i="5"/>
  <c r="F9" i="5"/>
  <c r="L8" i="5"/>
  <c r="F8" i="5"/>
  <c r="J5" i="14" l="1"/>
  <c r="L234" i="5"/>
  <c r="F234" i="5"/>
  <c r="E99" i="4" s="1"/>
  <c r="G5" i="14" s="1"/>
  <c r="L59" i="3"/>
  <c r="L60" i="3"/>
  <c r="L61" i="3"/>
  <c r="L62" i="3"/>
  <c r="L63" i="3"/>
  <c r="L64" i="3"/>
  <c r="L58" i="3"/>
  <c r="F58" i="3"/>
  <c r="L99" i="4" l="1"/>
  <c r="H5" i="14" s="1"/>
  <c r="L235" i="5"/>
  <c r="I5" i="14"/>
  <c r="C27" i="4"/>
  <c r="F97" i="4"/>
  <c r="K97" i="4" s="1"/>
  <c r="E97" i="4"/>
  <c r="K96" i="4"/>
  <c r="N96" i="4" s="1"/>
  <c r="E96" i="4"/>
  <c r="K95" i="4"/>
  <c r="L95" i="4" s="1"/>
  <c r="E95" i="4"/>
  <c r="K94" i="4"/>
  <c r="N94" i="4" s="1"/>
  <c r="E94" i="4"/>
  <c r="K93" i="4"/>
  <c r="E93" i="4"/>
  <c r="K92" i="4"/>
  <c r="L92" i="4" s="1"/>
  <c r="E92" i="4"/>
  <c r="K91" i="4"/>
  <c r="E91" i="4"/>
  <c r="K90" i="4"/>
  <c r="E90" i="4"/>
  <c r="K89" i="4"/>
  <c r="M89" i="4" s="1"/>
  <c r="E89" i="4"/>
  <c r="K88" i="4"/>
  <c r="L88" i="4" s="1"/>
  <c r="E88" i="4"/>
  <c r="K87" i="4"/>
  <c r="E87" i="4"/>
  <c r="K85" i="4"/>
  <c r="N85" i="4" s="1"/>
  <c r="E85" i="4"/>
  <c r="K84" i="4"/>
  <c r="L84" i="4" s="1"/>
  <c r="E84" i="4"/>
  <c r="K83" i="4"/>
  <c r="E83" i="4"/>
  <c r="K82" i="4"/>
  <c r="L82" i="4" s="1"/>
  <c r="E82" i="4"/>
  <c r="K81" i="4"/>
  <c r="N81" i="4" s="1"/>
  <c r="E81" i="4"/>
  <c r="K80" i="4"/>
  <c r="L80" i="4" s="1"/>
  <c r="E80" i="4"/>
  <c r="K79" i="4"/>
  <c r="N79" i="4" s="1"/>
  <c r="E79" i="4"/>
  <c r="K78" i="4"/>
  <c r="E78" i="4"/>
  <c r="K77" i="4"/>
  <c r="N77" i="4" s="1"/>
  <c r="E77" i="4"/>
  <c r="K76" i="4"/>
  <c r="L76" i="4" s="1"/>
  <c r="E76" i="4"/>
  <c r="K74" i="4"/>
  <c r="D74" i="18" s="1"/>
  <c r="E74" i="4"/>
  <c r="K73" i="4"/>
  <c r="D73" i="18" s="1"/>
  <c r="E73" i="4"/>
  <c r="K71" i="4"/>
  <c r="E71" i="4"/>
  <c r="K70" i="4"/>
  <c r="E70" i="4"/>
  <c r="K69" i="4"/>
  <c r="D69" i="18" s="1"/>
  <c r="E69" i="4"/>
  <c r="K68" i="4"/>
  <c r="D68" i="18" s="1"/>
  <c r="E68" i="4"/>
  <c r="K67" i="4"/>
  <c r="E67" i="4"/>
  <c r="K66" i="4"/>
  <c r="E66" i="4"/>
  <c r="K65" i="4"/>
  <c r="D65" i="18" s="1"/>
  <c r="E65" i="4"/>
  <c r="K64" i="4"/>
  <c r="D64" i="18" s="1"/>
  <c r="E64" i="4"/>
  <c r="K62" i="4"/>
  <c r="M62" i="4" s="1"/>
  <c r="E62" i="4"/>
  <c r="K61" i="4"/>
  <c r="N61" i="4" s="1"/>
  <c r="E61" i="4"/>
  <c r="K60" i="4"/>
  <c r="D60" i="18" s="1"/>
  <c r="E60" i="4"/>
  <c r="K59" i="4"/>
  <c r="D59" i="18" s="1"/>
  <c r="E59" i="4"/>
  <c r="K58" i="4"/>
  <c r="E58" i="4"/>
  <c r="K56" i="4"/>
  <c r="E56" i="4"/>
  <c r="K55" i="4"/>
  <c r="E55" i="4"/>
  <c r="K54" i="4"/>
  <c r="L54" i="4" s="1"/>
  <c r="E54" i="4"/>
  <c r="K53" i="4"/>
  <c r="E53" i="4"/>
  <c r="K52" i="4"/>
  <c r="E52" i="4"/>
  <c r="K51" i="4"/>
  <c r="E51" i="4"/>
  <c r="K50" i="4"/>
  <c r="L50" i="4" s="1"/>
  <c r="E50" i="4"/>
  <c r="K49" i="4"/>
  <c r="E49" i="4"/>
  <c r="K48" i="4"/>
  <c r="E48" i="4"/>
  <c r="K47" i="4"/>
  <c r="D47" i="18" s="1"/>
  <c r="E47" i="4"/>
  <c r="K45" i="4"/>
  <c r="E45" i="4"/>
  <c r="L44" i="4"/>
  <c r="K44" i="4"/>
  <c r="E44" i="4"/>
  <c r="K43" i="4"/>
  <c r="E43" i="4"/>
  <c r="K42" i="4"/>
  <c r="E42" i="4"/>
  <c r="K41" i="4"/>
  <c r="M41" i="4" s="1"/>
  <c r="E41" i="4"/>
  <c r="K40" i="4"/>
  <c r="E40" i="4"/>
  <c r="K39" i="4"/>
  <c r="E39" i="4"/>
  <c r="K37" i="4"/>
  <c r="K35" i="4"/>
  <c r="D35" i="18" s="1"/>
  <c r="E35" i="4"/>
  <c r="K34" i="4"/>
  <c r="E34" i="4"/>
  <c r="K33" i="4"/>
  <c r="E33" i="4"/>
  <c r="K32" i="4"/>
  <c r="N32" i="4" s="1"/>
  <c r="E32" i="4"/>
  <c r="K31" i="4"/>
  <c r="E31" i="4"/>
  <c r="K29" i="4"/>
  <c r="E29" i="4"/>
  <c r="K28" i="4"/>
  <c r="E28" i="4"/>
  <c r="K27" i="4"/>
  <c r="E27" i="4"/>
  <c r="K26" i="4"/>
  <c r="L26" i="4" s="1"/>
  <c r="E26" i="4"/>
  <c r="K25" i="4"/>
  <c r="E25" i="4"/>
  <c r="K24" i="4"/>
  <c r="N24" i="4" s="1"/>
  <c r="E24" i="4"/>
  <c r="K23" i="4"/>
  <c r="N23" i="4" s="1"/>
  <c r="E23" i="4"/>
  <c r="K22" i="4"/>
  <c r="E22" i="4"/>
  <c r="K20" i="4"/>
  <c r="E20" i="4"/>
  <c r="K19" i="4"/>
  <c r="E19" i="4"/>
  <c r="K18" i="4"/>
  <c r="E18" i="4"/>
  <c r="N17" i="4"/>
  <c r="K17" i="4"/>
  <c r="E17" i="4"/>
  <c r="K16" i="4"/>
  <c r="E16" i="4"/>
  <c r="L15" i="4"/>
  <c r="K15" i="4"/>
  <c r="D15" i="18" s="1"/>
  <c r="E15" i="4"/>
  <c r="K14" i="4"/>
  <c r="E14" i="4"/>
  <c r="K13" i="4"/>
  <c r="L13" i="4" s="1"/>
  <c r="E13" i="4"/>
  <c r="K12" i="4"/>
  <c r="E12" i="4"/>
  <c r="K11" i="4"/>
  <c r="E11" i="4"/>
  <c r="K7" i="4"/>
  <c r="E7" i="4"/>
  <c r="M55" i="4" l="1"/>
  <c r="D55" i="18"/>
  <c r="N11" i="4"/>
  <c r="D11" i="18"/>
  <c r="M28" i="4"/>
  <c r="D28" i="18"/>
  <c r="L55" i="4"/>
  <c r="L64" i="4"/>
  <c r="L66" i="4"/>
  <c r="D66" i="18"/>
  <c r="L70" i="4"/>
  <c r="D70" i="18"/>
  <c r="M80" i="4"/>
  <c r="L81" i="4"/>
  <c r="M95" i="4"/>
  <c r="L11" i="4"/>
  <c r="M40" i="4"/>
  <c r="D40" i="18"/>
  <c r="N60" i="4"/>
  <c r="M70" i="4"/>
  <c r="N80" i="4"/>
  <c r="M81" i="4"/>
  <c r="N92" i="4"/>
  <c r="N95" i="4"/>
  <c r="N27" i="4"/>
  <c r="D27" i="18"/>
  <c r="M34" i="4"/>
  <c r="D34" i="18"/>
  <c r="L40" i="4"/>
  <c r="N42" i="4"/>
  <c r="D42" i="18"/>
  <c r="M44" i="4"/>
  <c r="D44" i="18"/>
  <c r="L56" i="4"/>
  <c r="D56" i="18"/>
  <c r="N70" i="4"/>
  <c r="N89" i="4"/>
  <c r="N12" i="4"/>
  <c r="D12" i="18"/>
  <c r="L14" i="4"/>
  <c r="D14" i="18"/>
  <c r="M13" i="4"/>
  <c r="D13" i="18"/>
  <c r="M14" i="4"/>
  <c r="N15" i="4"/>
  <c r="N39" i="4"/>
  <c r="D39" i="18"/>
  <c r="M96" i="4"/>
  <c r="L96" i="4"/>
  <c r="L73" i="4"/>
  <c r="L41" i="4"/>
  <c r="D41" i="18"/>
  <c r="N16" i="4"/>
  <c r="D16" i="18"/>
  <c r="L18" i="4"/>
  <c r="D18" i="18"/>
  <c r="N19" i="4"/>
  <c r="D19" i="18"/>
  <c r="N25" i="4"/>
  <c r="D25" i="18"/>
  <c r="L45" i="4"/>
  <c r="D45" i="18"/>
  <c r="M15" i="4"/>
  <c r="M16" i="4"/>
  <c r="M17" i="4"/>
  <c r="D17" i="18"/>
  <c r="L19" i="4"/>
  <c r="N20" i="4"/>
  <c r="D20" i="18"/>
  <c r="L24" i="4"/>
  <c r="D24" i="18"/>
  <c r="M45" i="4"/>
  <c r="N71" i="4"/>
  <c r="D71" i="18"/>
  <c r="M71" i="4"/>
  <c r="L71" i="4"/>
  <c r="L53" i="4"/>
  <c r="D53" i="18"/>
  <c r="M52" i="4"/>
  <c r="D52" i="18"/>
  <c r="N50" i="4"/>
  <c r="D50" i="18"/>
  <c r="M49" i="4"/>
  <c r="D49" i="18"/>
  <c r="N48" i="4"/>
  <c r="D48" i="18"/>
  <c r="N43" i="4"/>
  <c r="D43" i="18"/>
  <c r="N51" i="4"/>
  <c r="D51" i="18"/>
  <c r="M47" i="4"/>
  <c r="N47" i="4"/>
  <c r="L47" i="4"/>
  <c r="N62" i="4"/>
  <c r="D62" i="18"/>
  <c r="L62" i="4"/>
  <c r="L61" i="4"/>
  <c r="D61" i="18"/>
  <c r="M61" i="4"/>
  <c r="N58" i="4"/>
  <c r="D58" i="18"/>
  <c r="N54" i="4"/>
  <c r="D54" i="18"/>
  <c r="L22" i="4"/>
  <c r="D22" i="18"/>
  <c r="N29" i="4"/>
  <c r="D29" i="18"/>
  <c r="M23" i="4"/>
  <c r="D23" i="18"/>
  <c r="N26" i="4"/>
  <c r="D26" i="18"/>
  <c r="N67" i="4"/>
  <c r="D67" i="18"/>
  <c r="N33" i="4"/>
  <c r="D33" i="18"/>
  <c r="M32" i="4"/>
  <c r="D32" i="18"/>
  <c r="L31" i="4"/>
  <c r="D31" i="18"/>
  <c r="N69" i="4"/>
  <c r="N37" i="4"/>
  <c r="D37" i="18"/>
  <c r="L7" i="4"/>
  <c r="D7" i="18"/>
  <c r="M11" i="4"/>
  <c r="L12" i="4"/>
  <c r="N18" i="4"/>
  <c r="M19" i="4"/>
  <c r="L20" i="4"/>
  <c r="M25" i="4"/>
  <c r="M26" i="4"/>
  <c r="L29" i="4"/>
  <c r="L37" i="4"/>
  <c r="L42" i="4"/>
  <c r="N49" i="4"/>
  <c r="M50" i="4"/>
  <c r="N53" i="4"/>
  <c r="L58" i="4"/>
  <c r="M66" i="4"/>
  <c r="L67" i="4"/>
  <c r="M76" i="4"/>
  <c r="L77" i="4"/>
  <c r="M84" i="4"/>
  <c r="L85" i="4"/>
  <c r="M20" i="4"/>
  <c r="M29" i="4"/>
  <c r="M37" i="4"/>
  <c r="M42" i="4"/>
  <c r="M56" i="4"/>
  <c r="M58" i="4"/>
  <c r="N66" i="4"/>
  <c r="M67" i="4"/>
  <c r="N76" i="4"/>
  <c r="M77" i="4"/>
  <c r="N84" i="4"/>
  <c r="M85" i="4"/>
  <c r="M88" i="4"/>
  <c r="L89" i="4"/>
  <c r="N88" i="4"/>
  <c r="M92" i="4"/>
  <c r="N35" i="4"/>
  <c r="M35" i="4"/>
  <c r="L35" i="4"/>
  <c r="M22" i="4"/>
  <c r="M27" i="4"/>
  <c r="N28" i="4"/>
  <c r="N31" i="4"/>
  <c r="M33" i="4"/>
  <c r="N34" i="4"/>
  <c r="E37" i="4"/>
  <c r="E98" i="4" s="1"/>
  <c r="M39" i="4"/>
  <c r="N40" i="4"/>
  <c r="N41" i="4"/>
  <c r="L43" i="4"/>
  <c r="M51" i="4"/>
  <c r="N52" i="4"/>
  <c r="N59" i="4"/>
  <c r="M59" i="4"/>
  <c r="M74" i="4"/>
  <c r="L74" i="4"/>
  <c r="N78" i="4"/>
  <c r="M78" i="4"/>
  <c r="M91" i="4"/>
  <c r="L91" i="4"/>
  <c r="N93" i="4"/>
  <c r="M93" i="4"/>
  <c r="N7" i="4"/>
  <c r="M12" i="4"/>
  <c r="N13" i="4"/>
  <c r="N14" i="4"/>
  <c r="L16" i="4"/>
  <c r="L17" i="4"/>
  <c r="M18" i="4"/>
  <c r="N22" i="4"/>
  <c r="L23" i="4"/>
  <c r="M24" i="4"/>
  <c r="L25" i="4"/>
  <c r="L32" i="4"/>
  <c r="M43" i="4"/>
  <c r="N44" i="4"/>
  <c r="N45" i="4"/>
  <c r="L48" i="4"/>
  <c r="L49" i="4"/>
  <c r="M54" i="4"/>
  <c r="N55" i="4"/>
  <c r="N56" i="4"/>
  <c r="L59" i="4"/>
  <c r="M69" i="4"/>
  <c r="L69" i="4"/>
  <c r="N73" i="4"/>
  <c r="M73" i="4"/>
  <c r="N74" i="4"/>
  <c r="L78" i="4"/>
  <c r="M87" i="4"/>
  <c r="L87" i="4"/>
  <c r="N90" i="4"/>
  <c r="M90" i="4"/>
  <c r="N91" i="4"/>
  <c r="L93" i="4"/>
  <c r="M48" i="4"/>
  <c r="M65" i="4"/>
  <c r="L65" i="4"/>
  <c r="N68" i="4"/>
  <c r="M68" i="4"/>
  <c r="M83" i="4"/>
  <c r="L83" i="4"/>
  <c r="N87" i="4"/>
  <c r="L90" i="4"/>
  <c r="M7" i="4"/>
  <c r="L27" i="4"/>
  <c r="L28" i="4"/>
  <c r="M31" i="4"/>
  <c r="L33" i="4"/>
  <c r="L34" i="4"/>
  <c r="L39" i="4"/>
  <c r="L51" i="4"/>
  <c r="L52" i="4"/>
  <c r="M53" i="4"/>
  <c r="M60" i="4"/>
  <c r="L60" i="4"/>
  <c r="N64" i="4"/>
  <c r="M64" i="4"/>
  <c r="N65" i="4"/>
  <c r="L68" i="4"/>
  <c r="M79" i="4"/>
  <c r="L79" i="4"/>
  <c r="N82" i="4"/>
  <c r="M82" i="4"/>
  <c r="N83" i="4"/>
  <c r="M94" i="4"/>
  <c r="L94" i="4"/>
  <c r="N99" i="4"/>
  <c r="L98" i="4" l="1"/>
  <c r="E5" i="14" s="1"/>
  <c r="E5" i="19" s="1"/>
  <c r="E100" i="4"/>
  <c r="C5" i="14" s="1"/>
  <c r="D5" i="14"/>
  <c r="F5" i="14" l="1"/>
  <c r="N98" i="4"/>
  <c r="L100" i="4"/>
  <c r="K5" i="14" s="1"/>
  <c r="L103" i="4" l="1"/>
  <c r="N100" i="4"/>
  <c r="G89" i="3"/>
  <c r="J35" i="2"/>
  <c r="J33" i="2"/>
  <c r="J32" i="2"/>
  <c r="J31" i="2"/>
  <c r="L149" i="3"/>
  <c r="F149" i="3"/>
  <c r="L148" i="3"/>
  <c r="F148" i="3"/>
  <c r="L147" i="3"/>
  <c r="F147" i="3"/>
  <c r="L146" i="3"/>
  <c r="F146" i="3"/>
  <c r="L145" i="3"/>
  <c r="F145" i="3"/>
  <c r="L144" i="3"/>
  <c r="F144" i="3"/>
  <c r="L143" i="3"/>
  <c r="F143" i="3"/>
  <c r="L142" i="3"/>
  <c r="F142" i="3"/>
  <c r="L141" i="3"/>
  <c r="F141" i="3"/>
  <c r="L140" i="3"/>
  <c r="F140" i="3"/>
  <c r="L139" i="3"/>
  <c r="F139" i="3"/>
  <c r="L138" i="3"/>
  <c r="F138" i="3"/>
  <c r="L137" i="3"/>
  <c r="F137" i="3"/>
  <c r="L136" i="3"/>
  <c r="F136" i="3"/>
  <c r="L135" i="3"/>
  <c r="F135" i="3"/>
  <c r="L134" i="3"/>
  <c r="F134" i="3"/>
  <c r="L133" i="3"/>
  <c r="F133" i="3"/>
  <c r="L132" i="3"/>
  <c r="F132" i="3"/>
  <c r="L131" i="3"/>
  <c r="F131" i="3"/>
  <c r="L130" i="3"/>
  <c r="F130" i="3"/>
  <c r="L129" i="3"/>
  <c r="F129" i="3"/>
  <c r="L128" i="3"/>
  <c r="F128" i="3"/>
  <c r="L127" i="3"/>
  <c r="F127" i="3"/>
  <c r="L151" i="3"/>
  <c r="L150" i="3"/>
  <c r="L126" i="3"/>
  <c r="F151" i="3"/>
  <c r="F150" i="3"/>
  <c r="L39" i="3" l="1"/>
  <c r="F39" i="3"/>
  <c r="L38" i="3"/>
  <c r="F38" i="3"/>
  <c r="L110" i="3"/>
  <c r="F110" i="3"/>
  <c r="L109" i="3"/>
  <c r="F109" i="3"/>
  <c r="L89" i="3"/>
  <c r="F89" i="3"/>
  <c r="L88" i="3"/>
  <c r="F88" i="3"/>
  <c r="L87" i="3"/>
  <c r="F87" i="3"/>
  <c r="L80" i="3"/>
  <c r="F80" i="3"/>
  <c r="C37" i="2" l="1"/>
  <c r="C26" i="2"/>
  <c r="C22" i="2"/>
  <c r="C29" i="2"/>
  <c r="C23" i="2"/>
  <c r="C25" i="2"/>
  <c r="I93" i="2" l="1"/>
  <c r="G83" i="3"/>
  <c r="G84" i="3"/>
  <c r="G85" i="3"/>
  <c r="I7" i="2"/>
  <c r="F13" i="3"/>
  <c r="L93" i="3" l="1"/>
  <c r="L92" i="3"/>
  <c r="L91" i="3"/>
  <c r="L90" i="3"/>
  <c r="L86" i="3"/>
  <c r="L85" i="3"/>
  <c r="L84" i="3"/>
  <c r="F93" i="3"/>
  <c r="F92" i="3"/>
  <c r="F91" i="3"/>
  <c r="F90" i="3"/>
  <c r="F86" i="3"/>
  <c r="F85" i="3"/>
  <c r="F84" i="3"/>
  <c r="L83" i="3"/>
  <c r="L82" i="3"/>
  <c r="L81" i="3"/>
  <c r="L79" i="3"/>
  <c r="F83" i="3"/>
  <c r="F82" i="3"/>
  <c r="F81" i="3"/>
  <c r="F79" i="3"/>
  <c r="L78" i="3"/>
  <c r="F78" i="3"/>
  <c r="L114" i="3"/>
  <c r="L113" i="3"/>
  <c r="L112" i="3"/>
  <c r="L111" i="3"/>
  <c r="L108" i="3"/>
  <c r="L107" i="3"/>
  <c r="F113" i="3"/>
  <c r="F112" i="3"/>
  <c r="F111" i="3"/>
  <c r="F108" i="3"/>
  <c r="F107" i="3"/>
  <c r="I35" i="2" l="1"/>
  <c r="K35" i="2" s="1"/>
  <c r="I33" i="2"/>
  <c r="I32" i="2"/>
  <c r="K32" i="2" s="1"/>
  <c r="I31" i="2"/>
  <c r="K31" i="2" s="1"/>
  <c r="L67" i="3" l="1"/>
  <c r="L66" i="3"/>
  <c r="L65" i="3"/>
  <c r="L57" i="3"/>
  <c r="F68" i="3"/>
  <c r="F67" i="3"/>
  <c r="F66" i="3"/>
  <c r="F65" i="3"/>
  <c r="F64" i="3"/>
  <c r="F63" i="3"/>
  <c r="F57" i="3"/>
  <c r="F56" i="3"/>
  <c r="F55" i="3"/>
  <c r="L156" i="3"/>
  <c r="F156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7" i="3"/>
  <c r="L155" i="3"/>
  <c r="L154" i="3"/>
  <c r="L153" i="3"/>
  <c r="L152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7" i="3"/>
  <c r="F155" i="3"/>
  <c r="F154" i="3"/>
  <c r="F153" i="3"/>
  <c r="F152" i="3"/>
  <c r="L172" i="3" l="1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26" i="3" l="1"/>
  <c r="L125" i="3"/>
  <c r="F125" i="3"/>
  <c r="L124" i="3"/>
  <c r="F124" i="3"/>
  <c r="L123" i="3"/>
  <c r="F123" i="3"/>
  <c r="L122" i="3"/>
  <c r="F122" i="3"/>
  <c r="L121" i="3"/>
  <c r="F121" i="3"/>
  <c r="L120" i="3"/>
  <c r="F120" i="3"/>
  <c r="L119" i="3"/>
  <c r="F119" i="3"/>
  <c r="L118" i="3"/>
  <c r="F118" i="3"/>
  <c r="L117" i="3"/>
  <c r="F117" i="3"/>
  <c r="L116" i="3"/>
  <c r="F116" i="3"/>
  <c r="L37" i="3" l="1"/>
  <c r="F37" i="3"/>
  <c r="L72" i="3" l="1"/>
  <c r="L73" i="3"/>
  <c r="L74" i="3"/>
  <c r="L75" i="3"/>
  <c r="L76" i="3"/>
  <c r="L77" i="3"/>
  <c r="F72" i="3"/>
  <c r="F73" i="3"/>
  <c r="F74" i="3"/>
  <c r="F75" i="3"/>
  <c r="F76" i="3"/>
  <c r="F77" i="3"/>
  <c r="L115" i="3"/>
  <c r="L188" i="3"/>
  <c r="F114" i="3"/>
  <c r="F115" i="3"/>
  <c r="H54" i="2" l="1"/>
  <c r="K54" i="2" s="1"/>
  <c r="H7" i="2"/>
  <c r="L9" i="3" l="1"/>
  <c r="F9" i="3"/>
  <c r="L106" i="3"/>
  <c r="F106" i="3"/>
  <c r="L105" i="3"/>
  <c r="F105" i="3"/>
  <c r="L104" i="3"/>
  <c r="F104" i="3"/>
  <c r="L103" i="3"/>
  <c r="F103" i="3"/>
  <c r="K71" i="2"/>
  <c r="L71" i="2" s="1"/>
  <c r="L36" i="3"/>
  <c r="F36" i="3"/>
  <c r="E88" i="2" l="1"/>
  <c r="K88" i="2"/>
  <c r="N88" i="2" s="1"/>
  <c r="M88" i="2"/>
  <c r="L88" i="2" l="1"/>
  <c r="L35" i="3" l="1"/>
  <c r="L34" i="3"/>
  <c r="L33" i="3"/>
  <c r="L32" i="3"/>
  <c r="L31" i="3"/>
  <c r="F35" i="3"/>
  <c r="F34" i="3"/>
  <c r="F33" i="3"/>
  <c r="F32" i="3"/>
  <c r="L43" i="3" l="1"/>
  <c r="L44" i="3"/>
  <c r="F43" i="3"/>
  <c r="F44" i="3"/>
  <c r="H26" i="2" l="1"/>
  <c r="H22" i="2"/>
  <c r="H37" i="2"/>
  <c r="K89" i="2" l="1"/>
  <c r="L89" i="2" s="1"/>
  <c r="E89" i="2"/>
  <c r="N89" i="2" l="1"/>
  <c r="M89" i="2"/>
  <c r="L71" i="3"/>
  <c r="F71" i="3"/>
  <c r="L70" i="3"/>
  <c r="F70" i="3"/>
  <c r="L69" i="3"/>
  <c r="L68" i="3"/>
  <c r="F69" i="3"/>
  <c r="L101" i="3"/>
  <c r="F101" i="3"/>
  <c r="F102" i="3" l="1"/>
  <c r="G7" i="2"/>
  <c r="J16" i="15"/>
  <c r="L100" i="3"/>
  <c r="F100" i="3"/>
  <c r="L98" i="3"/>
  <c r="F98" i="3"/>
  <c r="L97" i="3"/>
  <c r="F97" i="3"/>
  <c r="F96" i="3" l="1"/>
  <c r="L23" i="3" l="1"/>
  <c r="L24" i="3"/>
  <c r="L25" i="3"/>
  <c r="L26" i="3"/>
  <c r="L27" i="3"/>
  <c r="L28" i="3"/>
  <c r="L29" i="3"/>
  <c r="L30" i="3"/>
  <c r="L94" i="3" l="1"/>
  <c r="L95" i="3"/>
  <c r="L96" i="3"/>
  <c r="L99" i="3"/>
  <c r="L102" i="3"/>
  <c r="F94" i="3"/>
  <c r="F95" i="3"/>
  <c r="F99" i="3"/>
  <c r="L56" i="3"/>
  <c r="L55" i="3"/>
  <c r="L54" i="3"/>
  <c r="F54" i="3"/>
  <c r="L53" i="3"/>
  <c r="F53" i="3"/>
  <c r="L52" i="3"/>
  <c r="F52" i="3"/>
  <c r="L51" i="3"/>
  <c r="F51" i="3"/>
  <c r="L50" i="3"/>
  <c r="F50" i="3"/>
  <c r="L49" i="3"/>
  <c r="F49" i="3"/>
  <c r="L48" i="3"/>
  <c r="F48" i="3"/>
  <c r="L47" i="3"/>
  <c r="F47" i="3"/>
  <c r="L46" i="3"/>
  <c r="F46" i="3"/>
  <c r="L45" i="3"/>
  <c r="F45" i="3"/>
  <c r="F31" i="3"/>
  <c r="F30" i="3"/>
  <c r="F29" i="3"/>
  <c r="F25" i="3"/>
  <c r="F24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L12" i="3"/>
  <c r="F12" i="3"/>
  <c r="L11" i="3"/>
  <c r="F11" i="3"/>
  <c r="L10" i="3"/>
  <c r="F10" i="3"/>
  <c r="L8" i="3"/>
  <c r="F8" i="3"/>
  <c r="F189" i="3" l="1"/>
  <c r="E99" i="2" s="1"/>
  <c r="L189" i="3"/>
  <c r="L99" i="2" s="1"/>
  <c r="J4" i="14"/>
  <c r="C71" i="18"/>
  <c r="M13" i="15" l="1"/>
  <c r="M12" i="15"/>
  <c r="M9" i="15"/>
  <c r="N6" i="15"/>
  <c r="N8" i="15" l="1"/>
  <c r="N10" i="15"/>
  <c r="I9" i="15"/>
  <c r="N5" i="15"/>
  <c r="Q6" i="15"/>
  <c r="N9" i="15"/>
  <c r="O9" i="15" s="1"/>
  <c r="I12" i="15"/>
  <c r="N13" i="15"/>
  <c r="O13" i="15" s="1"/>
  <c r="N7" i="15"/>
  <c r="F11" i="15"/>
  <c r="N11" i="15"/>
  <c r="I14" i="15"/>
  <c r="Q11" i="15"/>
  <c r="I13" i="15"/>
  <c r="Q10" i="15"/>
  <c r="F14" i="15"/>
  <c r="Q5" i="15"/>
  <c r="Q9" i="15"/>
  <c r="I11" i="15"/>
  <c r="N12" i="15"/>
  <c r="O12" i="15" s="1"/>
  <c r="Q13" i="15"/>
  <c r="F8" i="15"/>
  <c r="Q12" i="15"/>
  <c r="D18" i="15"/>
  <c r="D24" i="14" s="1"/>
  <c r="N14" i="15"/>
  <c r="Q14" i="15"/>
  <c r="N4" i="15"/>
  <c r="M5" i="15"/>
  <c r="I7" i="15"/>
  <c r="I8" i="15"/>
  <c r="I10" i="15"/>
  <c r="M14" i="15"/>
  <c r="M6" i="15"/>
  <c r="O6" i="15" s="1"/>
  <c r="M7" i="15"/>
  <c r="M8" i="15"/>
  <c r="F10" i="15"/>
  <c r="M10" i="15"/>
  <c r="F12" i="15"/>
  <c r="Q7" i="15"/>
  <c r="Q8" i="15"/>
  <c r="F9" i="15"/>
  <c r="M11" i="15"/>
  <c r="F13" i="15"/>
  <c r="J18" i="15"/>
  <c r="J24" i="14" s="1"/>
  <c r="D16" i="15"/>
  <c r="Q4" i="15"/>
  <c r="M4" i="15"/>
  <c r="O7" i="15" l="1"/>
  <c r="O8" i="15"/>
  <c r="O5" i="15"/>
  <c r="O10" i="15"/>
  <c r="O14" i="15"/>
  <c r="O11" i="15"/>
  <c r="O4" i="15"/>
  <c r="G16" i="15" l="1"/>
  <c r="G18" i="15"/>
  <c r="G24" i="14" s="1"/>
  <c r="I15" i="15"/>
  <c r="H18" i="15"/>
  <c r="H24" i="14" s="1"/>
  <c r="H16" i="15"/>
  <c r="I18" i="15" l="1"/>
  <c r="I24" i="14" s="1"/>
  <c r="I16" i="15"/>
  <c r="F15" i="15" l="1"/>
  <c r="E16" i="15"/>
  <c r="E18" i="15"/>
  <c r="E24" i="14" s="1"/>
  <c r="F18" i="15" l="1"/>
  <c r="F24" i="14" s="1"/>
  <c r="F16" i="15"/>
  <c r="C16" i="15"/>
  <c r="C18" i="15"/>
  <c r="C24" i="14" s="1"/>
  <c r="K20" i="15" l="1"/>
  <c r="K22" i="14" s="1"/>
  <c r="N15" i="15"/>
  <c r="N20" i="15" s="1"/>
  <c r="N22" i="14" s="1"/>
  <c r="Q15" i="15"/>
  <c r="Q20" i="15" s="1"/>
  <c r="Q22" i="14" s="1"/>
  <c r="K16" i="15"/>
  <c r="K18" i="15"/>
  <c r="K24" i="14" s="1"/>
  <c r="M15" i="15"/>
  <c r="O15" i="15" l="1"/>
  <c r="O20" i="15" s="1"/>
  <c r="O22" i="14" s="1"/>
  <c r="M20" i="15"/>
  <c r="M22" i="14" s="1"/>
  <c r="H4" i="14" l="1"/>
  <c r="H16" i="14" s="1"/>
  <c r="G4" i="14"/>
  <c r="M15" i="14"/>
  <c r="O15" i="14" s="1"/>
  <c r="Q15" i="14"/>
  <c r="N15" i="14"/>
  <c r="Q14" i="14"/>
  <c r="M14" i="14"/>
  <c r="M13" i="14"/>
  <c r="Q13" i="14"/>
  <c r="N13" i="14"/>
  <c r="N12" i="14"/>
  <c r="Q11" i="14"/>
  <c r="Q10" i="14"/>
  <c r="M10" i="14"/>
  <c r="Q9" i="14"/>
  <c r="M9" i="14"/>
  <c r="Q7" i="14"/>
  <c r="N6" i="14"/>
  <c r="M6" i="14"/>
  <c r="Q5" i="14"/>
  <c r="M5" i="14"/>
  <c r="J16" i="14"/>
  <c r="O6" i="14" l="1"/>
  <c r="I4" i="14"/>
  <c r="I16" i="14" s="1"/>
  <c r="G16" i="14"/>
  <c r="N8" i="14"/>
  <c r="M11" i="14"/>
  <c r="Q12" i="14"/>
  <c r="M7" i="14"/>
  <c r="J18" i="14"/>
  <c r="N7" i="14"/>
  <c r="N9" i="14"/>
  <c r="O9" i="14" s="1"/>
  <c r="N11" i="14"/>
  <c r="O11" i="14" s="1"/>
  <c r="O13" i="14"/>
  <c r="Q8" i="14"/>
  <c r="N10" i="14"/>
  <c r="O10" i="14" s="1"/>
  <c r="N14" i="14"/>
  <c r="O14" i="14" s="1"/>
  <c r="M8" i="14"/>
  <c r="M12" i="14"/>
  <c r="O12" i="14" s="1"/>
  <c r="G18" i="14"/>
  <c r="Q6" i="14"/>
  <c r="H18" i="14"/>
  <c r="N5" i="14"/>
  <c r="O5" i="14" s="1"/>
  <c r="O8" i="14" l="1"/>
  <c r="I18" i="14"/>
  <c r="O7" i="14"/>
  <c r="K87" i="2"/>
  <c r="E87" i="2"/>
  <c r="L87" i="2" l="1"/>
  <c r="M87" i="2"/>
  <c r="N87" i="2"/>
  <c r="K93" i="2" l="1"/>
  <c r="K92" i="2"/>
  <c r="K91" i="2"/>
  <c r="K90" i="2"/>
  <c r="K86" i="2"/>
  <c r="M86" i="2" s="1"/>
  <c r="E92" i="2"/>
  <c r="E91" i="2"/>
  <c r="E90" i="2"/>
  <c r="E86" i="2"/>
  <c r="L91" i="2" l="1"/>
  <c r="M91" i="2"/>
  <c r="N91" i="2"/>
  <c r="L92" i="2"/>
  <c r="M92" i="2"/>
  <c r="N92" i="2"/>
  <c r="N90" i="2"/>
  <c r="M90" i="2"/>
  <c r="L90" i="2"/>
  <c r="N86" i="2"/>
  <c r="L86" i="2"/>
  <c r="K80" i="2" l="1"/>
  <c r="L80" i="2"/>
  <c r="M80" i="2"/>
  <c r="N80" i="2"/>
  <c r="E79" i="2"/>
  <c r="E80" i="2"/>
  <c r="E81" i="2"/>
  <c r="N99" i="2" l="1"/>
  <c r="F97" i="2"/>
  <c r="K97" i="2" s="1"/>
  <c r="E97" i="2"/>
  <c r="K96" i="2"/>
  <c r="M96" i="2" s="1"/>
  <c r="E96" i="2"/>
  <c r="K95" i="2"/>
  <c r="L95" i="2" s="1"/>
  <c r="E95" i="2"/>
  <c r="K94" i="2"/>
  <c r="M94" i="2" s="1"/>
  <c r="E94" i="2"/>
  <c r="N93" i="2"/>
  <c r="E93" i="2"/>
  <c r="K85" i="2"/>
  <c r="M85" i="2" s="1"/>
  <c r="E85" i="2"/>
  <c r="K84" i="2"/>
  <c r="L84" i="2" s="1"/>
  <c r="E84" i="2"/>
  <c r="K83" i="2"/>
  <c r="M83" i="2" s="1"/>
  <c r="E83" i="2"/>
  <c r="K82" i="2"/>
  <c r="N82" i="2" s="1"/>
  <c r="E82" i="2"/>
  <c r="K81" i="2"/>
  <c r="N81" i="2" s="1"/>
  <c r="K79" i="2"/>
  <c r="N79" i="2" s="1"/>
  <c r="K78" i="2"/>
  <c r="M78" i="2" s="1"/>
  <c r="E78" i="2"/>
  <c r="K77" i="2"/>
  <c r="N77" i="2" s="1"/>
  <c r="E77" i="2"/>
  <c r="K76" i="2"/>
  <c r="M76" i="2" s="1"/>
  <c r="E76" i="2"/>
  <c r="K74" i="2"/>
  <c r="C74" i="18" s="1"/>
  <c r="E74" i="2"/>
  <c r="K73" i="2"/>
  <c r="C73" i="18" s="1"/>
  <c r="E73" i="2"/>
  <c r="E71" i="2"/>
  <c r="K70" i="2"/>
  <c r="E70" i="2"/>
  <c r="K69" i="2"/>
  <c r="C69" i="18" s="1"/>
  <c r="E69" i="2"/>
  <c r="K68" i="2"/>
  <c r="C68" i="18" s="1"/>
  <c r="E68" i="2"/>
  <c r="K67" i="2"/>
  <c r="C67" i="18" s="1"/>
  <c r="E67" i="2"/>
  <c r="K66" i="2"/>
  <c r="C66" i="18" s="1"/>
  <c r="E66" i="2"/>
  <c r="K65" i="2"/>
  <c r="C65" i="18" s="1"/>
  <c r="E65" i="2"/>
  <c r="K64" i="2"/>
  <c r="C64" i="18" s="1"/>
  <c r="E64" i="2"/>
  <c r="K62" i="2"/>
  <c r="C62" i="18" s="1"/>
  <c r="E62" i="2"/>
  <c r="K61" i="2"/>
  <c r="C61" i="18" s="1"/>
  <c r="E61" i="2"/>
  <c r="K60" i="2"/>
  <c r="C60" i="18" s="1"/>
  <c r="E60" i="2"/>
  <c r="K59" i="2"/>
  <c r="C59" i="18" s="1"/>
  <c r="E59" i="2"/>
  <c r="K58" i="2"/>
  <c r="C58" i="18" s="1"/>
  <c r="E58" i="2"/>
  <c r="C56" i="18"/>
  <c r="E56" i="2"/>
  <c r="C55" i="18"/>
  <c r="E55" i="2"/>
  <c r="E54" i="2"/>
  <c r="C53" i="18"/>
  <c r="E53" i="2"/>
  <c r="C51" i="18"/>
  <c r="E51" i="2"/>
  <c r="C50" i="18"/>
  <c r="E50" i="2"/>
  <c r="C49" i="18"/>
  <c r="E49" i="2"/>
  <c r="E48" i="2"/>
  <c r="K47" i="2"/>
  <c r="C47" i="18" s="1"/>
  <c r="E47" i="2"/>
  <c r="K45" i="2"/>
  <c r="C45" i="18" s="1"/>
  <c r="E45" i="2"/>
  <c r="K44" i="2"/>
  <c r="C44" i="18" s="1"/>
  <c r="E44" i="2"/>
  <c r="C43" i="18"/>
  <c r="E43" i="2"/>
  <c r="C42" i="18"/>
  <c r="E42" i="2"/>
  <c r="K41" i="2"/>
  <c r="C41" i="18" s="1"/>
  <c r="E41" i="2"/>
  <c r="K40" i="2"/>
  <c r="C40" i="18" s="1"/>
  <c r="E40" i="2"/>
  <c r="C39" i="18"/>
  <c r="E39" i="2"/>
  <c r="K37" i="2"/>
  <c r="C37" i="18" s="1"/>
  <c r="E37" i="2"/>
  <c r="C35" i="18"/>
  <c r="E35" i="2"/>
  <c r="K34" i="2"/>
  <c r="C34" i="18" s="1"/>
  <c r="E34" i="2"/>
  <c r="K33" i="2"/>
  <c r="C33" i="18" s="1"/>
  <c r="E33" i="2"/>
  <c r="C32" i="18"/>
  <c r="E32" i="2"/>
  <c r="C31" i="18"/>
  <c r="E31" i="2"/>
  <c r="C29" i="18"/>
  <c r="E29" i="2"/>
  <c r="K28" i="2"/>
  <c r="C28" i="18" s="1"/>
  <c r="E28" i="2"/>
  <c r="K27" i="2"/>
  <c r="C27" i="18" s="1"/>
  <c r="E27" i="2"/>
  <c r="K26" i="2"/>
  <c r="C26" i="18" s="1"/>
  <c r="E26" i="2"/>
  <c r="K25" i="2"/>
  <c r="C25" i="18" s="1"/>
  <c r="E25" i="2"/>
  <c r="K24" i="2"/>
  <c r="C24" i="18" s="1"/>
  <c r="E24" i="2"/>
  <c r="K23" i="2"/>
  <c r="C23" i="18" s="1"/>
  <c r="E23" i="2"/>
  <c r="K22" i="2"/>
  <c r="C22" i="18" s="1"/>
  <c r="E22" i="2"/>
  <c r="K20" i="2"/>
  <c r="C20" i="18" s="1"/>
  <c r="E20" i="2"/>
  <c r="K19" i="2"/>
  <c r="C19" i="18" s="1"/>
  <c r="E19" i="2"/>
  <c r="K18" i="2"/>
  <c r="C18" i="18" s="1"/>
  <c r="E18" i="2"/>
  <c r="K17" i="2"/>
  <c r="C17" i="18" s="1"/>
  <c r="E17" i="2"/>
  <c r="K16" i="2"/>
  <c r="C16" i="18" s="1"/>
  <c r="E16" i="2"/>
  <c r="K15" i="2"/>
  <c r="C15" i="18" s="1"/>
  <c r="E15" i="2"/>
  <c r="K14" i="2"/>
  <c r="E14" i="2"/>
  <c r="K13" i="2"/>
  <c r="C13" i="18" s="1"/>
  <c r="E13" i="2"/>
  <c r="K12" i="2"/>
  <c r="C12" i="18" s="1"/>
  <c r="E12" i="2"/>
  <c r="K11" i="2"/>
  <c r="C11" i="18" s="1"/>
  <c r="E11" i="2"/>
  <c r="K7" i="2"/>
  <c r="E7" i="2"/>
  <c r="C70" i="18" l="1"/>
  <c r="L70" i="2"/>
  <c r="N52" i="2"/>
  <c r="C52" i="18"/>
  <c r="M54" i="2"/>
  <c r="C54" i="18"/>
  <c r="M48" i="2"/>
  <c r="C48" i="18"/>
  <c r="L14" i="2"/>
  <c r="C14" i="18"/>
  <c r="M7" i="2"/>
  <c r="C7" i="18"/>
  <c r="N24" i="2"/>
  <c r="M28" i="2"/>
  <c r="M32" i="2"/>
  <c r="N33" i="2"/>
  <c r="M39" i="2"/>
  <c r="M61" i="2"/>
  <c r="L32" i="2"/>
  <c r="M66" i="2"/>
  <c r="M70" i="2"/>
  <c r="N73" i="2"/>
  <c r="N28" i="2"/>
  <c r="L31" i="2"/>
  <c r="N32" i="2"/>
  <c r="M34" i="2"/>
  <c r="L58" i="2"/>
  <c r="N60" i="2"/>
  <c r="L62" i="2"/>
  <c r="N76" i="2"/>
  <c r="L35" i="2"/>
  <c r="M59" i="2"/>
  <c r="L28" i="2"/>
  <c r="L39" i="2"/>
  <c r="L43" i="2"/>
  <c r="N45" i="2"/>
  <c r="M50" i="2"/>
  <c r="M64" i="2"/>
  <c r="M68" i="2"/>
  <c r="L27" i="2"/>
  <c r="L40" i="2"/>
  <c r="N42" i="2"/>
  <c r="M47" i="2"/>
  <c r="M62" i="2"/>
  <c r="N65" i="2"/>
  <c r="L67" i="2"/>
  <c r="N69" i="2"/>
  <c r="L74" i="2"/>
  <c r="N37" i="2"/>
  <c r="N51" i="2"/>
  <c r="M22" i="2"/>
  <c r="M29" i="2"/>
  <c r="M26" i="2"/>
  <c r="M23" i="2"/>
  <c r="M14" i="2"/>
  <c r="N12" i="2"/>
  <c r="M44" i="2"/>
  <c r="N56" i="2"/>
  <c r="M56" i="2"/>
  <c r="L55" i="2"/>
  <c r="N54" i="2"/>
  <c r="L53" i="2"/>
  <c r="L52" i="2"/>
  <c r="O49" i="2"/>
  <c r="N48" i="2"/>
  <c r="N20" i="2"/>
  <c r="M19" i="2"/>
  <c r="N18" i="2"/>
  <c r="N16" i="2"/>
  <c r="M15" i="2"/>
  <c r="M71" i="2"/>
  <c r="L54" i="2"/>
  <c r="L22" i="2"/>
  <c r="M40" i="2"/>
  <c r="L48" i="2"/>
  <c r="L66" i="2"/>
  <c r="L76" i="2"/>
  <c r="N85" i="2"/>
  <c r="L61" i="2"/>
  <c r="L83" i="2"/>
  <c r="M53" i="2"/>
  <c r="M58" i="2"/>
  <c r="M67" i="2"/>
  <c r="L85" i="2"/>
  <c r="N7" i="2"/>
  <c r="M16" i="2"/>
  <c r="L16" i="2"/>
  <c r="L23" i="2"/>
  <c r="M27" i="2"/>
  <c r="M31" i="2"/>
  <c r="L34" i="2"/>
  <c r="M35" i="2"/>
  <c r="N39" i="2"/>
  <c r="L44" i="2"/>
  <c r="L50" i="2"/>
  <c r="N50" i="2"/>
  <c r="L59" i="2"/>
  <c r="N59" i="2"/>
  <c r="N61" i="2"/>
  <c r="L64" i="2"/>
  <c r="N64" i="2"/>
  <c r="N66" i="2"/>
  <c r="L68" i="2"/>
  <c r="N68" i="2"/>
  <c r="N70" i="2"/>
  <c r="M74" i="2"/>
  <c r="L78" i="2"/>
  <c r="N83" i="2"/>
  <c r="L94" i="2"/>
  <c r="L96" i="2"/>
  <c r="N96" i="2"/>
  <c r="N23" i="2"/>
  <c r="N34" i="2"/>
  <c r="N44" i="2"/>
  <c r="N78" i="2"/>
  <c r="N94" i="2"/>
  <c r="N26" i="2"/>
  <c r="N29" i="2"/>
  <c r="N47" i="2"/>
  <c r="N49" i="2"/>
  <c r="N55" i="2"/>
  <c r="L56" i="2"/>
  <c r="M12" i="2"/>
  <c r="L12" i="2"/>
  <c r="N14" i="2"/>
  <c r="M18" i="2"/>
  <c r="M20" i="2"/>
  <c r="L20" i="2"/>
  <c r="N22" i="2"/>
  <c r="L26" i="2"/>
  <c r="L29" i="2"/>
  <c r="M43" i="2"/>
  <c r="L47" i="2"/>
  <c r="M49" i="2"/>
  <c r="L49" i="2"/>
  <c r="M52" i="2"/>
  <c r="M55" i="2"/>
  <c r="L17" i="2"/>
  <c r="N17" i="2"/>
  <c r="L11" i="2"/>
  <c r="N11" i="2"/>
  <c r="N13" i="2"/>
  <c r="L13" i="2"/>
  <c r="M17" i="2"/>
  <c r="L18" i="2"/>
  <c r="N41" i="2"/>
  <c r="M41" i="2"/>
  <c r="L41" i="2"/>
  <c r="L7" i="2"/>
  <c r="M11" i="2"/>
  <c r="M13" i="2"/>
  <c r="N15" i="2"/>
  <c r="L15" i="2"/>
  <c r="N19" i="2"/>
  <c r="L19" i="2"/>
  <c r="N25" i="2"/>
  <c r="M25" i="2"/>
  <c r="L25" i="2"/>
  <c r="M84" i="2"/>
  <c r="M95" i="2"/>
  <c r="L24" i="2"/>
  <c r="N27" i="2"/>
  <c r="N31" i="2"/>
  <c r="L33" i="2"/>
  <c r="N35" i="2"/>
  <c r="L37" i="2"/>
  <c r="N40" i="2"/>
  <c r="L42" i="2"/>
  <c r="N43" i="2"/>
  <c r="L45" i="2"/>
  <c r="L51" i="2"/>
  <c r="E52" i="2"/>
  <c r="E98" i="2" s="1"/>
  <c r="D4" i="14" s="1"/>
  <c r="N53" i="2"/>
  <c r="N58" i="2"/>
  <c r="L60" i="2"/>
  <c r="N62" i="2"/>
  <c r="L65" i="2"/>
  <c r="N67" i="2"/>
  <c r="L69" i="2"/>
  <c r="N71" i="2"/>
  <c r="L73" i="2"/>
  <c r="N74" i="2"/>
  <c r="L77" i="2"/>
  <c r="L79" i="2"/>
  <c r="L81" i="2"/>
  <c r="L82" i="2"/>
  <c r="N84" i="2"/>
  <c r="L93" i="2"/>
  <c r="N95" i="2"/>
  <c r="M24" i="2"/>
  <c r="M33" i="2"/>
  <c r="M37" i="2"/>
  <c r="M42" i="2"/>
  <c r="M45" i="2"/>
  <c r="M51" i="2"/>
  <c r="M60" i="2"/>
  <c r="M65" i="2"/>
  <c r="M69" i="2"/>
  <c r="M73" i="2"/>
  <c r="M77" i="2"/>
  <c r="M79" i="2"/>
  <c r="M81" i="2"/>
  <c r="M82" i="2"/>
  <c r="M93" i="2"/>
  <c r="D16" i="14" l="1"/>
  <c r="D18" i="14"/>
  <c r="E100" i="2"/>
  <c r="C4" i="14" s="1"/>
  <c r="L98" i="2"/>
  <c r="E4" i="14" s="1"/>
  <c r="F4" i="14" l="1"/>
  <c r="E4" i="19"/>
  <c r="E18" i="14"/>
  <c r="E16" i="14"/>
  <c r="F16" i="14"/>
  <c r="C16" i="14"/>
  <c r="C18" i="14"/>
  <c r="L100" i="2"/>
  <c r="K4" i="14" s="1"/>
  <c r="M4" i="14" s="1"/>
  <c r="N98" i="2"/>
  <c r="F18" i="14" l="1"/>
  <c r="Q4" i="14"/>
  <c r="Q20" i="14" s="1"/>
  <c r="M20" i="14"/>
  <c r="K16" i="14"/>
  <c r="N4" i="14"/>
  <c r="N20" i="14" s="1"/>
  <c r="K18" i="14"/>
  <c r="K20" i="14"/>
  <c r="L103" i="2"/>
  <c r="N100" i="2"/>
  <c r="O4" i="14" l="1"/>
  <c r="O20" i="14" s="1"/>
  <c r="J15" i="17"/>
  <c r="K15" i="17"/>
  <c r="H15" i="17"/>
  <c r="G15" i="17"/>
  <c r="E15" i="17"/>
  <c r="B15" i="19" s="1"/>
  <c r="D15" i="17"/>
  <c r="C15" i="17"/>
  <c r="J14" i="17"/>
  <c r="K14" i="17"/>
  <c r="H14" i="17"/>
  <c r="G14" i="17"/>
  <c r="E14" i="17"/>
  <c r="B14" i="19" s="1"/>
  <c r="D14" i="17"/>
  <c r="C14" i="17"/>
  <c r="J13" i="17"/>
  <c r="K13" i="17"/>
  <c r="H13" i="17"/>
  <c r="G13" i="17"/>
  <c r="E13" i="17"/>
  <c r="B13" i="19" s="1"/>
  <c r="D13" i="17"/>
  <c r="C13" i="17"/>
  <c r="J12" i="17"/>
  <c r="K12" i="17"/>
  <c r="H12" i="17"/>
  <c r="G12" i="17"/>
  <c r="E12" i="17"/>
  <c r="B12" i="19" s="1"/>
  <c r="D12" i="17"/>
  <c r="C12" i="17"/>
  <c r="J11" i="17"/>
  <c r="K11" i="17"/>
  <c r="H11" i="17"/>
  <c r="G11" i="17"/>
  <c r="E11" i="17"/>
  <c r="B11" i="19" s="1"/>
  <c r="D11" i="17"/>
  <c r="C11" i="17"/>
  <c r="J10" i="17"/>
  <c r="K10" i="17"/>
  <c r="H10" i="17"/>
  <c r="G10" i="17"/>
  <c r="E10" i="17"/>
  <c r="B10" i="19" s="1"/>
  <c r="D10" i="17"/>
  <c r="C10" i="17"/>
  <c r="J9" i="17"/>
  <c r="K9" i="17"/>
  <c r="H9" i="17"/>
  <c r="G9" i="17"/>
  <c r="E9" i="17"/>
  <c r="B9" i="19" s="1"/>
  <c r="D9" i="17"/>
  <c r="C9" i="17"/>
  <c r="J8" i="17"/>
  <c r="K8" i="17"/>
  <c r="H8" i="17"/>
  <c r="G8" i="17"/>
  <c r="E8" i="17"/>
  <c r="B8" i="19" s="1"/>
  <c r="D8" i="17"/>
  <c r="C8" i="17"/>
  <c r="J7" i="17"/>
  <c r="K7" i="17"/>
  <c r="H7" i="17"/>
  <c r="G7" i="17"/>
  <c r="E7" i="17"/>
  <c r="B7" i="19" s="1"/>
  <c r="D7" i="17"/>
  <c r="C7" i="17"/>
  <c r="J6" i="17"/>
  <c r="K6" i="17"/>
  <c r="H6" i="17"/>
  <c r="G6" i="17"/>
  <c r="E6" i="17"/>
  <c r="B6" i="19" s="1"/>
  <c r="D6" i="17"/>
  <c r="C6" i="17"/>
  <c r="J5" i="17"/>
  <c r="K5" i="17"/>
  <c r="H5" i="17"/>
  <c r="G5" i="17"/>
  <c r="E5" i="17"/>
  <c r="B5" i="19" s="1"/>
  <c r="D5" i="17"/>
  <c r="C5" i="17"/>
  <c r="J4" i="17"/>
  <c r="K4" i="17"/>
  <c r="H4" i="17"/>
  <c r="G4" i="17"/>
  <c r="E4" i="17"/>
  <c r="B4" i="19" s="1"/>
  <c r="D4" i="17"/>
  <c r="C4" i="17"/>
  <c r="Q96" i="18" l="1"/>
  <c r="P96" i="18"/>
  <c r="T96" i="18" s="1"/>
  <c r="U96" i="18" s="1"/>
  <c r="Q95" i="18"/>
  <c r="P95" i="18"/>
  <c r="T95" i="18" s="1"/>
  <c r="U95" i="18" s="1"/>
  <c r="Q94" i="18"/>
  <c r="P94" i="18"/>
  <c r="T94" i="18" s="1"/>
  <c r="U94" i="18" s="1"/>
  <c r="P93" i="18"/>
  <c r="N15" i="16" l="1"/>
  <c r="M15" i="16"/>
  <c r="N14" i="16"/>
  <c r="M14" i="16"/>
  <c r="M13" i="16"/>
  <c r="N12" i="16"/>
  <c r="I11" i="16"/>
  <c r="N10" i="16"/>
  <c r="M10" i="16"/>
  <c r="N8" i="16"/>
  <c r="M8" i="16"/>
  <c r="F8" i="16"/>
  <c r="M7" i="16"/>
  <c r="N6" i="16"/>
  <c r="M6" i="16"/>
  <c r="J18" i="16"/>
  <c r="E18" i="16" l="1"/>
  <c r="I5" i="16"/>
  <c r="I9" i="16"/>
  <c r="F11" i="16"/>
  <c r="I13" i="16"/>
  <c r="H18" i="16"/>
  <c r="Q5" i="16"/>
  <c r="Q9" i="16"/>
  <c r="Q11" i="16"/>
  <c r="Q13" i="16"/>
  <c r="N5" i="16"/>
  <c r="I6" i="16"/>
  <c r="Q6" i="16"/>
  <c r="N7" i="16"/>
  <c r="O7" i="16" s="1"/>
  <c r="I8" i="16"/>
  <c r="N9" i="16"/>
  <c r="I10" i="16"/>
  <c r="Q10" i="16"/>
  <c r="N11" i="16"/>
  <c r="I12" i="16"/>
  <c r="Q12" i="16"/>
  <c r="N13" i="16"/>
  <c r="O13" i="16" s="1"/>
  <c r="O14" i="16"/>
  <c r="Q14" i="16"/>
  <c r="F6" i="16"/>
  <c r="Q8" i="16"/>
  <c r="M11" i="16"/>
  <c r="Q7" i="16"/>
  <c r="F5" i="16"/>
  <c r="O6" i="16"/>
  <c r="O10" i="16"/>
  <c r="O15" i="16"/>
  <c r="F4" i="16"/>
  <c r="K16" i="16"/>
  <c r="I7" i="16"/>
  <c r="F9" i="16"/>
  <c r="F10" i="16"/>
  <c r="F12" i="16"/>
  <c r="F13" i="16"/>
  <c r="O8" i="16"/>
  <c r="M4" i="16"/>
  <c r="M12" i="16"/>
  <c r="O12" i="16" s="1"/>
  <c r="H16" i="16"/>
  <c r="K18" i="16"/>
  <c r="I4" i="16"/>
  <c r="N4" i="16"/>
  <c r="M5" i="16"/>
  <c r="O5" i="16" s="1"/>
  <c r="F7" i="16"/>
  <c r="M9" i="16"/>
  <c r="E16" i="16"/>
  <c r="K20" i="16"/>
  <c r="J16" i="16"/>
  <c r="Q4" i="16"/>
  <c r="O11" i="16" l="1"/>
  <c r="N20" i="16"/>
  <c r="O9" i="16"/>
  <c r="M20" i="16"/>
  <c r="O4" i="16"/>
  <c r="O20" i="16" l="1"/>
  <c r="Q83" i="18" l="1"/>
  <c r="D18" i="17" l="1"/>
  <c r="J18" i="17"/>
  <c r="Q87" i="18" l="1"/>
  <c r="P87" i="18" l="1"/>
  <c r="T87" i="18" s="1"/>
  <c r="U87" i="18" s="1"/>
  <c r="Q70" i="18" l="1"/>
  <c r="Q88" i="18" l="1"/>
  <c r="Q20" i="17" l="1"/>
  <c r="N20" i="17" l="1"/>
  <c r="M20" i="17"/>
  <c r="J16" i="17" l="1"/>
  <c r="Q15" i="17"/>
  <c r="N15" i="17"/>
  <c r="I15" i="17"/>
  <c r="F15" i="17"/>
  <c r="Q14" i="17"/>
  <c r="N14" i="17"/>
  <c r="I14" i="17"/>
  <c r="F14" i="17"/>
  <c r="Q13" i="17"/>
  <c r="I13" i="17"/>
  <c r="M13" i="17"/>
  <c r="Q12" i="17"/>
  <c r="N12" i="17"/>
  <c r="I12" i="17"/>
  <c r="F12" i="17"/>
  <c r="M12" i="17"/>
  <c r="Q11" i="17"/>
  <c r="N11" i="17"/>
  <c r="I11" i="17"/>
  <c r="F11" i="17"/>
  <c r="M11" i="17"/>
  <c r="Q10" i="17"/>
  <c r="N10" i="17"/>
  <c r="I10" i="17"/>
  <c r="F10" i="17"/>
  <c r="Q9" i="17"/>
  <c r="I9" i="17"/>
  <c r="M9" i="17"/>
  <c r="Q8" i="17"/>
  <c r="N8" i="17"/>
  <c r="I8" i="17"/>
  <c r="F8" i="17"/>
  <c r="M8" i="17"/>
  <c r="Q7" i="17"/>
  <c r="N7" i="17"/>
  <c r="I7" i="17"/>
  <c r="F7" i="17"/>
  <c r="M7" i="17"/>
  <c r="Q6" i="17"/>
  <c r="N6" i="17"/>
  <c r="I6" i="17"/>
  <c r="F6" i="17"/>
  <c r="Q5" i="17"/>
  <c r="I5" i="17"/>
  <c r="F5" i="17"/>
  <c r="N4" i="17"/>
  <c r="K16" i="17"/>
  <c r="H16" i="17"/>
  <c r="G16" i="17"/>
  <c r="M4" i="17"/>
  <c r="D16" i="17"/>
  <c r="C16" i="17"/>
  <c r="O11" i="17" l="1"/>
  <c r="O7" i="17"/>
  <c r="O12" i="17"/>
  <c r="O8" i="17"/>
  <c r="O4" i="17"/>
  <c r="Q4" i="17"/>
  <c r="Q19" i="17" s="1"/>
  <c r="F9" i="17"/>
  <c r="F13" i="17"/>
  <c r="M15" i="17"/>
  <c r="O15" i="17" s="1"/>
  <c r="O20" i="17"/>
  <c r="F4" i="17"/>
  <c r="N5" i="17"/>
  <c r="M6" i="17"/>
  <c r="O6" i="17" s="1"/>
  <c r="N9" i="17"/>
  <c r="M10" i="17"/>
  <c r="O10" i="17" s="1"/>
  <c r="N13" i="17"/>
  <c r="O13" i="17" s="1"/>
  <c r="M14" i="17"/>
  <c r="O14" i="17" s="1"/>
  <c r="I4" i="17"/>
  <c r="I16" i="17" s="1"/>
  <c r="M5" i="17"/>
  <c r="E16" i="17"/>
  <c r="N19" i="17" l="1"/>
  <c r="O5" i="17"/>
  <c r="F16" i="17"/>
  <c r="O9" i="17"/>
  <c r="M19" i="17"/>
  <c r="O19" i="17" l="1"/>
  <c r="Q92" i="18" l="1"/>
  <c r="P92" i="18"/>
  <c r="T92" i="18" s="1"/>
  <c r="U92" i="18" s="1"/>
  <c r="Q91" i="18"/>
  <c r="P91" i="18"/>
  <c r="T91" i="18" s="1"/>
  <c r="U91" i="18" s="1"/>
  <c r="V91" i="18" s="1"/>
  <c r="Q90" i="18"/>
  <c r="P90" i="18"/>
  <c r="T90" i="18" s="1"/>
  <c r="U90" i="18" s="1"/>
  <c r="Q89" i="18"/>
  <c r="P89" i="18"/>
  <c r="T89" i="18" s="1"/>
  <c r="U89" i="18" s="1"/>
  <c r="P88" i="18"/>
  <c r="T88" i="18" s="1"/>
  <c r="U88" i="18" s="1"/>
  <c r="Q93" i="18"/>
  <c r="T93" i="18"/>
  <c r="U93" i="18" s="1"/>
  <c r="P83" i="18"/>
  <c r="T83" i="18" s="1"/>
  <c r="U83" i="18" s="1"/>
  <c r="Q82" i="18"/>
  <c r="P82" i="18"/>
  <c r="T82" i="18" s="1"/>
  <c r="U82" i="18" s="1"/>
  <c r="T97" i="18"/>
  <c r="P78" i="18"/>
  <c r="T78" i="18" s="1"/>
  <c r="U78" i="18" s="1"/>
  <c r="P77" i="18"/>
  <c r="T77" i="18" s="1"/>
  <c r="Q76" i="18"/>
  <c r="P76" i="18"/>
  <c r="T76" i="18" s="1"/>
  <c r="P79" i="18" l="1"/>
  <c r="T79" i="18" s="1"/>
  <c r="U79" i="18" s="1"/>
  <c r="Q79" i="18"/>
  <c r="U76" i="18"/>
  <c r="Q77" i="18"/>
  <c r="Q78" i="18"/>
  <c r="Q86" i="18" l="1"/>
  <c r="Q85" i="18"/>
  <c r="Q73" i="18"/>
  <c r="P86" i="18" l="1"/>
  <c r="T86" i="18" s="1"/>
  <c r="U86" i="18" s="1"/>
  <c r="P85" i="18"/>
  <c r="T85" i="18" s="1"/>
  <c r="U85" i="18" s="1"/>
  <c r="Q81" i="18" l="1"/>
  <c r="P81" i="18" l="1"/>
  <c r="T81" i="18" s="1"/>
  <c r="U81" i="18" s="1"/>
  <c r="Q80" i="18" l="1"/>
  <c r="Q84" i="18" l="1"/>
  <c r="Q62" i="18"/>
  <c r="P80" i="18"/>
  <c r="T80" i="18" s="1"/>
  <c r="U80" i="18" s="1"/>
  <c r="P84" i="18" l="1"/>
  <c r="T84" i="18" s="1"/>
  <c r="U84" i="18" s="1"/>
  <c r="P62" i="18"/>
  <c r="T62" i="18" s="1"/>
  <c r="P42" i="18" l="1"/>
  <c r="T42" i="18" s="1"/>
  <c r="U42" i="18" s="1"/>
  <c r="Q42" i="18"/>
  <c r="Q34" i="18"/>
  <c r="P34" i="18"/>
  <c r="T34" i="18" s="1"/>
  <c r="P28" i="18"/>
  <c r="T28" i="18" s="1"/>
  <c r="Q28" i="18"/>
  <c r="P73" i="18"/>
  <c r="T73" i="18" s="1"/>
  <c r="P70" i="18"/>
  <c r="T70" i="18" s="1"/>
  <c r="U70" i="18" s="1"/>
  <c r="V70" i="18" s="1"/>
  <c r="Q40" i="18" l="1"/>
  <c r="Q7" i="18" l="1"/>
  <c r="P7" i="18"/>
  <c r="T7" i="18" s="1"/>
  <c r="Q47" i="18"/>
  <c r="P47" i="18"/>
  <c r="T47" i="18" s="1"/>
  <c r="Q51" i="18"/>
  <c r="P51" i="18"/>
  <c r="T51" i="18" s="1"/>
  <c r="Q12" i="18"/>
  <c r="Q13" i="18"/>
  <c r="Q22" i="18"/>
  <c r="Q23" i="18"/>
  <c r="Q24" i="18"/>
  <c r="Q26" i="18"/>
  <c r="Q29" i="18"/>
  <c r="Q31" i="18"/>
  <c r="Q32" i="18"/>
  <c r="Q33" i="18"/>
  <c r="Q35" i="18"/>
  <c r="Q37" i="18"/>
  <c r="P40" i="18"/>
  <c r="T40" i="18" s="1"/>
  <c r="U40" i="18" s="1"/>
  <c r="V40" i="18" s="1"/>
  <c r="Q41" i="18"/>
  <c r="Q43" i="18"/>
  <c r="Q48" i="18"/>
  <c r="Q49" i="18"/>
  <c r="Q50" i="18"/>
  <c r="Q52" i="18"/>
  <c r="Q53" i="18"/>
  <c r="Q54" i="18"/>
  <c r="Q71" i="18" l="1"/>
  <c r="P71" i="18"/>
  <c r="T71" i="18" s="1"/>
  <c r="U71" i="18" s="1"/>
  <c r="V71" i="18" s="1"/>
  <c r="Q66" i="18"/>
  <c r="P66" i="18"/>
  <c r="T66" i="18" s="1"/>
  <c r="U66" i="18" s="1"/>
  <c r="V66" i="18" s="1"/>
  <c r="Q61" i="18"/>
  <c r="P61" i="18"/>
  <c r="T61" i="18" s="1"/>
  <c r="Q44" i="18"/>
  <c r="P44" i="18"/>
  <c r="T44" i="18" s="1"/>
  <c r="U44" i="18" s="1"/>
  <c r="Q25" i="18"/>
  <c r="P25" i="18"/>
  <c r="T25" i="18" s="1"/>
  <c r="Q18" i="18"/>
  <c r="P18" i="18"/>
  <c r="T18" i="18" s="1"/>
  <c r="Q14" i="18"/>
  <c r="P14" i="18"/>
  <c r="T14" i="18" s="1"/>
  <c r="Q69" i="18"/>
  <c r="P69" i="18"/>
  <c r="T69" i="18" s="1"/>
  <c r="U69" i="18" s="1"/>
  <c r="V69" i="18" s="1"/>
  <c r="Q65" i="18"/>
  <c r="P65" i="18"/>
  <c r="T65" i="18" s="1"/>
  <c r="U65" i="18" s="1"/>
  <c r="V65" i="18" s="1"/>
  <c r="Q58" i="18"/>
  <c r="P58" i="18"/>
  <c r="T58" i="18" s="1"/>
  <c r="Q39" i="18"/>
  <c r="P39" i="18"/>
  <c r="T39" i="18" s="1"/>
  <c r="U39" i="18" s="1"/>
  <c r="V39" i="18" s="1"/>
  <c r="Q17" i="18"/>
  <c r="P17" i="18"/>
  <c r="T17" i="18" s="1"/>
  <c r="Q11" i="18"/>
  <c r="P11" i="18"/>
  <c r="T11" i="18" s="1"/>
  <c r="Q74" i="18"/>
  <c r="P74" i="18"/>
  <c r="T74" i="18" s="1"/>
  <c r="U73" i="18" s="1"/>
  <c r="Q68" i="18"/>
  <c r="P68" i="18"/>
  <c r="T68" i="18" s="1"/>
  <c r="U68" i="18" s="1"/>
  <c r="V68" i="18" s="1"/>
  <c r="Q64" i="18"/>
  <c r="P64" i="18"/>
  <c r="T64" i="18" s="1"/>
  <c r="U64" i="18" s="1"/>
  <c r="V64" i="18" s="1"/>
  <c r="Q59" i="18"/>
  <c r="P59" i="18"/>
  <c r="T59" i="18" s="1"/>
  <c r="Q27" i="18"/>
  <c r="P27" i="18"/>
  <c r="T27" i="18" s="1"/>
  <c r="Q20" i="18"/>
  <c r="P20" i="18"/>
  <c r="T20" i="18" s="1"/>
  <c r="Q16" i="18"/>
  <c r="P16" i="18"/>
  <c r="T16" i="18" s="1"/>
  <c r="Q67" i="18"/>
  <c r="P67" i="18"/>
  <c r="T67" i="18" s="1"/>
  <c r="U67" i="18" s="1"/>
  <c r="V67" i="18" s="1"/>
  <c r="Q60" i="18"/>
  <c r="P60" i="18"/>
  <c r="T60" i="18" s="1"/>
  <c r="Q45" i="18"/>
  <c r="P45" i="18"/>
  <c r="T45" i="18" s="1"/>
  <c r="U45" i="18" s="1"/>
  <c r="Q19" i="18"/>
  <c r="P19" i="18"/>
  <c r="T19" i="18" s="1"/>
  <c r="Q15" i="18"/>
  <c r="P15" i="18"/>
  <c r="T15" i="18" s="1"/>
  <c r="U7" i="18"/>
  <c r="V7" i="18"/>
  <c r="P54" i="18"/>
  <c r="T54" i="18" s="1"/>
  <c r="P53" i="18"/>
  <c r="T53" i="18" s="1"/>
  <c r="P52" i="18"/>
  <c r="T52" i="18" s="1"/>
  <c r="P50" i="18"/>
  <c r="T50" i="18" s="1"/>
  <c r="P49" i="18"/>
  <c r="T49" i="18" s="1"/>
  <c r="P48" i="18"/>
  <c r="T48" i="18" s="1"/>
  <c r="P43" i="18"/>
  <c r="T43" i="18" s="1"/>
  <c r="U43" i="18" s="1"/>
  <c r="V43" i="18" s="1"/>
  <c r="P41" i="18"/>
  <c r="T41" i="18" s="1"/>
  <c r="U41" i="18" s="1"/>
  <c r="V41" i="18" s="1"/>
  <c r="P37" i="18"/>
  <c r="T37" i="18" s="1"/>
  <c r="U37" i="18" s="1"/>
  <c r="V37" i="18" s="1"/>
  <c r="P35" i="18"/>
  <c r="T35" i="18" s="1"/>
  <c r="P33" i="18"/>
  <c r="T33" i="18" s="1"/>
  <c r="P32" i="18"/>
  <c r="T32" i="18" s="1"/>
  <c r="P31" i="18"/>
  <c r="T31" i="18" s="1"/>
  <c r="P29" i="18"/>
  <c r="T29" i="18" s="1"/>
  <c r="P26" i="18"/>
  <c r="T26" i="18" s="1"/>
  <c r="P24" i="18"/>
  <c r="T24" i="18" s="1"/>
  <c r="P23" i="18"/>
  <c r="T23" i="18" s="1"/>
  <c r="P22" i="18"/>
  <c r="T22" i="18" s="1"/>
  <c r="P13" i="18"/>
  <c r="T13" i="18" s="1"/>
  <c r="P12" i="18"/>
  <c r="T12" i="18" s="1"/>
  <c r="V73" i="18" l="1"/>
  <c r="U58" i="18"/>
  <c r="V58" i="18" s="1"/>
  <c r="U11" i="18"/>
  <c r="V11" i="18" s="1"/>
  <c r="U31" i="18"/>
  <c r="V31" i="18" s="1"/>
  <c r="U47" i="18"/>
  <c r="V47" i="18"/>
  <c r="U22" i="18"/>
  <c r="V22" i="18" s="1"/>
  <c r="V98" i="18" l="1"/>
  <c r="U98" i="18"/>
  <c r="G16" i="16" l="1"/>
  <c r="G18" i="16"/>
  <c r="I18" i="16" l="1"/>
  <c r="I16" i="16"/>
  <c r="D18" i="16" l="1"/>
  <c r="D16" i="16"/>
  <c r="F16" i="16" l="1"/>
  <c r="F18" i="16"/>
  <c r="C16" i="16" l="1"/>
  <c r="Q15" i="16"/>
  <c r="Q20" i="16" s="1"/>
  <c r="C18" i="16"/>
  <c r="K157" i="13"/>
  <c r="J96" i="12" s="1"/>
  <c r="J157" i="13"/>
  <c r="I96" i="12" s="1"/>
  <c r="H157" i="13"/>
  <c r="G96" i="12" s="1"/>
  <c r="I157" i="13"/>
  <c r="H97" i="12" s="1"/>
  <c r="J97" i="12" l="1"/>
  <c r="I97" i="12"/>
  <c r="G97" i="12"/>
  <c r="H96" i="12"/>
</calcChain>
</file>

<file path=xl/sharedStrings.xml><?xml version="1.0" encoding="utf-8"?>
<sst xmlns="http://schemas.openxmlformats.org/spreadsheetml/2006/main" count="3272" uniqueCount="872">
  <si>
    <t>СОГЛАСОВАНО</t>
  </si>
  <si>
    <t>УТВЕРЖДАЮ</t>
  </si>
  <si>
    <t>Директор по производству</t>
  </si>
  <si>
    <t>Генеральный директор</t>
  </si>
  <si>
    <t>___________В.В.Вотинцев</t>
  </si>
  <si>
    <t>Номер заказа</t>
  </si>
  <si>
    <t>Наименование продукции</t>
  </si>
  <si>
    <t>План шт.</t>
  </si>
  <si>
    <t>Цена без НДС</t>
  </si>
  <si>
    <t>Сумма без НДС</t>
  </si>
  <si>
    <t>отгружено шт.</t>
  </si>
  <si>
    <t>Отгрузка количество</t>
  </si>
  <si>
    <t>Выполнение</t>
  </si>
  <si>
    <t>% выполн.</t>
  </si>
  <si>
    <t>1 неделя</t>
  </si>
  <si>
    <t>2 неделя</t>
  </si>
  <si>
    <t>3 неделя</t>
  </si>
  <si>
    <t>4 неделя</t>
  </si>
  <si>
    <t>Субаренда</t>
  </si>
  <si>
    <t>Планирование   "Эпотос-К"</t>
  </si>
  <si>
    <t>Планирование   "заказы"</t>
  </si>
  <si>
    <t>Итого планирование</t>
  </si>
  <si>
    <t>Корпус "Буран 2,5 (2С)" (окрашеный корпус с крышкой стакана и держателем)</t>
  </si>
  <si>
    <t>МПП "Буран-2,5взр"</t>
  </si>
  <si>
    <t>услуга</t>
  </si>
  <si>
    <t>металлолом</t>
  </si>
  <si>
    <t>итого</t>
  </si>
  <si>
    <t>металл, товар</t>
  </si>
  <si>
    <t>Отгрузка</t>
  </si>
  <si>
    <t>Транспортные услуги Газель</t>
  </si>
  <si>
    <t>остатки задел</t>
  </si>
  <si>
    <t>транспортные услуги Камаз</t>
  </si>
  <si>
    <t>Корпус                                        МПП(р)15.00.10.001(вытяжка)</t>
  </si>
  <si>
    <t>Распылитель                            МПП(р)-2.00.00.014-01</t>
  </si>
  <si>
    <t>сделано</t>
  </si>
  <si>
    <t>Корпус  (вытяжка)                   СПТГ.202801.001</t>
  </si>
  <si>
    <t>Корпус  (вытяжка)                   СПТГ.501401.001</t>
  </si>
  <si>
    <t>Корпус  (вытяжка)                   СПТГ.501402.001</t>
  </si>
  <si>
    <t>Корпус  (вытяжка)                   СПТГ.501001.001</t>
  </si>
  <si>
    <t>Корпус  (вытяжка)                   СПТГ.501002.001</t>
  </si>
  <si>
    <t>Корпус                                       МПП(р)-2,5.00.10.002</t>
  </si>
  <si>
    <t>Кольцо                                      МПП(р)-2,5.00.10.004</t>
  </si>
  <si>
    <t>Скоба                                        МПП(р)-2,5.01.00.015</t>
  </si>
  <si>
    <t>Сетка                                        МПП(р)-2,5.01.00.013</t>
  </si>
  <si>
    <t>Корпус                                      МППР(р)-0,5.00.10.000</t>
  </si>
  <si>
    <t>Корпус                                      МППР(р)-0,5.00.10.000-01    (тр)</t>
  </si>
  <si>
    <t>Стакан                                      МПП(р)-0,5.00.00.002           (14)</t>
  </si>
  <si>
    <t xml:space="preserve">Стакан                                      МПП(р)-2.00.00.010              (18) </t>
  </si>
  <si>
    <t>Стакан                                      МПП(р)-2.00.00.011    (внутр.)</t>
  </si>
  <si>
    <t>Стакан                                      МПП(р)-0,5.00.00.004         (16)</t>
  </si>
  <si>
    <t>Прокладка                                МПП(р)-0.5.00.10.005</t>
  </si>
  <si>
    <t>Корпус Буран 0,3                     МПП(р)-0,3.00.10.000</t>
  </si>
  <si>
    <t>Стаканчик                                 МПП(р)-0,3.00.00.001</t>
  </si>
  <si>
    <t>Стаканчик                                 МПП(р)-0,3.00.00.003</t>
  </si>
  <si>
    <t>Держатель                                МПП(р)-0,3.00.21.000</t>
  </si>
  <si>
    <t>Эпотос % к объему</t>
  </si>
  <si>
    <t>% выполнения</t>
  </si>
  <si>
    <t>заказы % к объему</t>
  </si>
  <si>
    <t>Корпус  (вытяжка)                   СПТГ.201701.001-01</t>
  </si>
  <si>
    <t>1762</t>
  </si>
  <si>
    <t>1763</t>
  </si>
  <si>
    <t>объем работ</t>
  </si>
  <si>
    <t>Заготовка фиксатора             ОДА2.02.00.011</t>
  </si>
  <si>
    <t>ср. месячное</t>
  </si>
  <si>
    <t>Стакан  (без покраски)           ОДА2.02.00.004-01</t>
  </si>
  <si>
    <t>Крышка (без покраски)           ОДА2.02.00.006-01</t>
  </si>
  <si>
    <t>объем работ "Эпотос-К"</t>
  </si>
  <si>
    <t>Выполнено "Эпотос-К"</t>
  </si>
  <si>
    <t>объем работ "заказы"</t>
  </si>
  <si>
    <t>Выполнено "заказы"</t>
  </si>
  <si>
    <t xml:space="preserve">Выполнено </t>
  </si>
  <si>
    <t>%</t>
  </si>
  <si>
    <t>Итого</t>
  </si>
  <si>
    <t>Прокладка                                 ОДА2.02.00.009</t>
  </si>
  <si>
    <t>Штуцер                                       МПП(р)-8.01.00.018</t>
  </si>
  <si>
    <t>Гайка                                          МПП(р)-8.01.40.002</t>
  </si>
  <si>
    <t>Головка                                     МПП(р)-0,5.00.11.001( вытяжка)</t>
  </si>
  <si>
    <t>Крышка                                      МПП( р)-15.01.20.002 (вытяжка)</t>
  </si>
  <si>
    <t>Гайка мембраны                     МПП(р)-15.00.20.001 (выт. и ток. обр.)</t>
  </si>
  <si>
    <t>Держатель ОСП" Метро        ОСП1(2)-М.01.000</t>
  </si>
  <si>
    <t>Труба                                          МПП(р)-2.00.10.001</t>
  </si>
  <si>
    <t>Стакан                                       МПП(р)-0,3.00.00.013</t>
  </si>
  <si>
    <t>Кронштейн                                МПП(р)-0,5.00.20.001</t>
  </si>
  <si>
    <t>Корпус газогенератора         МПП(р)-2,5.01.30.000 СБ</t>
  </si>
  <si>
    <t>Крышка газогенератора       МПП(р)-2,5.01.20.000 СБ</t>
  </si>
  <si>
    <t>Кольцо завальцовочное      МПП(р)-2,5 00.210.001</t>
  </si>
  <si>
    <t>Корпус в сборе                       МПП(р)-2,5.01.10.000</t>
  </si>
  <si>
    <t>Основание                                ПТКЛ.711352.200</t>
  </si>
  <si>
    <t>Основание                                ПТКЛ.711352.201</t>
  </si>
  <si>
    <t>Втулка                                        ОДА2.02.00.007</t>
  </si>
  <si>
    <t>1152</t>
  </si>
  <si>
    <t>Накладка ПТКЛ.745412.001 БРС</t>
  </si>
  <si>
    <t>за 2016г.</t>
  </si>
  <si>
    <t>за 2017г.</t>
  </si>
  <si>
    <t>2496</t>
  </si>
  <si>
    <t>Корпус  (Буран-0,3) без покраски</t>
  </si>
  <si>
    <t>Пластина ДПС                         ПТКЛ.7.844.002</t>
  </si>
  <si>
    <t>0086</t>
  </si>
  <si>
    <t>7522</t>
  </si>
  <si>
    <t>Трубка ПТКЛ.725152.002</t>
  </si>
  <si>
    <t>Втулка                                    ПТКЛ.746612.022 ПЦБК  ММЗ</t>
  </si>
  <si>
    <t>Изолятор                                ПТКЛ.757531.012 ПЦБК  ММЗ</t>
  </si>
  <si>
    <t xml:space="preserve"> "Эпотос-К" -основные изделия</t>
  </si>
  <si>
    <t>Крышка                             МПП( р)-50.05.00.022 (вытяжка)</t>
  </si>
  <si>
    <t>2637</t>
  </si>
  <si>
    <t>Корпус модуля                         МПП(р)-50.04.10.000</t>
  </si>
  <si>
    <t>комплектом</t>
  </si>
  <si>
    <t xml:space="preserve">Галополимер </t>
  </si>
  <si>
    <t>Галополимер % объему</t>
  </si>
  <si>
    <t>Галополимер % к объему</t>
  </si>
  <si>
    <t>ср. месяц</t>
  </si>
  <si>
    <t>средне месячное кол.</t>
  </si>
  <si>
    <t>2896</t>
  </si>
  <si>
    <t>Угольник ПТКЛ 745213.001</t>
  </si>
  <si>
    <t>2988</t>
  </si>
  <si>
    <t>3002</t>
  </si>
  <si>
    <t>Штамп вырубной дет. "Мембрана" 
(МПП(р)-8.01.00.010)</t>
  </si>
  <si>
    <t xml:space="preserve">Корпус газогенератора </t>
  </si>
  <si>
    <t>Угольник ПТКЛ 745222.027</t>
  </si>
  <si>
    <t>3387</t>
  </si>
  <si>
    <t>3406</t>
  </si>
  <si>
    <t>Корпус                 МППР(р)-0,5.00.10.000   (без покраски)</t>
  </si>
  <si>
    <t>Корпус                  МППР(р)-0,5.00.10.000-01 (тр) (без покраски)</t>
  </si>
  <si>
    <t>Корпус  (вытяжка)                   СПТГ.502800.003</t>
  </si>
  <si>
    <t>Корпус  (вытяжка)                   СПТГ.503500.008</t>
  </si>
  <si>
    <t>Штамп  черт. 6518/0046 дет."Корпус" . МПП(р)-15.00.10.001</t>
  </si>
  <si>
    <t>за 2018г.</t>
  </si>
  <si>
    <t>_____________Д.Г. Гущин</t>
  </si>
  <si>
    <t>Гайка мембраны        МПП(р)-15.00.20.001 (вытяж. ток. без фрезер)</t>
  </si>
  <si>
    <t>Скоба   ПТКЛ.745275.001</t>
  </si>
  <si>
    <t>Гайка мембраны  МПП(р)-15.00.20.001 (токарная обработка)</t>
  </si>
  <si>
    <t>Металл</t>
  </si>
  <si>
    <t>3904</t>
  </si>
  <si>
    <t xml:space="preserve">Штамп вытяжной дет."Корпус верхний МПП(р)-8.01.00.002" </t>
  </si>
  <si>
    <t>3914</t>
  </si>
  <si>
    <t>Корпус                      МПП(р)-0,5.00.10.000-01 (тр) (без покраски)</t>
  </si>
  <si>
    <t>4388</t>
  </si>
  <si>
    <t>Корпус                      МПП(р)-0,5.00.10.000 (без покраски)</t>
  </si>
  <si>
    <t xml:space="preserve">Экран                                        МПП(р)-2,5.01.00.010         </t>
  </si>
  <si>
    <t xml:space="preserve">Сетка                                        МПП(р)-2,5.01.00.011          </t>
  </si>
  <si>
    <t>без заявки</t>
  </si>
  <si>
    <t>Гайка активатора                      МПП(р)-8.01.30.006</t>
  </si>
  <si>
    <t>Втулка кабельная                      МПП(р)-8.01.70.002</t>
  </si>
  <si>
    <t>Вставка                                       МПП(р)-8.01.30.004</t>
  </si>
  <si>
    <t>Вкладыш                                     МПП(р)-8.02.00.026</t>
  </si>
  <si>
    <t>Корпус защитный                       МПП(р)-8.01.70.001</t>
  </si>
  <si>
    <t>Штуцер боковой                         МПП(р)-8.01.30.003</t>
  </si>
  <si>
    <t>Горловина верхняя                    ПТКЛ.33.20.11.05.002</t>
  </si>
  <si>
    <t>Корпус                                         ПТКЛ.33.20.11.08.004</t>
  </si>
  <si>
    <t>3559</t>
  </si>
  <si>
    <t>4655</t>
  </si>
  <si>
    <t xml:space="preserve">Сварка отвода ПТКЛ 33.20.13.03.000 </t>
  </si>
  <si>
    <t>Сварка отвода ПТКЛ 33.20.13.04.000</t>
  </si>
  <si>
    <t>Сварка Кожуха ЭПИН.501502.002</t>
  </si>
  <si>
    <t>4368</t>
  </si>
  <si>
    <t>Крышка (вытяжка, ток. фрез. обработка)           МПП(р)-50.05.00.022</t>
  </si>
  <si>
    <t xml:space="preserve">Горловина верхняя              МПП(р)-8.00.10.004-01 </t>
  </si>
  <si>
    <t>План        на       январь</t>
  </si>
  <si>
    <t>2019 г.</t>
  </si>
  <si>
    <t>План на</t>
  </si>
  <si>
    <t xml:space="preserve"> </t>
  </si>
  <si>
    <t>Заказчик</t>
  </si>
  <si>
    <t>Кол.</t>
  </si>
  <si>
    <t>Сумма</t>
  </si>
  <si>
    <t>Готово</t>
  </si>
  <si>
    <t xml:space="preserve"> дата в производство примечание</t>
  </si>
  <si>
    <t>лимиты</t>
  </si>
  <si>
    <t>1    неделя</t>
  </si>
  <si>
    <t>2    неделя</t>
  </si>
  <si>
    <t>3    неделя</t>
  </si>
  <si>
    <t>4             неделя</t>
  </si>
  <si>
    <t>Срок выполнения</t>
  </si>
  <si>
    <t>№ треб       № специф.</t>
  </si>
  <si>
    <t>оплата   %</t>
  </si>
  <si>
    <t>2587</t>
  </si>
  <si>
    <t>ООО "МТД"</t>
  </si>
  <si>
    <t>Опора  Н28                      СМ 017.01.02.01</t>
  </si>
  <si>
    <t>0175</t>
  </si>
  <si>
    <t>Кронштейн МЦ 5.9.247.00.008    (Мадрид)</t>
  </si>
  <si>
    <t>0178</t>
  </si>
  <si>
    <t>Уголок МЦ5.9.24.7.00.007</t>
  </si>
  <si>
    <t>0177</t>
  </si>
  <si>
    <t>Кронштейн МЦ 5.11.78.00.04.01-01 (Комфорт)</t>
  </si>
  <si>
    <t>0182</t>
  </si>
  <si>
    <t>Ось МЦ5.12.06.60.00.02</t>
  </si>
  <si>
    <t xml:space="preserve">Гибка опоры Energy на кватру  МЦ5.13.05.01.00.02  </t>
  </si>
  <si>
    <t>Гибка опоры колесной большой  МЦ 5.12.06.13.00.01</t>
  </si>
  <si>
    <t>Гибка опоры колесной малой   МЦ 5.12.06.90.00.01</t>
  </si>
  <si>
    <t>2973</t>
  </si>
  <si>
    <t>Гибка кронштейна опоры колесной МБ 009.05.33.62.00.02</t>
  </si>
  <si>
    <t>Гибка опоры Д75.00.001</t>
  </si>
  <si>
    <t>Кронштейн крепления пружины  (s=2,5)</t>
  </si>
  <si>
    <t>Опора колесная (Н35)  (s=2,5)</t>
  </si>
  <si>
    <t>Опора (Н43)  (s=2,5)</t>
  </si>
  <si>
    <t>Опора колесная (Н58)  (s=2,5)</t>
  </si>
  <si>
    <t>Ремонт штампа (дет. Опора H=58)</t>
  </si>
  <si>
    <t>Заготовка лист S=4 (1500х1000 - 6 шт. в килограммах)</t>
  </si>
  <si>
    <t>Шлифовка ножей</t>
  </si>
  <si>
    <t>Брус 270х40х60мм</t>
  </si>
  <si>
    <t>Полиспен</t>
  </si>
  <si>
    <t>Вал редуктора</t>
  </si>
  <si>
    <t>Вал для фрез L=1250мм</t>
  </si>
  <si>
    <t>Вал для фрез L=1357мм</t>
  </si>
  <si>
    <t>Шпонка 28х16х636мм</t>
  </si>
  <si>
    <t>Вал</t>
  </si>
  <si>
    <t>1201</t>
  </si>
  <si>
    <t>Барьер антипарковочный</t>
  </si>
  <si>
    <t>1200</t>
  </si>
  <si>
    <t>ГалоПолимер Зак.929</t>
  </si>
  <si>
    <t>Червяк</t>
  </si>
  <si>
    <r>
      <rPr>
        <b/>
        <sz val="10"/>
        <color indexed="8"/>
        <rFont val="Arial"/>
        <family val="2"/>
        <charset val="204"/>
      </rPr>
      <t xml:space="preserve"> </t>
    </r>
    <r>
      <rPr>
        <sz val="10"/>
        <color indexed="8"/>
        <rFont val="Arial"/>
        <family val="2"/>
        <charset val="204"/>
      </rPr>
      <t>спец.№330 от 26.09.18</t>
    </r>
  </si>
  <si>
    <t>ГалоПолимер Зак.910</t>
  </si>
  <si>
    <t>Клапан игольчатый с обогревом Ду20</t>
  </si>
  <si>
    <r>
      <rPr>
        <b/>
        <sz val="10"/>
        <color indexed="8"/>
        <rFont val="Arial"/>
        <family val="2"/>
        <charset val="204"/>
      </rPr>
      <t xml:space="preserve"> </t>
    </r>
    <r>
      <rPr>
        <sz val="10"/>
        <color indexed="8"/>
        <rFont val="Arial"/>
        <family val="2"/>
        <charset val="204"/>
      </rPr>
      <t>спец.№340 от 22.11.18</t>
    </r>
  </si>
  <si>
    <t>ГалоПолимер Зак.908</t>
  </si>
  <si>
    <t>Вал к насосу Х 45/23-4П 
(ст.Н70МФВ ГОСТ 5632-72)</t>
  </si>
  <si>
    <r>
      <rPr>
        <b/>
        <sz val="10"/>
        <color indexed="8"/>
        <rFont val="Arial"/>
        <family val="2"/>
        <charset val="204"/>
      </rPr>
      <t xml:space="preserve"> </t>
    </r>
    <r>
      <rPr>
        <sz val="10"/>
        <color indexed="8"/>
        <rFont val="Arial"/>
        <family val="2"/>
        <charset val="204"/>
      </rPr>
      <t>спец.№341 от 27.11.18</t>
    </r>
  </si>
  <si>
    <t>ГалоПолимер Зак.931</t>
  </si>
  <si>
    <t>Отвод хлорный</t>
  </si>
  <si>
    <r>
      <rPr>
        <b/>
        <sz val="10"/>
        <color indexed="8"/>
        <rFont val="Arial"/>
        <family val="2"/>
        <charset val="204"/>
      </rPr>
      <t xml:space="preserve"> </t>
    </r>
    <r>
      <rPr>
        <sz val="10"/>
        <color indexed="8"/>
        <rFont val="Arial"/>
        <family val="2"/>
        <charset val="204"/>
      </rPr>
      <t>спец.№346 от 11.12.18</t>
    </r>
  </si>
  <si>
    <t>ГалоПолимер Зак.896</t>
  </si>
  <si>
    <t>Накладка</t>
  </si>
  <si>
    <r>
      <rPr>
        <b/>
        <sz val="10"/>
        <color indexed="8"/>
        <rFont val="Arial"/>
        <family val="2"/>
        <charset val="204"/>
      </rPr>
      <t xml:space="preserve"> </t>
    </r>
    <r>
      <rPr>
        <sz val="10"/>
        <color indexed="8"/>
        <rFont val="Arial"/>
        <family val="2"/>
        <charset val="204"/>
      </rPr>
      <t>спец.№343 от 30.11.18</t>
    </r>
  </si>
  <si>
    <t xml:space="preserve">ГалоПолимер Зак.677 </t>
  </si>
  <si>
    <t>Устройство дренажное (капролон)</t>
  </si>
  <si>
    <t xml:space="preserve"> спец.№348 от 18.12.18</t>
  </si>
  <si>
    <t>ГалоПолимер Зак.1010</t>
  </si>
  <si>
    <t>Приемник пульпы</t>
  </si>
  <si>
    <t>срочно</t>
  </si>
  <si>
    <r>
      <rPr>
        <b/>
        <sz val="10"/>
        <color indexed="8"/>
        <rFont val="Arial"/>
        <family val="2"/>
        <charset val="204"/>
      </rPr>
      <t xml:space="preserve"> </t>
    </r>
    <r>
      <rPr>
        <sz val="10"/>
        <color indexed="8"/>
        <rFont val="Arial"/>
        <family val="2"/>
        <charset val="204"/>
      </rPr>
      <t>КП №587 от 20.12.18</t>
    </r>
  </si>
  <si>
    <t>ГалоПолимер Зак.917</t>
  </si>
  <si>
    <t>Тройник Ду200</t>
  </si>
  <si>
    <r>
      <rPr>
        <b/>
        <sz val="10"/>
        <color indexed="8"/>
        <rFont val="Arial"/>
        <family val="2"/>
        <charset val="204"/>
      </rPr>
      <t xml:space="preserve"> </t>
    </r>
    <r>
      <rPr>
        <sz val="10"/>
        <color indexed="8"/>
        <rFont val="Arial"/>
        <family val="2"/>
        <charset val="204"/>
      </rPr>
      <t>спец.№349 от 24.12.18</t>
    </r>
  </si>
  <si>
    <t>Крестовина Ду200</t>
  </si>
  <si>
    <t xml:space="preserve">Переход 200х300 </t>
  </si>
  <si>
    <t>ООО Вейн</t>
  </si>
  <si>
    <t>Штамп на Крышка купол 250</t>
  </si>
  <si>
    <t>Штамп на Крышка купол 320</t>
  </si>
  <si>
    <t>Штамп вырубной 110</t>
  </si>
  <si>
    <t>Штамповка дет. Дно дистилятора 250</t>
  </si>
  <si>
    <t>Полусгон G1/2" нерж. AISI304</t>
  </si>
  <si>
    <t>МИТО</t>
  </si>
  <si>
    <t>Детали изолятора подвесного (металл)</t>
  </si>
  <si>
    <t>Технострой</t>
  </si>
  <si>
    <t>Втулка крана</t>
  </si>
  <si>
    <t>Втулка предохранительного клапана</t>
  </si>
  <si>
    <t>Втулка ректификационной колонны</t>
  </si>
  <si>
    <t>Штамп на дет. "Кассета прижимная"</t>
  </si>
  <si>
    <t>ИП Шихова Е.А.</t>
  </si>
  <si>
    <t>Цементация и термообработка</t>
  </si>
  <si>
    <t>изготовлено в планируемые сроки</t>
  </si>
  <si>
    <t>невыдержаны сроки изготовления</t>
  </si>
  <si>
    <t>изготовление субподрядчиком</t>
  </si>
  <si>
    <t>отгружено без документов (забрал)</t>
  </si>
  <si>
    <t>готово к отгрузке</t>
  </si>
  <si>
    <t>отгрузить!!!</t>
  </si>
  <si>
    <t>ЗАБРАЛ</t>
  </si>
  <si>
    <t>Восстановление посадочных мест под подшипники в корпусе мельницы ВВК-3М поз.168-10/2</t>
  </si>
  <si>
    <r>
      <rPr>
        <b/>
        <sz val="10"/>
        <color indexed="8"/>
        <rFont val="Arial"/>
        <family val="2"/>
        <charset val="204"/>
      </rPr>
      <t xml:space="preserve"> </t>
    </r>
    <r>
      <rPr>
        <sz val="10"/>
        <color indexed="8"/>
        <rFont val="Arial"/>
        <family val="2"/>
        <charset val="204"/>
      </rPr>
      <t>спец.№344 от 11.12.18</t>
    </r>
  </si>
  <si>
    <t>ГалоПолимер Зак.Б/Н</t>
  </si>
  <si>
    <t>Колено поворотное</t>
  </si>
  <si>
    <r>
      <rPr>
        <b/>
        <sz val="10"/>
        <color indexed="8"/>
        <rFont val="Arial"/>
        <family val="2"/>
        <charset val="204"/>
      </rPr>
      <t xml:space="preserve"> </t>
    </r>
    <r>
      <rPr>
        <sz val="10"/>
        <color indexed="8"/>
        <rFont val="Arial"/>
        <family val="2"/>
        <charset val="204"/>
      </rPr>
      <t>спец.№345 от 11.12.18</t>
    </r>
  </si>
  <si>
    <t>ГалоПолимер Зак.864</t>
  </si>
  <si>
    <t>Бочковский А.А</t>
  </si>
  <si>
    <t>Рубка листа из паронита на заготовки</t>
  </si>
  <si>
    <t>январь   2019 г.</t>
  </si>
  <si>
    <t>Энергия СМ</t>
  </si>
  <si>
    <t>Фрезерование паза в дет. Вал</t>
  </si>
  <si>
    <t>Долбление шпоночного паза в дет.Втулка</t>
  </si>
  <si>
    <t>Нефтегаздиагностика</t>
  </si>
  <si>
    <t>Комплект петель D32 D25 L500</t>
  </si>
  <si>
    <t>4865</t>
  </si>
  <si>
    <t>Крышка</t>
  </si>
  <si>
    <t>Штамповка дет. Дно дистилятора 320</t>
  </si>
  <si>
    <t>Прокраска дет.Шкаф наземного пожарного гидранта</t>
  </si>
  <si>
    <t>Восстановление отв. под подшипники в дет. Шкив D=500мм</t>
  </si>
  <si>
    <t>Вальцовка обечайки 400х500х5мм</t>
  </si>
  <si>
    <t>4867</t>
  </si>
  <si>
    <t>4871</t>
  </si>
  <si>
    <t>Фрезерование пазов в дет. Ступица</t>
  </si>
  <si>
    <t>Сверление отверстий в дет. Форсунка</t>
  </si>
  <si>
    <t>ИП Лисицын</t>
  </si>
  <si>
    <t>ИП Прокашев</t>
  </si>
  <si>
    <t>Воронение деталей</t>
  </si>
  <si>
    <t>Орбита СП</t>
  </si>
  <si>
    <t>Вал приводной со шпонкой</t>
  </si>
  <si>
    <t>Ось лотка туб</t>
  </si>
  <si>
    <t>Шплинт</t>
  </si>
  <si>
    <t>Сверление и растачивание отв. в дет. Диск</t>
  </si>
  <si>
    <t>Сигма</t>
  </si>
  <si>
    <t>Нож (угол 70 град)</t>
  </si>
  <si>
    <t>Резцедержатель</t>
  </si>
  <si>
    <t>Плазменная резка дет.Диск D=150мм, S=10мм</t>
  </si>
  <si>
    <t>Плазменная резка дет.Диск D=120мм, S=8мм</t>
  </si>
  <si>
    <t>Вальцовка обечайки D377х318х8мм</t>
  </si>
  <si>
    <t>Долбление шпоночного паза в дет. Полумуфта</t>
  </si>
  <si>
    <t>Пластина 140х70х4мм</t>
  </si>
  <si>
    <t>Сервистехномонтаж</t>
  </si>
  <si>
    <t>Плазм.резка дет. Поз.87</t>
  </si>
  <si>
    <t>Плазм.резка дет. Поз.88</t>
  </si>
  <si>
    <t>Плазм.резка дет. Поз.89</t>
  </si>
  <si>
    <t>Плазм.резка дет. Поз.90</t>
  </si>
  <si>
    <t>Плазм.резка дет. Поз.91</t>
  </si>
  <si>
    <t>Плазм.резка дет. Поз.92</t>
  </si>
  <si>
    <t>Плазм.резка дет. Поз.93</t>
  </si>
  <si>
    <t>Плазм.резка дет. Поз.94</t>
  </si>
  <si>
    <t>Плазм.резка дет. Поз.95</t>
  </si>
  <si>
    <t>Плазм.резка дет. Поз.96</t>
  </si>
  <si>
    <t>Плазм.резка дет. Поз.97</t>
  </si>
  <si>
    <t>Агрохимикат</t>
  </si>
  <si>
    <t>Полоса 150х2000х2,5мм</t>
  </si>
  <si>
    <t>Полоса 150х1250х2,5мм</t>
  </si>
  <si>
    <t>ИП Свалов А.А.</t>
  </si>
  <si>
    <t>Ремонт дет. Вал</t>
  </si>
  <si>
    <t>янв.</t>
  </si>
  <si>
    <t>Фланец</t>
  </si>
  <si>
    <t>Вал линейного подшипника</t>
  </si>
  <si>
    <t>Обойма линейного подшипника</t>
  </si>
  <si>
    <t xml:space="preserve">Штамповка дет.  Крышка </t>
  </si>
  <si>
    <t>Штамповка дет.  Дно</t>
  </si>
  <si>
    <t>Штамповка дет.  Соединительное кольцо</t>
  </si>
  <si>
    <t>Торцевание поверхности дет. Диск</t>
  </si>
  <si>
    <t>4899</t>
  </si>
  <si>
    <t>Плазм.резка дет. Поз.255</t>
  </si>
  <si>
    <t>Плазм.резка дет. Поз.256</t>
  </si>
  <si>
    <t>Плазм.резка дет. Поз.257</t>
  </si>
  <si>
    <t>Плазм.резка дет. Поз.258</t>
  </si>
  <si>
    <t>Плазм.резка дет. Поз.259</t>
  </si>
  <si>
    <t>Плазм.резка дет. Поз.260</t>
  </si>
  <si>
    <t>Плазм.резка дет. Поз.261</t>
  </si>
  <si>
    <t>Плазм.резка дет. Поз.264</t>
  </si>
  <si>
    <t>Плазм.резка дет. Поз.265</t>
  </si>
  <si>
    <t>Плазм.резка дет. Поз.266</t>
  </si>
  <si>
    <t>Плазм.резка дет. Поз.267</t>
  </si>
  <si>
    <t>Плазм.резка дет. Поз.268</t>
  </si>
  <si>
    <t>Плазм.резка дет. Поз.269</t>
  </si>
  <si>
    <t>Плазм.резка дет. Поз.270</t>
  </si>
  <si>
    <t>Плазм.резка дет. Поз.271</t>
  </si>
  <si>
    <t>Плазм.резка дет. Поз.272</t>
  </si>
  <si>
    <t>Плазм.резка дет. Поз.273</t>
  </si>
  <si>
    <t>Плазм.резка дет. Поз.274</t>
  </si>
  <si>
    <t>Плазм.резка дет. Поз.275</t>
  </si>
  <si>
    <t>Плазм.резка дет. Поз.280</t>
  </si>
  <si>
    <t>Плазм.резка дет. Поз.281</t>
  </si>
  <si>
    <t>Плазм.резка дет. Поз.590</t>
  </si>
  <si>
    <t>Плазм.резка дет. Поз.591</t>
  </si>
  <si>
    <t>4949</t>
  </si>
  <si>
    <t>Корпус                      МПП(р)-0,3.00.10.000 (без покраски)</t>
  </si>
  <si>
    <t>Гайка мембраны                           (вытяж. полуфабрикат)</t>
  </si>
  <si>
    <t>ООО "ВВСК"</t>
  </si>
  <si>
    <t>Оправка d=16,2мм</t>
  </si>
  <si>
    <t>План        на       февраль</t>
  </si>
  <si>
    <t>ООО Домашний стандарт</t>
  </si>
  <si>
    <t>Тройник Ду300</t>
  </si>
  <si>
    <t>Фланец переходной Ду300/Ду32</t>
  </si>
  <si>
    <t>Полукольцо</t>
  </si>
  <si>
    <t>Фланец переходной 200х50</t>
  </si>
  <si>
    <r>
      <rPr>
        <b/>
        <sz val="10"/>
        <color indexed="8"/>
        <rFont val="Arial"/>
        <family val="2"/>
        <charset val="204"/>
      </rPr>
      <t xml:space="preserve"> </t>
    </r>
    <r>
      <rPr>
        <sz val="10"/>
        <color indexed="8"/>
        <rFont val="Arial"/>
        <family val="2"/>
        <charset val="204"/>
      </rPr>
      <t>спец.№350 от 10.01.19</t>
    </r>
  </si>
  <si>
    <t>ГалоПолимер  Зак.2431</t>
  </si>
  <si>
    <t>ГалоПолимер Зак.912</t>
  </si>
  <si>
    <r>
      <rPr>
        <b/>
        <sz val="10"/>
        <color indexed="8"/>
        <rFont val="Arial"/>
        <family val="2"/>
        <charset val="204"/>
      </rPr>
      <t xml:space="preserve"> </t>
    </r>
    <r>
      <rPr>
        <sz val="10"/>
        <color indexed="8"/>
        <rFont val="Arial"/>
        <family val="2"/>
        <charset val="204"/>
      </rPr>
      <t>спец.№347 от 14.12.18</t>
    </r>
  </si>
  <si>
    <t>ГалоПолимер Зак.1026</t>
  </si>
  <si>
    <r>
      <rPr>
        <b/>
        <sz val="10"/>
        <color indexed="8"/>
        <rFont val="Arial"/>
        <family val="2"/>
        <charset val="204"/>
      </rPr>
      <t xml:space="preserve"> </t>
    </r>
    <r>
      <rPr>
        <sz val="10"/>
        <color indexed="8"/>
        <rFont val="Arial"/>
        <family val="2"/>
        <charset val="204"/>
      </rPr>
      <t>спец.№352 от 22.01.19</t>
    </r>
  </si>
  <si>
    <t>февраль   2019 г.</t>
  </si>
  <si>
    <t>долг предыдущего месяца</t>
  </si>
  <si>
    <t>заказ не выполнен в срок</t>
  </si>
  <si>
    <t>Эпотос-К   2019 г.</t>
  </si>
  <si>
    <t>Термообработка деталей (закалка+отпуск)</t>
  </si>
  <si>
    <t>Вальцовка листа 1000х1000х4мм</t>
  </si>
  <si>
    <t>ООО "ПКФ Титан"</t>
  </si>
  <si>
    <t>ИСТА</t>
  </si>
  <si>
    <t>Ресивер V=35 л. (без хомутов)</t>
  </si>
  <si>
    <t>Плазм.резка дет. Поз.1027</t>
  </si>
  <si>
    <t>Плазм.резка дет. Поз.1028</t>
  </si>
  <si>
    <t>Плазм.резка дет. Поз.1030</t>
  </si>
  <si>
    <t>Плазм.резка дет. Поз.1032</t>
  </si>
  <si>
    <t>Плазм.резка дет. Поз.1033</t>
  </si>
  <si>
    <t>Плазм.резка дет. Поз.1034</t>
  </si>
  <si>
    <t>Плазм.резка дет. Поз.1035</t>
  </si>
  <si>
    <t>Плазм.резка дет. Поз.1036</t>
  </si>
  <si>
    <t>Плазм.резка дет. Поз.1037</t>
  </si>
  <si>
    <t>Плазм.резка дет. Поз.1039</t>
  </si>
  <si>
    <t>Плазм.резка дет. Поз.1040</t>
  </si>
  <si>
    <t>Плазм.резка дет. Поз.1041</t>
  </si>
  <si>
    <t>Плазм.резка дет. Поз.1042</t>
  </si>
  <si>
    <t>Плазм.резка дет. Поз.1043</t>
  </si>
  <si>
    <t>Плазм.резка дет. Поз.1044</t>
  </si>
  <si>
    <t>Плазм.резка дет. Поз.1045</t>
  </si>
  <si>
    <t>Плазм.резка дет. Поз.1046</t>
  </si>
  <si>
    <t>Плазм.резка дет. Поз.1047</t>
  </si>
  <si>
    <t>Плазм.резка дет. Поз.1048</t>
  </si>
  <si>
    <t>Плазм.резка дет. Поз.1049</t>
  </si>
  <si>
    <t>Плазм.резка дет. Поз.1050</t>
  </si>
  <si>
    <t>Плазм.резка дет. Поз.1518</t>
  </si>
  <si>
    <t>Плазм.резка дет. Поз.1071</t>
  </si>
  <si>
    <t>Плазм.резка дет. Поз.1077</t>
  </si>
  <si>
    <t>Плазм.резка дет. Поз.1078</t>
  </si>
  <si>
    <t>Плазм.резка дет. Поз.1079</t>
  </si>
  <si>
    <t>АО "СПК"</t>
  </si>
  <si>
    <t>Шкив D=366мм</t>
  </si>
  <si>
    <t>ремонт дет. Кронштейн</t>
  </si>
  <si>
    <t>фев.</t>
  </si>
  <si>
    <t>Доработка штампа дет. "Кассета прижимная"</t>
  </si>
  <si>
    <t>Плазм.резка дет. Поз.72</t>
  </si>
  <si>
    <t>Плазм.резка дет. Поз.73</t>
  </si>
  <si>
    <t>Плазм.резка дет. Поз.80</t>
  </si>
  <si>
    <t>Плазм.резка дет. Поз.81</t>
  </si>
  <si>
    <t>Плазм.резка дет. Поз.82</t>
  </si>
  <si>
    <t>Плазм.резка дет. Поз.83</t>
  </si>
  <si>
    <t>Плазм.резка дет. Поз.84</t>
  </si>
  <si>
    <t>Плазм.резка дет. Поз.85</t>
  </si>
  <si>
    <t>Комплект петель D24 D16 L150 (нержав. ст.)</t>
  </si>
  <si>
    <t>Комплект петель D30 D24 L150 (нержав. ст.)</t>
  </si>
  <si>
    <t>Комплект петель D30 D24 L500 (нержав. ст.)</t>
  </si>
  <si>
    <t>ГалоПолимер Зак.2431</t>
  </si>
  <si>
    <t>ГалоПолимер Зак.1017</t>
  </si>
  <si>
    <t>февр</t>
  </si>
  <si>
    <t>4907</t>
  </si>
  <si>
    <t>И.П.Шихова</t>
  </si>
  <si>
    <t>Хлебокомбинат</t>
  </si>
  <si>
    <t>Шайба D330х250х4мм</t>
  </si>
  <si>
    <t>Полоса 570х30х8мм</t>
  </si>
  <si>
    <t>Вал обкатного барабана с шпонкой</t>
  </si>
  <si>
    <t>Эксцентрик регулировочный</t>
  </si>
  <si>
    <t>Втулка шарнира</t>
  </si>
  <si>
    <r>
      <rPr>
        <b/>
        <sz val="10"/>
        <color indexed="8"/>
        <rFont val="Arial"/>
        <family val="2"/>
        <charset val="204"/>
      </rPr>
      <t xml:space="preserve"> </t>
    </r>
    <r>
      <rPr>
        <sz val="10"/>
        <color indexed="8"/>
        <rFont val="Arial"/>
        <family val="2"/>
        <charset val="204"/>
      </rPr>
      <t>спец.№351 от 18.01.19</t>
    </r>
  </si>
  <si>
    <t>Траспортные услуги Газель</t>
  </si>
  <si>
    <t>ГК "Азимут"</t>
  </si>
  <si>
    <t>Вал (гребень)</t>
  </si>
  <si>
    <t>Вал (паз)</t>
  </si>
  <si>
    <t>Испытание шлиф. круга</t>
  </si>
  <si>
    <t>Вальцовка обечайки D770х213х2мм</t>
  </si>
  <si>
    <t>Вальцовка обечайки D770х378х2мм</t>
  </si>
  <si>
    <t>Вальцовка обечайки D770х1250х2мм</t>
  </si>
  <si>
    <t>Ремонт дет. Вал ротора эл.двигателя</t>
  </si>
  <si>
    <t>НПО Триада Пластик</t>
  </si>
  <si>
    <t>Насос НСФБ 25/28 (в сборе)</t>
  </si>
  <si>
    <t>4958</t>
  </si>
  <si>
    <t>4959</t>
  </si>
  <si>
    <t>Доставка</t>
  </si>
  <si>
    <t>ГК Азимут</t>
  </si>
  <si>
    <t xml:space="preserve"> спец.№358 от 15.02.19</t>
  </si>
  <si>
    <t>ГалоПолимер Зак. 991</t>
  </si>
  <si>
    <t>Чепецклифт</t>
  </si>
  <si>
    <t>Шпонка 6х6х100мм</t>
  </si>
  <si>
    <t>Катушка Ду500, L=400мм</t>
  </si>
  <si>
    <t>Катушка Ду600, L=220мм</t>
  </si>
  <si>
    <t>Катушка Ду600, L=550мм</t>
  </si>
  <si>
    <t>Отвод Ду600</t>
  </si>
  <si>
    <t>Катушка Ду600, L=200мм</t>
  </si>
  <si>
    <t>Катушка Ду600, L=1000мм</t>
  </si>
  <si>
    <t xml:space="preserve"> спец.№356 от 12.02.19</t>
  </si>
  <si>
    <t>МЦ5-групп</t>
  </si>
  <si>
    <t>Ремонт гайки ступицы червячного колеса</t>
  </si>
  <si>
    <t>Патрубок</t>
  </si>
  <si>
    <t>Отвод Ду250</t>
  </si>
  <si>
    <t>Фланец переходной Ду250/Ду25</t>
  </si>
  <si>
    <t>Тройник Ду250</t>
  </si>
  <si>
    <t>Опора ОПБ1-25</t>
  </si>
  <si>
    <t>Опора ОПБ1-57</t>
  </si>
  <si>
    <t>Опора ОПБ1-89</t>
  </si>
  <si>
    <t>Опора ОПБ2-25</t>
  </si>
  <si>
    <t>Опора ОПБ2-57</t>
  </si>
  <si>
    <t>Опора ОПБ2-89</t>
  </si>
  <si>
    <t>Опора ОПБ2-108</t>
  </si>
  <si>
    <t xml:space="preserve"> спец.№357 от 13.02.19</t>
  </si>
  <si>
    <t>ГалоПолимер Зак.1003</t>
  </si>
  <si>
    <t>ГалоПолимер Зак.1019</t>
  </si>
  <si>
    <t>4881</t>
  </si>
  <si>
    <t>4883</t>
  </si>
  <si>
    <t>Штамп вытяжки Купол D250</t>
  </si>
  <si>
    <t>Штамп отбортовки Купол D250</t>
  </si>
  <si>
    <t>ООО  ТПК ХАНХИ</t>
  </si>
  <si>
    <t>Бином</t>
  </si>
  <si>
    <t>Шкив D=160мм</t>
  </si>
  <si>
    <t>К-Ч Кирпичный завод</t>
  </si>
  <si>
    <t>Сектор тарелки бегунного измельчителя</t>
  </si>
  <si>
    <t>К-Ч кирпичный завод</t>
  </si>
  <si>
    <t>Восстановление колеса транспортера №9</t>
  </si>
  <si>
    <t>Плазм.резка дет. Поз.1051</t>
  </si>
  <si>
    <t>ВятМК</t>
  </si>
  <si>
    <t>Переход</t>
  </si>
  <si>
    <t xml:space="preserve">ГалоПолимер Зак 982 </t>
  </si>
  <si>
    <t xml:space="preserve"> спец.№355 от 08.02.19</t>
  </si>
  <si>
    <t>ГалоПолимер</t>
  </si>
  <si>
    <t>Тройник Ду600х600х500 (материал ст.3)</t>
  </si>
  <si>
    <t>ТРАНСФОРМ-ГРУПП</t>
  </si>
  <si>
    <t>Пуансон</t>
  </si>
  <si>
    <t>Все станки</t>
  </si>
  <si>
    <t>Изготовление деталей</t>
  </si>
  <si>
    <t>Штамп обрубки Купол D250</t>
  </si>
  <si>
    <t>4321</t>
  </si>
  <si>
    <t>Плазм.резка дет. Поз.761</t>
  </si>
  <si>
    <t>Плазм.резка дет. Поз.762</t>
  </si>
  <si>
    <t>Плазм.резка дет. Поз.763</t>
  </si>
  <si>
    <t>Плазм.резка дет. Поз.1165</t>
  </si>
  <si>
    <t>Плазм.резка дет. Поз.1166</t>
  </si>
  <si>
    <t>Плазм.резка дет. Поз.1167</t>
  </si>
  <si>
    <t>Плазм.резка дет. Поз.1168</t>
  </si>
  <si>
    <t>Плазм.резка дет. Поз.1175</t>
  </si>
  <si>
    <t>Плазм.резка дет. Поз.1176</t>
  </si>
  <si>
    <t>Плазм.резка дет. Поз.1177</t>
  </si>
  <si>
    <t>Плазм.резка дет. Поз.1178</t>
  </si>
  <si>
    <t>Плазм.резка дет. Поз.1179</t>
  </si>
  <si>
    <t>Плазм.резка дет. Поз.1180</t>
  </si>
  <si>
    <t>Плазм.резка дет. Поз.1181</t>
  </si>
  <si>
    <t>Корпус в сборе                       МПП(р)-2,5.01.10.000 (без покраски)</t>
  </si>
  <si>
    <t>4862</t>
  </si>
  <si>
    <t>,</t>
  </si>
  <si>
    <t>План        на       март</t>
  </si>
  <si>
    <t>Жилстрой-сервис</t>
  </si>
  <si>
    <t>Восстановл. посадочного места дет. Вал</t>
  </si>
  <si>
    <t>КБ ПРОТОН</t>
  </si>
  <si>
    <t xml:space="preserve">Матрица </t>
  </si>
  <si>
    <t>Матрица обрубная</t>
  </si>
  <si>
    <t>Пуансон вырубной</t>
  </si>
  <si>
    <t>март   2019 г.</t>
  </si>
  <si>
    <t>за 2019г.</t>
  </si>
  <si>
    <t>ООО ТПК ХАНХИ</t>
  </si>
  <si>
    <t>Обечайка</t>
  </si>
  <si>
    <t>Сифон</t>
  </si>
  <si>
    <t xml:space="preserve">Опора </t>
  </si>
  <si>
    <t xml:space="preserve">Решетка </t>
  </si>
  <si>
    <t>Секция 1</t>
  </si>
  <si>
    <t>Секция 2</t>
  </si>
  <si>
    <t>Шайба</t>
  </si>
  <si>
    <t>Шпилька</t>
  </si>
  <si>
    <t>Прокладка</t>
  </si>
  <si>
    <t xml:space="preserve">Прокладка </t>
  </si>
  <si>
    <r>
      <rPr>
        <b/>
        <sz val="10"/>
        <color indexed="8"/>
        <rFont val="Arial"/>
        <family val="2"/>
        <charset val="204"/>
      </rPr>
      <t xml:space="preserve"> </t>
    </r>
    <r>
      <rPr>
        <sz val="10"/>
        <color indexed="8"/>
        <rFont val="Arial"/>
        <family val="2"/>
        <charset val="204"/>
      </rPr>
      <t>спец.№353 от 31.01.19</t>
    </r>
  </si>
  <si>
    <t>ГалоПолимер Зак.927</t>
  </si>
  <si>
    <t>ГалоПолимер Зак 100</t>
  </si>
  <si>
    <t xml:space="preserve"> спец.№359 от 28.02.19</t>
  </si>
  <si>
    <t>Ось</t>
  </si>
  <si>
    <r>
      <rPr>
        <b/>
        <sz val="10"/>
        <color indexed="8"/>
        <rFont val="Arial"/>
        <family val="2"/>
        <charset val="204"/>
      </rPr>
      <t xml:space="preserve"> </t>
    </r>
    <r>
      <rPr>
        <sz val="10"/>
        <color indexed="8"/>
        <rFont val="Arial"/>
        <family val="2"/>
        <charset val="204"/>
      </rPr>
      <t>спец.№353 от 31.01.19</t>
    </r>
  </si>
  <si>
    <t>Шлифовка дет. Фильера</t>
  </si>
  <si>
    <t xml:space="preserve">Стабилизатор </t>
  </si>
  <si>
    <t>ООО "ПФЗ" протокол №93</t>
  </si>
  <si>
    <t>Сильфон</t>
  </si>
  <si>
    <t xml:space="preserve"> от 05.03.19</t>
  </si>
  <si>
    <t>Вал шлицевый</t>
  </si>
  <si>
    <t>Плазм.резка дет. Поз.1149</t>
  </si>
  <si>
    <t>Плазм.резка дет. Поз.1150</t>
  </si>
  <si>
    <t>Плазм.резка дет. Поз.1153</t>
  </si>
  <si>
    <t>Плазм.резка дет. Поз.1154</t>
  </si>
  <si>
    <t>Плазм.резка дет. Поз.1155</t>
  </si>
  <si>
    <t>Плазм.резка дет. Поз.1188</t>
  </si>
  <si>
    <t>Плазм.резка дет. Поз.1189</t>
  </si>
  <si>
    <t>Плазм.резка дет. Поз.1490</t>
  </si>
  <si>
    <t>Плазм.резка дет. Поз.1491</t>
  </si>
  <si>
    <t>Плазм.резка дет. Поз.1492</t>
  </si>
  <si>
    <t>ТПК Металл-Строй</t>
  </si>
  <si>
    <t>ГалоПолимер Зак 34</t>
  </si>
  <si>
    <t xml:space="preserve"> спец.№360 от 04.03.19</t>
  </si>
  <si>
    <t>Сгон G1 1/4"</t>
  </si>
  <si>
    <t>РегионСтройМонтаж</t>
  </si>
  <si>
    <t>Заготовки из листа S=10мм</t>
  </si>
  <si>
    <t>5204</t>
  </si>
  <si>
    <t>Вал питателя картопака</t>
  </si>
  <si>
    <t>Заглушка G1"</t>
  </si>
  <si>
    <t>Цанга трехсекционная</t>
  </si>
  <si>
    <t>Игла запорная для PKb</t>
  </si>
  <si>
    <t>Тройник Ду65 (сезам)</t>
  </si>
  <si>
    <t>Патрубок (сезам)</t>
  </si>
  <si>
    <t>Отвод Ду65 (сезам)</t>
  </si>
  <si>
    <t>Доработка дет. Крышка</t>
  </si>
  <si>
    <t xml:space="preserve">Отвод Ду150 </t>
  </si>
  <si>
    <t>Штуцер</t>
  </si>
  <si>
    <t>Катушка Ду125 L=1100мм</t>
  </si>
  <si>
    <t>Катушка Ду125 L=700мм</t>
  </si>
  <si>
    <t>Катушка Ду125 L=400мм</t>
  </si>
  <si>
    <t>Катушка переходная Ду125/150 L=1100мм</t>
  </si>
  <si>
    <t xml:space="preserve">Катушка Ду150 L=1100мм </t>
  </si>
  <si>
    <t xml:space="preserve">Катушка Ду150 L=900мм </t>
  </si>
  <si>
    <t>Катушка переходная Ду150/200 L=1100мм</t>
  </si>
  <si>
    <t>Катушка Ду200 L=1100мм</t>
  </si>
  <si>
    <t>Отвод Ду125</t>
  </si>
  <si>
    <t>Тройник Ду125хДу50 L=300мм</t>
  </si>
  <si>
    <t xml:space="preserve">Тройник Ду150хДу50 L=1100мм </t>
  </si>
  <si>
    <t xml:space="preserve">Тройник Ду200хДу50 L=1100мм </t>
  </si>
  <si>
    <t>Тройник Ду200хДу200 L=1100мм</t>
  </si>
  <si>
    <t>ГалоПолимер Зак 114</t>
  </si>
  <si>
    <t>Воздуховоды и дымоходы</t>
  </si>
  <si>
    <t>Оправка расширителя 115.01.01 (термообработка)</t>
  </si>
  <si>
    <t>Оправка расширителя 115.01.02 (термообработка)</t>
  </si>
  <si>
    <t>Оправка расширителя 150.01.01 (термообработка)</t>
  </si>
  <si>
    <t>Оправка расширителя 150.01.02 (термообработка)</t>
  </si>
  <si>
    <t>Изготовление дет. Оправка расширителя 120.01.01</t>
  </si>
  <si>
    <t>Изготовление дет. Оправка расширителя 120.01.02</t>
  </si>
  <si>
    <t>Изготовление дет. Оправка расширителя 130.01.01</t>
  </si>
  <si>
    <t>Изготовление дет. Оправка расширителя 130.01.02</t>
  </si>
  <si>
    <t>Изготовление дет. Оправка расширителя 200.01.01</t>
  </si>
  <si>
    <t>Изготовление дет. Оправка расширителя 200.01.02</t>
  </si>
  <si>
    <t>ООО "ПФЗ"</t>
  </si>
  <si>
    <t>Хомут для царг Ду2000</t>
  </si>
  <si>
    <t>Хомут для царг Ду1800</t>
  </si>
  <si>
    <t>Вальцовка обечайки 440х1500х5мм</t>
  </si>
  <si>
    <t>Ремонт шеек дет. Вал</t>
  </si>
  <si>
    <t>5211</t>
  </si>
  <si>
    <t>ВТК Прибор</t>
  </si>
  <si>
    <t>Плитка металлическая для полов (200м2)</t>
  </si>
  <si>
    <t>ООО Технострой</t>
  </si>
  <si>
    <t>Ремонт дет. Кронштейн</t>
  </si>
  <si>
    <t>Доработка обоймы подшипника</t>
  </si>
  <si>
    <t>Крышка (вытяжка, ток. фрез. обработка)    МПП(р)-50.05.00.022</t>
  </si>
  <si>
    <t>ТПК РЕПЛАЙН</t>
  </si>
  <si>
    <t>Корпус 1</t>
  </si>
  <si>
    <t>Корпус 2</t>
  </si>
  <si>
    <t>ГалоПолимер Зак 83</t>
  </si>
  <si>
    <t xml:space="preserve">Катушка Ду200 L=1300мм </t>
  </si>
  <si>
    <t>Отвод Ду200 со своб. Фл.</t>
  </si>
  <si>
    <t>Катушка Ду200 L=1510мм</t>
  </si>
  <si>
    <t xml:space="preserve">Катушка Ду200 L=1250мм </t>
  </si>
  <si>
    <t xml:space="preserve"> спец.№362 от 15.03.19</t>
  </si>
  <si>
    <t xml:space="preserve"> спец.№361 от 07.03.19</t>
  </si>
  <si>
    <t>Вал стола</t>
  </si>
  <si>
    <t>Фланец двигателя</t>
  </si>
  <si>
    <t>Фланец стола</t>
  </si>
  <si>
    <t>Ремонт направляющей</t>
  </si>
  <si>
    <t>Ремонт дет. Вал дробилки</t>
  </si>
  <si>
    <t>И.П. Лисицын</t>
  </si>
  <si>
    <t>Широков А.П.</t>
  </si>
  <si>
    <t>Заготовки из листа S=5мм</t>
  </si>
  <si>
    <t>Резтех</t>
  </si>
  <si>
    <t>Диск D=425мм, S=20мм</t>
  </si>
  <si>
    <t>Диск D=425мм, S=30мм</t>
  </si>
  <si>
    <t>5212</t>
  </si>
  <si>
    <t>Гирёв В.В.</t>
  </si>
  <si>
    <t>Заготовка из трубы</t>
  </si>
  <si>
    <t>Дно верхнее</t>
  </si>
  <si>
    <t>Дно нижнее</t>
  </si>
  <si>
    <t>Гайка (ремонтная резьба)</t>
  </si>
  <si>
    <t>Штуцер Clamp</t>
  </si>
  <si>
    <t>Вал прижима малый</t>
  </si>
  <si>
    <t>План        на       апрель</t>
  </si>
  <si>
    <t>апрель   2019 г.</t>
  </si>
  <si>
    <t>Иста</t>
  </si>
  <si>
    <t>Ресивер V=25 л. исп.2 (с хомутом 2шт.)</t>
  </si>
  <si>
    <t>Изготовление дет.Корпус 1</t>
  </si>
  <si>
    <t>Изготовление дет.Корпус 2</t>
  </si>
  <si>
    <t>Фланец Ду500</t>
  </si>
  <si>
    <t>ГалоПолимер Зак 155</t>
  </si>
  <si>
    <t>Ресивер V=25 л. (с хомутом 2шт.)</t>
  </si>
  <si>
    <t>Плазменная резка деталей из листа S=5мм</t>
  </si>
  <si>
    <t>Матрица</t>
  </si>
  <si>
    <t>Пара запорно-регулирующая для ПОУ ЦСУ (без поз.2 и 3) ст.12Х18Н10Т</t>
  </si>
  <si>
    <t>Пара запорно-регулирующая (без поз.2 и 3) ст.12Х18Н10Т</t>
  </si>
  <si>
    <t>Пара запорно-регулирующая для ПОУ ЦСУ(без поз.2 и 3) ст.12Х18Н10Т</t>
  </si>
  <si>
    <t>ГалоПолимер Зак 9113</t>
  </si>
  <si>
    <t>ООО "ПАРТНЁР"</t>
  </si>
  <si>
    <t>Фланец Ду300</t>
  </si>
  <si>
    <t xml:space="preserve">Стенка </t>
  </si>
  <si>
    <t xml:space="preserve">Стенка боковая </t>
  </si>
  <si>
    <t xml:space="preserve">Вставка </t>
  </si>
  <si>
    <t xml:space="preserve">Уголок </t>
  </si>
  <si>
    <t xml:space="preserve">Пластина </t>
  </si>
  <si>
    <t>ГалоПолимер Зак 140</t>
  </si>
  <si>
    <r>
      <t xml:space="preserve"> </t>
    </r>
    <r>
      <rPr>
        <sz val="10"/>
        <color indexed="8"/>
        <rFont val="Arial"/>
        <family val="2"/>
        <charset val="204"/>
      </rPr>
      <t>спец.№363</t>
    </r>
  </si>
  <si>
    <t xml:space="preserve"> спец.№366</t>
  </si>
  <si>
    <t xml:space="preserve"> спец.№364</t>
  </si>
  <si>
    <t>Корпус опорного подшипника привода П-1</t>
  </si>
  <si>
    <t>Втулка распорная</t>
  </si>
  <si>
    <t>Втулка</t>
  </si>
  <si>
    <t>Кольцо</t>
  </si>
  <si>
    <t>ГалоПолимер Зак 218</t>
  </si>
  <si>
    <t>Колесо насоса центробежного</t>
  </si>
  <si>
    <t xml:space="preserve"> спец.№365</t>
  </si>
  <si>
    <t>Заказ 132</t>
  </si>
  <si>
    <t>Комплект петель D30 D30 L150 (нерж. ст.)</t>
  </si>
  <si>
    <t>ИТОГО 2019г.</t>
  </si>
  <si>
    <t>ООО ИПАКЭМ</t>
  </si>
  <si>
    <t>Шлифовка колец</t>
  </si>
  <si>
    <t>ООО "Дозатор"</t>
  </si>
  <si>
    <t>Вальцовка обечайки  Dвн.=308х405мм S6мм</t>
  </si>
  <si>
    <t>5324</t>
  </si>
  <si>
    <t>Штамповка дет. Крышка Купол D250</t>
  </si>
  <si>
    <t>Котельный завод "МАЯК"</t>
  </si>
  <si>
    <t>Шпонка 18х11х235мм</t>
  </si>
  <si>
    <t>доработка штампа на дет. "Крышка"</t>
  </si>
  <si>
    <t>Исупов А.В.</t>
  </si>
  <si>
    <t>Ремонт стойки АБ</t>
  </si>
  <si>
    <t>Шабалин М.Е.</t>
  </si>
  <si>
    <t>Вальцовка дуг</t>
  </si>
  <si>
    <t>Вальцовка обечайки D=245мм, S=4мм</t>
  </si>
  <si>
    <t>ОООТехнострой</t>
  </si>
  <si>
    <t>Вал (ст.Н70МФВ)</t>
  </si>
  <si>
    <t>Винт (ст.НМЖМЦ 28-2,5-1,5)</t>
  </si>
  <si>
    <t>Шпонка (ст.Н70МФВ)</t>
  </si>
  <si>
    <t>Щека (ст.Н70МФВ)</t>
  </si>
  <si>
    <t>Гайка (ст.Н70МФВ)</t>
  </si>
  <si>
    <t>Вал (ст.НМЖМЦ 28-2,5-1,5)</t>
  </si>
  <si>
    <t>Шпонка (ст.НМЖМЦ 28-2,5-1,5)</t>
  </si>
  <si>
    <t>Щека (ст.НМЖМЦ 28-2,5-1,5)</t>
  </si>
  <si>
    <r>
      <t xml:space="preserve"> </t>
    </r>
    <r>
      <rPr>
        <sz val="10"/>
        <color indexed="8"/>
        <rFont val="Arial"/>
        <family val="2"/>
        <charset val="204"/>
      </rPr>
      <t>спец.№369</t>
    </r>
  </si>
  <si>
    <t>ГалоПолимер Зак 1014</t>
  </si>
  <si>
    <r>
      <t xml:space="preserve"> </t>
    </r>
    <r>
      <rPr>
        <sz val="10"/>
        <color indexed="8"/>
        <rFont val="Arial"/>
        <family val="2"/>
        <charset val="204"/>
      </rPr>
      <t>спец.№370</t>
    </r>
  </si>
  <si>
    <t>ГалоПолимер Зак 207</t>
  </si>
  <si>
    <t>Заказ 95</t>
  </si>
  <si>
    <t>Вал шлицевой</t>
  </si>
  <si>
    <t>Вал шестерня</t>
  </si>
  <si>
    <t>Заказ 81</t>
  </si>
  <si>
    <t>Насос НСФ-2 (Броня)</t>
  </si>
  <si>
    <t>Вал (ст.06ХН28МДТ)</t>
  </si>
  <si>
    <t>Винт (ст.06ХН28МДТ)</t>
  </si>
  <si>
    <t>Гайка (ст.06ХН28МДТ)</t>
  </si>
  <si>
    <r>
      <t xml:space="preserve"> </t>
    </r>
    <r>
      <rPr>
        <sz val="10"/>
        <color indexed="8"/>
        <rFont val="Arial"/>
        <family val="2"/>
        <charset val="204"/>
      </rPr>
      <t>спец.№368</t>
    </r>
  </si>
  <si>
    <t>ГалоПолимер Зак156</t>
  </si>
  <si>
    <t>Сверление отв. в корпусе</t>
  </si>
  <si>
    <t>Пресс-форма</t>
  </si>
  <si>
    <t>Сегмент 1</t>
  </si>
  <si>
    <t>Сегмент 2</t>
  </si>
  <si>
    <t>Завтуливание отв. под подш.№306 в крышке эл.двигателя</t>
  </si>
  <si>
    <t>23.047</t>
  </si>
  <si>
    <t>Шкив D=110мм (проф. А)</t>
  </si>
  <si>
    <t>Квалитет-Групп</t>
  </si>
  <si>
    <t>Муфта редуктора МО-D 350 d=36 L=30</t>
  </si>
  <si>
    <t>Муфта редуктора МО-D 350 V27R-H (L=27)</t>
  </si>
  <si>
    <t>Шпонка 10х8х50</t>
  </si>
  <si>
    <t xml:space="preserve">Дораб. штампа вытяж. на дет."Корпус верхний МПП(р)-8.01.00.002" </t>
  </si>
  <si>
    <t>Доработка дет. Кролесо зубчатое</t>
  </si>
  <si>
    <t>План        на       май</t>
  </si>
  <si>
    <t>Наконечник</t>
  </si>
  <si>
    <t>5405</t>
  </si>
  <si>
    <t>Швеллер 300х2500мм, S=1,2мм</t>
  </si>
  <si>
    <t>Ступица эксцентрика для РКв</t>
  </si>
  <si>
    <t>Пилер</t>
  </si>
  <si>
    <t>Пружина поджимная</t>
  </si>
  <si>
    <t>Шлифовка просечных ножей</t>
  </si>
  <si>
    <t>Фабрика упаковки</t>
  </si>
  <si>
    <t>Нож для снятия фаски 1, S=2мм</t>
  </si>
  <si>
    <t>Нож для снятия фаски 2, S=2мм</t>
  </si>
  <si>
    <t>Нож для снятия фаски 2, S=2мм (тип 2)</t>
  </si>
  <si>
    <t>Держатель ножа фаски верхний</t>
  </si>
  <si>
    <t>Кронштейн фаски</t>
  </si>
  <si>
    <t>Крепление ножа фаски</t>
  </si>
  <si>
    <t>Ролик струны</t>
  </si>
  <si>
    <t>Втулка ролика струны</t>
  </si>
  <si>
    <t>Блок для подшипника отрезного стола</t>
  </si>
  <si>
    <t>Держатель раздвижки струны</t>
  </si>
  <si>
    <t>Зажим для отрезного стола</t>
  </si>
  <si>
    <t>Раздвижка струны</t>
  </si>
  <si>
    <t>Ось роликов отрезного стола</t>
  </si>
  <si>
    <t>Шишкин Р.Г.</t>
  </si>
  <si>
    <t>Вальцовка трубы для теплицы</t>
  </si>
  <si>
    <t>ЗАО ПО Ресурс</t>
  </si>
  <si>
    <t>Обечайка D250х1250мм, S=1,2мм</t>
  </si>
  <si>
    <t>Обечайка D400х1250мм, S=1,2мм</t>
  </si>
  <si>
    <t>4349</t>
  </si>
  <si>
    <t>5467</t>
  </si>
  <si>
    <t>май   2019 г.</t>
  </si>
  <si>
    <t>Фрезерование шпоночного паза в дет. Вал</t>
  </si>
  <si>
    <t>Заготовка Круг Ø16х1000мм Ст.3</t>
  </si>
  <si>
    <t xml:space="preserve">Заготовка Круг Ø20х1000мм Ст.10 </t>
  </si>
  <si>
    <t>Штамп Врубной</t>
  </si>
  <si>
    <t>Созинов К.Н.</t>
  </si>
  <si>
    <t>Крышка реактора (без запорной арматуры)</t>
  </si>
  <si>
    <t>ГалоПолимер Зак 245</t>
  </si>
  <si>
    <t xml:space="preserve"> спец.№371</t>
  </si>
  <si>
    <t>Обечайка D280х60мм, S=4мм</t>
  </si>
  <si>
    <t>Плазменная резка плиты 590х60х4мм</t>
  </si>
  <si>
    <t>Плазменная резка сегмента 980х195х4мм</t>
  </si>
  <si>
    <t>Крышка эл. двигателя (тип 1)</t>
  </si>
  <si>
    <t>Крышка эл. двигателя (тип 2)</t>
  </si>
  <si>
    <t>Восстановление посадочных мест под подшипники и удаление дефект-шпилек в корпусе мельницы ВВК-3М поз.168-10/2</t>
  </si>
  <si>
    <r>
      <t xml:space="preserve"> </t>
    </r>
    <r>
      <rPr>
        <sz val="10"/>
        <color indexed="8"/>
        <rFont val="Arial"/>
        <family val="2"/>
        <charset val="204"/>
      </rPr>
      <t>спец.№367</t>
    </r>
  </si>
  <si>
    <t>ГалоПолимер Зак Б/Н</t>
  </si>
  <si>
    <r>
      <t xml:space="preserve"> </t>
    </r>
    <r>
      <rPr>
        <sz val="10"/>
        <color indexed="8"/>
        <rFont val="Arial"/>
        <family val="2"/>
        <charset val="204"/>
      </rPr>
      <t>спец.№</t>
    </r>
  </si>
  <si>
    <t>Втулка ремонтная</t>
  </si>
  <si>
    <t>Мешалка</t>
  </si>
  <si>
    <t>Корпус фильтра</t>
  </si>
  <si>
    <t>Гибка дет. кронштейн ручки</t>
  </si>
  <si>
    <t>Вальцовка обечайки</t>
  </si>
  <si>
    <t>Химзащита</t>
  </si>
  <si>
    <t>Токарная обработка вала</t>
  </si>
  <si>
    <t xml:space="preserve"> спец.№375 от 15.05.19</t>
  </si>
  <si>
    <t>ГалоПолимер Зак 214</t>
  </si>
  <si>
    <t>ГалоПолимер Зак 320</t>
  </si>
  <si>
    <t xml:space="preserve"> спец.№368</t>
  </si>
  <si>
    <t>Ракитин С.А.</t>
  </si>
  <si>
    <t>Ремонт вала</t>
  </si>
  <si>
    <t>Гибка дет. кронштейн прижима</t>
  </si>
  <si>
    <t>Вырубка дет. прокладка</t>
  </si>
  <si>
    <t xml:space="preserve"> спец.№374 от 14.05.19</t>
  </si>
  <si>
    <t>Заготовка дет." губка плоская" с термообработкой.</t>
  </si>
  <si>
    <t>Плазменная резка полосы №1</t>
  </si>
  <si>
    <t>Плазменная резка полосы №2</t>
  </si>
  <si>
    <t>Плазменная резка полосы №3</t>
  </si>
  <si>
    <t>Плазменная резка сегмента</t>
  </si>
  <si>
    <t>Квадрат</t>
  </si>
  <si>
    <t>Лист центральный</t>
  </si>
  <si>
    <t>Полоз</t>
  </si>
  <si>
    <t>Кубик</t>
  </si>
  <si>
    <t>Лист верхний</t>
  </si>
  <si>
    <t>Палец</t>
  </si>
  <si>
    <t>Болт нажимной</t>
  </si>
  <si>
    <t>ИП Костин</t>
  </si>
  <si>
    <t>Цементация</t>
  </si>
  <si>
    <t>Фрезерование пазов в направляющих</t>
  </si>
  <si>
    <t>Экран</t>
  </si>
  <si>
    <t>Кольцо D59,7xd45x5</t>
  </si>
  <si>
    <t>Переход Ду65/200</t>
  </si>
  <si>
    <t>Катушка Ду200 L=100мм</t>
  </si>
  <si>
    <t>ГалоПолимер Зак 333</t>
  </si>
  <si>
    <t xml:space="preserve"> спец.№380 от 22.05.19</t>
  </si>
  <si>
    <t>ГалоПолимер Зак 335</t>
  </si>
  <si>
    <t xml:space="preserve"> спец.№381 от 22.05.19</t>
  </si>
  <si>
    <t>Ремонт корпуса подшипника</t>
  </si>
  <si>
    <t>Вальцовка обечайки D270 S4 H45</t>
  </si>
  <si>
    <t>Заготовки</t>
  </si>
  <si>
    <t>Держатель</t>
  </si>
  <si>
    <t>Пуансон S13</t>
  </si>
  <si>
    <t>Пуансон круглый</t>
  </si>
  <si>
    <t>Пуансон проколки</t>
  </si>
  <si>
    <t>Ползун</t>
  </si>
  <si>
    <t>Подкладка</t>
  </si>
  <si>
    <t>Пуансонодержатель</t>
  </si>
  <si>
    <t>Петля D30 D24 L500 4отв М20 (нерж. сталь)</t>
  </si>
  <si>
    <t>Петля D40 D24 L500 4отв М24 (нерж. сталь)</t>
  </si>
  <si>
    <t>Шлифовка напрвляющей</t>
  </si>
  <si>
    <t>План        на       июнь</t>
  </si>
  <si>
    <t>5552</t>
  </si>
  <si>
    <t>Полумуфта ведущая d=38, L=70</t>
  </si>
  <si>
    <t>Полумуфта ведомая d=40, L=60</t>
  </si>
  <si>
    <t>Диск прижимной</t>
  </si>
  <si>
    <t>ГалоПолимер Зак 215</t>
  </si>
  <si>
    <t xml:space="preserve"> спец.№372 от 06.05.19</t>
  </si>
  <si>
    <t>5555</t>
  </si>
  <si>
    <t>Шлифовка дет. Плита</t>
  </si>
  <si>
    <t>Викент</t>
  </si>
  <si>
    <t>Изготовление дет. Колодка (токарная)</t>
  </si>
  <si>
    <t>ПКФ УРАЛТАРА</t>
  </si>
  <si>
    <t>Фреза D30 в сборе с ножами</t>
  </si>
  <si>
    <t>Нож к фрезе D30</t>
  </si>
  <si>
    <t>Химсервис</t>
  </si>
  <si>
    <t>МЦ-5 групп</t>
  </si>
  <si>
    <t>Нож для ППУ D=22</t>
  </si>
  <si>
    <t>ИП Фомкина О.Г.</t>
  </si>
  <si>
    <t>Изготовление дет. Поджимная втулка</t>
  </si>
  <si>
    <t>июнь   2019 г.</t>
  </si>
  <si>
    <t>Фреза тип 2 (D420мм)</t>
  </si>
  <si>
    <t>Изготовление дет.Корпус 1 (D65)</t>
  </si>
  <si>
    <t>Изготовление дет.Корпус 2 (D90)</t>
  </si>
  <si>
    <t>Кольцо 360х240х30мм</t>
  </si>
  <si>
    <t>Кольцо 360х180х40мм</t>
  </si>
  <si>
    <t>Заготовка из круга d160мм, L=210мм</t>
  </si>
  <si>
    <t>Заготовка из круга d240мм, L=200мм</t>
  </si>
  <si>
    <t>5496</t>
  </si>
  <si>
    <t>Обечайка D300, L=783мм</t>
  </si>
  <si>
    <t>Пластина 1000х1000х2мм</t>
  </si>
  <si>
    <t>Пластина 783х795х2мм</t>
  </si>
  <si>
    <t>Пластина 783х590х2мм</t>
  </si>
  <si>
    <t>Штамповка дет.  Кассета (Кассета дно)</t>
  </si>
  <si>
    <t>Вкладыш</t>
  </si>
  <si>
    <t>Опора</t>
  </si>
  <si>
    <t>Проставка</t>
  </si>
  <si>
    <t>Щека</t>
  </si>
  <si>
    <t>ХимСервис</t>
  </si>
  <si>
    <t>Изготовление "Фланец защитный"</t>
  </si>
  <si>
    <t>Восстановление резьбы Гайка гранулятора</t>
  </si>
  <si>
    <t>Нож неподвижный</t>
  </si>
  <si>
    <t>Направляющая</t>
  </si>
  <si>
    <t>Плита 200х200х8мм</t>
  </si>
  <si>
    <t>Идеал Строй</t>
  </si>
  <si>
    <t>Шлифовка ножей L=1200</t>
  </si>
  <si>
    <t>ГалоПолимер Зак 353</t>
  </si>
  <si>
    <t>Обечайка D=800 S=4 L=520 ВСт3сп3 (поз.18)</t>
  </si>
  <si>
    <r>
      <t xml:space="preserve"> </t>
    </r>
    <r>
      <rPr>
        <sz val="10"/>
        <color indexed="8"/>
        <rFont val="Arial"/>
        <family val="2"/>
        <charset val="204"/>
      </rPr>
      <t>спец.№382 от 03.06.19</t>
    </r>
  </si>
  <si>
    <t>Лист торцевой (правый)</t>
  </si>
  <si>
    <t>Лист торцевой (левый)</t>
  </si>
  <si>
    <t>Лист</t>
  </si>
  <si>
    <t>Сектор</t>
  </si>
  <si>
    <t>Фрезерование и шлифовка дет. Резец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</si>
</sst>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_-* #,##0.00\ _₽_-;\-* #,##0.00\ _₽_-;_-* &quot;-&quot;??\ _₽_-;_-@_-"/>
    <numFmt numFmtId="165" formatCode="_-* #,##0.0&quot;р.&quot;_-;\-* #,##0.0&quot;р.&quot;_-;_-* &quot;-&quot;??&quot;р.&quot;_-;_-@_-"/>
    <numFmt numFmtId="166" formatCode="#,##0&quot;р.&quot;"/>
    <numFmt numFmtId="167" formatCode="0.0%"/>
    <numFmt numFmtId="168" formatCode="#,##0.00&quot;р.&quot;"/>
    <numFmt numFmtId="169" formatCode="[$-419]mmmm;@"/>
    <numFmt numFmtId="170" formatCode="#,##0_р_."/>
    <numFmt numFmtId="171" formatCode="#,##0.0&quot;р.&quot;"/>
    <numFmt numFmtId="172" formatCode="0.0"/>
    <numFmt numFmtId="173" formatCode="#,##0_ ;\-#,##0\ "/>
    <numFmt numFmtId="174" formatCode="_-* #,##0_р_._-;\-* #,##0_р_._-;_-* &quot;-&quot;??_р_._-;_-@_-"/>
    <numFmt numFmtId="175" formatCode="_-* #,##0&quot;р.&quot;_-;\-* #,##0&quot;р.&quot;_-;_-* &quot;-&quot;??&quot;р.&quot;_-;_-@_-"/>
    <numFmt numFmtId="176" formatCode="#,##0.00[$р.-419];\-#,##0.00[$р.-419]"/>
    <numFmt numFmtId="177" formatCode="[$-419]d\ mmm;@"/>
    <numFmt numFmtId="178" formatCode="_-* #,##0\ _₽_-;\-* #,##0\ _₽_-;_-* &quot;-&quot;??\ _₽_-;_-@_-"/>
  </numFmts>
  <fonts count="88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2"/>
      <name val="Arial Cyr"/>
      <family val="2"/>
      <charset val="204"/>
    </font>
    <font>
      <sz val="11"/>
      <name val="Arial Cyr"/>
      <family val="2"/>
      <charset val="204"/>
    </font>
    <font>
      <b/>
      <sz val="14"/>
      <name val="Arial Cyr"/>
      <charset val="204"/>
    </font>
    <font>
      <sz val="11"/>
      <color indexed="8"/>
      <name val="Calibri"/>
      <family val="2"/>
      <charset val="204"/>
    </font>
    <font>
      <b/>
      <sz val="14"/>
      <name val="Arial Cyr"/>
      <family val="2"/>
      <charset val="204"/>
    </font>
    <font>
      <b/>
      <sz val="16"/>
      <name val="Arial Cyr"/>
      <charset val="204"/>
    </font>
    <font>
      <sz val="8"/>
      <name val="Arial Cyr"/>
      <family val="2"/>
      <charset val="204"/>
    </font>
    <font>
      <sz val="11"/>
      <name val="Arial Cyr"/>
      <charset val="204"/>
    </font>
    <font>
      <b/>
      <sz val="16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sz val="18"/>
      <name val="Arial Cyr"/>
      <family val="2"/>
      <charset val="204"/>
    </font>
    <font>
      <b/>
      <i/>
      <sz val="14"/>
      <color indexed="8"/>
      <name val="Calibri"/>
      <family val="2"/>
      <charset val="204"/>
    </font>
    <font>
      <sz val="12"/>
      <name val="Arial Cyr"/>
    </font>
    <font>
      <b/>
      <sz val="16"/>
      <color theme="1"/>
      <name val="Calibri"/>
      <family val="2"/>
      <charset val="204"/>
    </font>
    <font>
      <sz val="14"/>
      <color theme="1"/>
      <name val="Calibri"/>
      <family val="2"/>
      <charset val="204"/>
    </font>
    <font>
      <b/>
      <i/>
      <sz val="14"/>
      <color theme="1"/>
      <name val="Calibri"/>
      <family val="2"/>
      <charset val="204"/>
      <scheme val="minor"/>
    </font>
    <font>
      <sz val="12"/>
      <color theme="1"/>
      <name val="Arial Cyr"/>
      <charset val="204"/>
    </font>
    <font>
      <b/>
      <sz val="14"/>
      <name val="Times New Roman"/>
      <family val="1"/>
      <charset val="204"/>
    </font>
    <font>
      <b/>
      <sz val="16"/>
      <name val="Arial Cyr"/>
      <family val="2"/>
      <charset val="204"/>
    </font>
    <font>
      <sz val="14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b/>
      <i/>
      <sz val="14"/>
      <color theme="1"/>
      <name val="Calibri"/>
      <family val="2"/>
      <charset val="204"/>
      <scheme val="minor"/>
    </font>
    <font>
      <b/>
      <sz val="18"/>
      <name val="Arial Cyr"/>
      <charset val="204"/>
    </font>
    <font>
      <sz val="10"/>
      <name val="Arial Cyr"/>
    </font>
    <font>
      <sz val="14"/>
      <name val="Arial Cyr"/>
      <family val="2"/>
      <charset val="204"/>
    </font>
    <font>
      <sz val="12"/>
      <color indexed="8"/>
      <name val="Arial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4"/>
      <color indexed="8"/>
      <name val="Calibri"/>
      <family val="2"/>
      <charset val="204"/>
    </font>
    <font>
      <sz val="11"/>
      <name val="Arial Cyr"/>
    </font>
    <font>
      <b/>
      <sz val="14"/>
      <name val="Arial Cy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Arial Cyr"/>
      <charset val="204"/>
    </font>
    <font>
      <b/>
      <sz val="14"/>
      <name val="Times New Roman"/>
      <family val="1"/>
      <charset val="204"/>
    </font>
    <font>
      <b/>
      <i/>
      <sz val="12"/>
      <name val="Arial Cyr"/>
      <charset val="204"/>
    </font>
    <font>
      <sz val="12"/>
      <color rgb="FFFF0000"/>
      <name val="Arial Cyr"/>
    </font>
    <font>
      <b/>
      <i/>
      <sz val="16"/>
      <name val="Arial Cyr"/>
      <charset val="204"/>
    </font>
    <font>
      <b/>
      <sz val="12"/>
      <color rgb="FFFF0000"/>
      <name val="Arial Cyr"/>
      <charset val="204"/>
    </font>
    <font>
      <sz val="12"/>
      <color rgb="FFFF0000"/>
      <name val="Arial Cyr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"/>
      <family val="2"/>
      <charset val="204"/>
    </font>
    <font>
      <sz val="9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6"/>
      <color theme="1"/>
      <name val="Calibri"/>
      <family val="2"/>
      <charset val="204"/>
    </font>
    <font>
      <b/>
      <sz val="14"/>
      <name val="Times New Roman"/>
      <family val="1"/>
      <charset val="204"/>
    </font>
    <font>
      <b/>
      <i/>
      <sz val="10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4"/>
      <color indexed="8"/>
      <name val="Times New Roman"/>
      <family val="1"/>
      <charset val="204"/>
    </font>
    <font>
      <sz val="10"/>
      <color indexed="8"/>
      <name val="Arial"/>
    </font>
    <font>
      <sz val="11"/>
      <color theme="1"/>
      <name val="Calibri"/>
      <scheme val="minor"/>
    </font>
    <font>
      <b/>
      <i/>
      <sz val="14"/>
      <name val="Arial Cyr"/>
      <charset val="204"/>
    </font>
    <font>
      <sz val="10"/>
      <color rgb="FF7030A0"/>
      <name val="Arial"/>
      <family val="2"/>
      <charset val="204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53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2"/>
        <bgColor indexed="51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030E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</borders>
  <cellStyleXfs count="49">
    <xf numFmtId="0" fontId="0" fillId="0" borderId="0"/>
    <xf numFmtId="0" fontId="2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29" fillId="19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5" borderId="0" applyNumberFormat="0" applyBorder="0" applyAlignment="0" applyProtection="0"/>
    <xf numFmtId="0" fontId="29" fillId="19" borderId="0" applyNumberFormat="0" applyBorder="0" applyAlignment="0" applyProtection="0"/>
    <xf numFmtId="0" fontId="29" fillId="12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19" borderId="0" applyNumberFormat="0" applyBorder="0" applyAlignment="0" applyProtection="0"/>
    <xf numFmtId="0" fontId="29" fillId="23" borderId="0" applyNumberFormat="0" applyBorder="0" applyAlignment="0" applyProtection="0"/>
    <xf numFmtId="0" fontId="30" fillId="12" borderId="35" applyNumberFormat="0" applyAlignment="0" applyProtection="0"/>
    <xf numFmtId="0" fontId="31" fillId="11" borderId="36" applyNumberFormat="0" applyAlignment="0" applyProtection="0"/>
    <xf numFmtId="0" fontId="32" fillId="11" borderId="35" applyNumberFormat="0" applyAlignment="0" applyProtection="0"/>
    <xf numFmtId="0" fontId="33" fillId="0" borderId="37" applyNumberFormat="0" applyFill="0" applyAlignment="0" applyProtection="0"/>
    <xf numFmtId="0" fontId="34" fillId="0" borderId="38" applyNumberFormat="0" applyFill="0" applyAlignment="0" applyProtection="0"/>
    <xf numFmtId="0" fontId="35" fillId="0" borderId="39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40" applyNumberFormat="0" applyFill="0" applyAlignment="0" applyProtection="0"/>
    <xf numFmtId="0" fontId="37" fillId="24" borderId="41" applyNumberFormat="0" applyAlignment="0" applyProtection="0"/>
    <xf numFmtId="0" fontId="38" fillId="0" borderId="0" applyNumberFormat="0" applyFill="0" applyBorder="0" applyAlignment="0" applyProtection="0"/>
    <xf numFmtId="0" fontId="39" fillId="17" borderId="0" applyNumberFormat="0" applyBorder="0" applyAlignment="0" applyProtection="0"/>
    <xf numFmtId="0" fontId="40" fillId="25" borderId="0" applyNumberFormat="0" applyBorder="0" applyAlignment="0" applyProtection="0"/>
    <xf numFmtId="0" fontId="41" fillId="0" borderId="0" applyNumberFormat="0" applyFill="0" applyBorder="0" applyAlignment="0" applyProtection="0"/>
    <xf numFmtId="0" fontId="2" fillId="13" borderId="42" applyNumberFormat="0" applyAlignment="0" applyProtection="0"/>
    <xf numFmtId="0" fontId="42" fillId="0" borderId="43" applyNumberFormat="0" applyFill="0" applyAlignment="0" applyProtection="0"/>
    <xf numFmtId="0" fontId="43" fillId="0" borderId="0" applyNumberFormat="0" applyFill="0" applyBorder="0" applyAlignment="0" applyProtection="0"/>
    <xf numFmtId="0" fontId="44" fillId="26" borderId="0" applyNumberFormat="0" applyBorder="0" applyAlignment="0" applyProtection="0"/>
    <xf numFmtId="9" fontId="1" fillId="0" borderId="0" applyFont="0" applyFill="0" applyBorder="0" applyAlignment="0" applyProtection="0"/>
    <xf numFmtId="43" fontId="47" fillId="0" borderId="0" applyFont="0" applyFill="0" applyBorder="0" applyAlignment="0" applyProtection="0"/>
    <xf numFmtId="9" fontId="47" fillId="0" borderId="0" applyFont="0" applyFill="0" applyBorder="0" applyAlignment="0" applyProtection="0"/>
  </cellStyleXfs>
  <cellXfs count="612">
    <xf numFmtId="0" fontId="0" fillId="0" borderId="0" xfId="0"/>
    <xf numFmtId="0" fontId="4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165" fontId="2" fillId="0" borderId="2" xfId="1" applyNumberFormat="1" applyFill="1" applyBorder="1" applyAlignment="1">
      <alignment vertical="center"/>
    </xf>
    <xf numFmtId="0" fontId="2" fillId="0" borderId="0" xfId="1" applyAlignment="1"/>
    <xf numFmtId="0" fontId="0" fillId="0" borderId="0" xfId="0" applyAlignment="1"/>
    <xf numFmtId="0" fontId="2" fillId="0" borderId="0" xfId="1" applyFill="1" applyAlignment="1"/>
    <xf numFmtId="0" fontId="2" fillId="0" borderId="0" xfId="1" applyFill="1" applyBorder="1" applyAlignment="1"/>
    <xf numFmtId="0" fontId="2" fillId="0" borderId="0" xfId="1" applyBorder="1" applyAlignment="1"/>
    <xf numFmtId="0" fontId="2" fillId="0" borderId="0" xfId="1" applyAlignment="1">
      <alignment vertical="center"/>
    </xf>
    <xf numFmtId="0" fontId="2" fillId="0" borderId="0" xfId="1" applyBorder="1" applyAlignment="1">
      <alignment vertical="center"/>
    </xf>
    <xf numFmtId="0" fontId="2" fillId="3" borderId="0" xfId="1" applyFill="1" applyBorder="1" applyAlignment="1" applyProtection="1">
      <alignment vertical="center"/>
      <protection locked="0"/>
    </xf>
    <xf numFmtId="0" fontId="2" fillId="0" borderId="3" xfId="1" applyBorder="1" applyAlignment="1">
      <alignment vertical="center"/>
    </xf>
    <xf numFmtId="0" fontId="2" fillId="0" borderId="0" xfId="1" applyFill="1" applyBorder="1" applyAlignment="1">
      <alignment vertical="center"/>
    </xf>
    <xf numFmtId="1" fontId="5" fillId="0" borderId="0" xfId="1" applyNumberFormat="1" applyFont="1" applyFill="1" applyBorder="1" applyAlignment="1">
      <alignment vertical="center"/>
    </xf>
    <xf numFmtId="0" fontId="2" fillId="4" borderId="0" xfId="1" applyFill="1" applyBorder="1" applyAlignment="1" applyProtection="1">
      <alignment vertical="center"/>
      <protection locked="0"/>
    </xf>
    <xf numFmtId="0" fontId="2" fillId="5" borderId="0" xfId="1" applyFill="1" applyBorder="1" applyAlignment="1" applyProtection="1">
      <alignment vertical="center"/>
      <protection locked="0"/>
    </xf>
    <xf numFmtId="0" fontId="2" fillId="6" borderId="0" xfId="1" applyFill="1" applyBorder="1" applyAlignment="1" applyProtection="1">
      <alignment vertical="center"/>
      <protection locked="0"/>
    </xf>
    <xf numFmtId="0" fontId="2" fillId="2" borderId="1" xfId="1" applyFill="1" applyBorder="1" applyAlignment="1">
      <alignment vertical="center"/>
    </xf>
    <xf numFmtId="0" fontId="2" fillId="7" borderId="0" xfId="1" applyFill="1" applyBorder="1" applyAlignment="1" applyProtection="1">
      <alignment vertical="center"/>
      <protection locked="0"/>
    </xf>
    <xf numFmtId="0" fontId="2" fillId="0" borderId="1" xfId="1" applyFill="1" applyBorder="1" applyAlignment="1">
      <alignment vertical="center"/>
    </xf>
    <xf numFmtId="0" fontId="9" fillId="8" borderId="0" xfId="1" applyFont="1" applyFill="1" applyBorder="1" applyAlignment="1" applyProtection="1">
      <alignment vertical="center"/>
      <protection locked="0"/>
    </xf>
    <xf numFmtId="0" fontId="4" fillId="0" borderId="0" xfId="1" applyFont="1" applyAlignment="1">
      <alignment vertical="center"/>
    </xf>
    <xf numFmtId="0" fontId="2" fillId="0" borderId="0" xfId="1" applyFill="1" applyAlignment="1">
      <alignment vertical="center"/>
    </xf>
    <xf numFmtId="3" fontId="2" fillId="0" borderId="0" xfId="1" applyNumberFormat="1" applyFill="1" applyBorder="1" applyAlignment="1">
      <alignment vertical="center"/>
    </xf>
    <xf numFmtId="168" fontId="7" fillId="0" borderId="1" xfId="1" applyNumberFormat="1" applyFont="1" applyBorder="1" applyAlignment="1">
      <alignment horizontal="right" vertical="center"/>
    </xf>
    <xf numFmtId="1" fontId="10" fillId="0" borderId="0" xfId="1" applyNumberFormat="1" applyFont="1" applyFill="1" applyBorder="1" applyAlignment="1">
      <alignment vertical="center"/>
    </xf>
    <xf numFmtId="170" fontId="16" fillId="0" borderId="4" xfId="0" applyNumberFormat="1" applyFont="1" applyBorder="1"/>
    <xf numFmtId="170" fontId="16" fillId="0" borderId="6" xfId="0" applyNumberFormat="1" applyFont="1" applyBorder="1"/>
    <xf numFmtId="170" fontId="16" fillId="0" borderId="9" xfId="0" applyNumberFormat="1" applyFont="1" applyBorder="1"/>
    <xf numFmtId="165" fontId="2" fillId="0" borderId="0" xfId="1" applyNumberFormat="1" applyFill="1" applyAlignment="1"/>
    <xf numFmtId="0" fontId="13" fillId="0" borderId="4" xfId="1" applyFont="1" applyFill="1" applyBorder="1" applyAlignment="1">
      <alignment vertical="center"/>
    </xf>
    <xf numFmtId="0" fontId="2" fillId="0" borderId="0" xfId="1" applyFont="1" applyFill="1" applyAlignment="1"/>
    <xf numFmtId="1" fontId="3" fillId="0" borderId="17" xfId="1" applyNumberFormat="1" applyFont="1" applyFill="1" applyBorder="1" applyAlignment="1" applyProtection="1">
      <alignment vertical="center"/>
      <protection locked="0"/>
    </xf>
    <xf numFmtId="166" fontId="3" fillId="0" borderId="13" xfId="1" applyNumberFormat="1" applyFont="1" applyFill="1" applyBorder="1" applyAlignment="1">
      <alignment vertical="center"/>
    </xf>
    <xf numFmtId="0" fontId="3" fillId="0" borderId="2" xfId="1" applyFont="1" applyFill="1" applyBorder="1" applyAlignment="1" applyProtection="1">
      <alignment horizontal="left" vertical="center" wrapText="1"/>
      <protection locked="0"/>
    </xf>
    <xf numFmtId="0" fontId="15" fillId="0" borderId="2" xfId="1" applyFont="1" applyFill="1" applyBorder="1" applyAlignment="1" applyProtection="1">
      <alignment horizontal="left" vertical="center" wrapText="1"/>
      <protection locked="0"/>
    </xf>
    <xf numFmtId="1" fontId="15" fillId="0" borderId="17" xfId="1" applyNumberFormat="1" applyFont="1" applyFill="1" applyBorder="1" applyAlignment="1" applyProtection="1">
      <alignment vertical="center"/>
      <protection locked="0"/>
    </xf>
    <xf numFmtId="0" fontId="15" fillId="0" borderId="2" xfId="0" applyNumberFormat="1" applyFont="1" applyFill="1" applyBorder="1" applyAlignment="1" applyProtection="1">
      <alignment vertical="center" wrapText="1"/>
      <protection locked="0"/>
    </xf>
    <xf numFmtId="0" fontId="3" fillId="0" borderId="8" xfId="1" applyFont="1" applyFill="1" applyBorder="1" applyAlignment="1" applyProtection="1">
      <alignment horizontal="left" vertical="center" wrapText="1"/>
      <protection locked="0"/>
    </xf>
    <xf numFmtId="0" fontId="3" fillId="0" borderId="5" xfId="1" applyFont="1" applyFill="1" applyBorder="1" applyAlignment="1" applyProtection="1">
      <alignment vertical="center"/>
      <protection locked="0"/>
    </xf>
    <xf numFmtId="0" fontId="3" fillId="0" borderId="4" xfId="1" applyFont="1" applyFill="1" applyBorder="1" applyAlignment="1" applyProtection="1">
      <alignment vertical="center"/>
      <protection locked="0"/>
    </xf>
    <xf numFmtId="0" fontId="3" fillId="0" borderId="19" xfId="1" applyFont="1" applyFill="1" applyBorder="1" applyAlignment="1" applyProtection="1">
      <alignment vertical="center"/>
      <protection locked="0"/>
    </xf>
    <xf numFmtId="0" fontId="3" fillId="0" borderId="18" xfId="1" applyFont="1" applyFill="1" applyBorder="1" applyAlignment="1" applyProtection="1">
      <alignment vertical="center"/>
      <protection locked="0"/>
    </xf>
    <xf numFmtId="0" fontId="3" fillId="0" borderId="13" xfId="1" applyFont="1" applyFill="1" applyBorder="1" applyAlignment="1" applyProtection="1">
      <alignment horizontal="left" vertical="center" wrapText="1"/>
      <protection locked="0"/>
    </xf>
    <xf numFmtId="0" fontId="15" fillId="0" borderId="2" xfId="0" applyFont="1" applyFill="1" applyBorder="1" applyAlignment="1" applyProtection="1">
      <alignment vertical="center" wrapText="1"/>
      <protection locked="0"/>
    </xf>
    <xf numFmtId="1" fontId="3" fillId="0" borderId="23" xfId="1" applyNumberFormat="1" applyFont="1" applyFill="1" applyBorder="1" applyAlignment="1" applyProtection="1">
      <alignment vertical="center"/>
      <protection locked="0"/>
    </xf>
    <xf numFmtId="0" fontId="15" fillId="0" borderId="2" xfId="0" applyFont="1" applyFill="1" applyBorder="1" applyAlignment="1">
      <alignment vertical="center" wrapText="1"/>
    </xf>
    <xf numFmtId="0" fontId="3" fillId="0" borderId="2" xfId="1" applyFont="1" applyFill="1" applyBorder="1" applyAlignment="1" applyProtection="1">
      <alignment horizontal="left" wrapText="1"/>
      <protection locked="0"/>
    </xf>
    <xf numFmtId="0" fontId="15" fillId="0" borderId="2" xfId="1" applyFont="1" applyFill="1" applyBorder="1" applyAlignment="1" applyProtection="1">
      <alignment horizontal="left" wrapText="1"/>
      <protection locked="0"/>
    </xf>
    <xf numFmtId="0" fontId="19" fillId="0" borderId="5" xfId="1" applyFont="1" applyFill="1" applyBorder="1" applyAlignment="1" applyProtection="1">
      <alignment vertical="center"/>
      <protection locked="0"/>
    </xf>
    <xf numFmtId="168" fontId="9" fillId="0" borderId="0" xfId="1" applyNumberFormat="1" applyFont="1" applyFill="1" applyBorder="1" applyAlignment="1">
      <alignment horizontal="right" vertical="center"/>
    </xf>
    <xf numFmtId="168" fontId="9" fillId="0" borderId="0" xfId="1" applyNumberFormat="1" applyFont="1" applyFill="1" applyBorder="1" applyAlignment="1">
      <alignment vertical="center"/>
    </xf>
    <xf numFmtId="168" fontId="7" fillId="0" borderId="1" xfId="1" applyNumberFormat="1" applyFont="1" applyFill="1" applyBorder="1" applyAlignment="1">
      <alignment horizontal="right" vertical="center"/>
    </xf>
    <xf numFmtId="0" fontId="15" fillId="0" borderId="22" xfId="0" applyFont="1" applyFill="1" applyBorder="1" applyAlignment="1" applyProtection="1">
      <alignment horizontal="left" vertical="center" wrapText="1"/>
      <protection locked="0"/>
    </xf>
    <xf numFmtId="171" fontId="15" fillId="0" borderId="13" xfId="1" applyNumberFormat="1" applyFont="1" applyFill="1" applyBorder="1" applyAlignment="1" applyProtection="1">
      <alignment vertical="center"/>
    </xf>
    <xf numFmtId="171" fontId="3" fillId="0" borderId="13" xfId="1" applyNumberFormat="1" applyFont="1" applyFill="1" applyBorder="1" applyAlignment="1">
      <alignment vertical="center"/>
    </xf>
    <xf numFmtId="171" fontId="15" fillId="0" borderId="27" xfId="1" applyNumberFormat="1" applyFont="1" applyFill="1" applyBorder="1" applyAlignment="1">
      <alignment vertical="center"/>
    </xf>
    <xf numFmtId="0" fontId="3" fillId="0" borderId="28" xfId="1" applyFont="1" applyFill="1" applyBorder="1" applyAlignment="1" applyProtection="1">
      <alignment vertical="center"/>
      <protection locked="0"/>
    </xf>
    <xf numFmtId="0" fontId="3" fillId="0" borderId="29" xfId="1" applyFont="1" applyFill="1" applyBorder="1" applyAlignment="1" applyProtection="1">
      <alignment vertical="center"/>
      <protection locked="0"/>
    </xf>
    <xf numFmtId="165" fontId="2" fillId="0" borderId="17" xfId="1" applyNumberFormat="1" applyFill="1" applyBorder="1" applyAlignment="1">
      <alignment vertical="center"/>
    </xf>
    <xf numFmtId="166" fontId="15" fillId="0" borderId="27" xfId="1" applyNumberFormat="1" applyFont="1" applyFill="1" applyBorder="1" applyAlignment="1">
      <alignment vertical="center"/>
    </xf>
    <xf numFmtId="0" fontId="3" fillId="0" borderId="2" xfId="1" applyFont="1" applyFill="1" applyBorder="1" applyAlignment="1" applyProtection="1">
      <alignment vertical="center"/>
    </xf>
    <xf numFmtId="168" fontId="7" fillId="0" borderId="0" xfId="1" applyNumberFormat="1" applyFont="1" applyFill="1" applyBorder="1" applyAlignment="1">
      <alignment horizontal="right" vertical="center"/>
    </xf>
    <xf numFmtId="3" fontId="15" fillId="0" borderId="2" xfId="1" applyNumberFormat="1" applyFont="1" applyFill="1" applyBorder="1" applyAlignment="1">
      <alignment vertical="center"/>
    </xf>
    <xf numFmtId="165" fontId="15" fillId="0" borderId="24" xfId="0" applyNumberFormat="1" applyFont="1" applyBorder="1" applyAlignment="1" applyProtection="1">
      <alignment vertical="center"/>
      <protection locked="0"/>
    </xf>
    <xf numFmtId="171" fontId="7" fillId="0" borderId="1" xfId="1" applyNumberFormat="1" applyFont="1" applyBorder="1" applyAlignment="1">
      <alignment horizontal="right" vertical="center"/>
    </xf>
    <xf numFmtId="171" fontId="8" fillId="0" borderId="1" xfId="1" applyNumberFormat="1" applyFont="1" applyFill="1" applyBorder="1" applyAlignment="1">
      <alignment horizontal="right" vertical="center"/>
    </xf>
    <xf numFmtId="49" fontId="20" fillId="0" borderId="2" xfId="1" applyNumberFormat="1" applyFont="1" applyFill="1" applyBorder="1" applyAlignment="1" applyProtection="1">
      <alignment horizontal="right" vertical="center"/>
      <protection locked="0"/>
    </xf>
    <xf numFmtId="0" fontId="20" fillId="0" borderId="2" xfId="1" applyFont="1" applyFill="1" applyBorder="1" applyAlignment="1" applyProtection="1">
      <alignment vertical="center"/>
      <protection locked="0"/>
    </xf>
    <xf numFmtId="0" fontId="17" fillId="0" borderId="1" xfId="0" applyFont="1" applyFill="1" applyBorder="1" applyAlignment="1">
      <alignment horizontal="center" vertical="center" wrapText="1"/>
    </xf>
    <xf numFmtId="168" fontId="21" fillId="0" borderId="1" xfId="1" applyNumberFormat="1" applyFont="1" applyFill="1" applyBorder="1" applyAlignment="1">
      <alignment horizontal="right" vertical="center"/>
    </xf>
    <xf numFmtId="0" fontId="2" fillId="0" borderId="8" xfId="1" applyFill="1" applyBorder="1" applyAlignment="1">
      <alignment vertical="center"/>
    </xf>
    <xf numFmtId="0" fontId="2" fillId="0" borderId="8" xfId="1" applyFill="1" applyBorder="1" applyAlignment="1"/>
    <xf numFmtId="10" fontId="18" fillId="0" borderId="13" xfId="0" applyNumberFormat="1" applyFont="1" applyBorder="1"/>
    <xf numFmtId="10" fontId="12" fillId="0" borderId="13" xfId="0" applyNumberFormat="1" applyFont="1" applyBorder="1"/>
    <xf numFmtId="10" fontId="24" fillId="0" borderId="13" xfId="0" applyNumberFormat="1" applyFont="1" applyBorder="1"/>
    <xf numFmtId="170" fontId="16" fillId="0" borderId="31" xfId="0" applyNumberFormat="1" applyFont="1" applyBorder="1"/>
    <xf numFmtId="170" fontId="11" fillId="0" borderId="32" xfId="0" applyNumberFormat="1" applyFont="1" applyBorder="1" applyAlignment="1"/>
    <xf numFmtId="169" fontId="0" fillId="0" borderId="30" xfId="0" applyNumberFormat="1" applyBorder="1"/>
    <xf numFmtId="170" fontId="23" fillId="0" borderId="31" xfId="0" applyNumberFormat="1" applyFont="1" applyBorder="1"/>
    <xf numFmtId="169" fontId="0" fillId="0" borderId="5" xfId="0" applyNumberFormat="1" applyBorder="1"/>
    <xf numFmtId="170" fontId="23" fillId="0" borderId="4" xfId="0" applyNumberFormat="1" applyFont="1" applyBorder="1"/>
    <xf numFmtId="170" fontId="23" fillId="0" borderId="9" xfId="0" applyNumberFormat="1" applyFont="1" applyBorder="1"/>
    <xf numFmtId="0" fontId="2" fillId="2" borderId="33" xfId="1" applyFill="1" applyBorder="1" applyAlignment="1">
      <alignment vertical="center"/>
    </xf>
    <xf numFmtId="0" fontId="15" fillId="0" borderId="22" xfId="0" applyNumberFormat="1" applyFont="1" applyFill="1" applyBorder="1" applyAlignment="1" applyProtection="1">
      <alignment vertical="center" wrapText="1"/>
      <protection locked="0"/>
    </xf>
    <xf numFmtId="0" fontId="26" fillId="0" borderId="0" xfId="1" applyNumberFormat="1" applyFont="1" applyFill="1" applyBorder="1" applyAlignment="1">
      <alignment vertical="top"/>
    </xf>
    <xf numFmtId="168" fontId="27" fillId="0" borderId="0" xfId="1" applyNumberFormat="1" applyFont="1" applyFill="1" applyBorder="1" applyAlignment="1">
      <alignment vertical="center"/>
    </xf>
    <xf numFmtId="0" fontId="15" fillId="0" borderId="22" xfId="0" applyFont="1" applyFill="1" applyBorder="1" applyAlignment="1" applyProtection="1">
      <alignment vertical="center" wrapText="1"/>
      <protection locked="0"/>
    </xf>
    <xf numFmtId="0" fontId="15" fillId="0" borderId="22" xfId="0" applyFont="1" applyBorder="1" applyAlignment="1" applyProtection="1">
      <alignment vertical="center" wrapText="1"/>
      <protection locked="0"/>
    </xf>
    <xf numFmtId="44" fontId="15" fillId="0" borderId="22" xfId="1" applyNumberFormat="1" applyFont="1" applyFill="1" applyBorder="1" applyAlignment="1" applyProtection="1">
      <alignment vertical="center"/>
      <protection locked="0"/>
    </xf>
    <xf numFmtId="44" fontId="3" fillId="0" borderId="2" xfId="1" applyNumberFormat="1" applyFont="1" applyFill="1" applyBorder="1" applyAlignment="1" applyProtection="1">
      <alignment vertical="center"/>
      <protection locked="0"/>
    </xf>
    <xf numFmtId="44" fontId="3" fillId="0" borderId="13" xfId="1" applyNumberFormat="1" applyFont="1" applyFill="1" applyBorder="1" applyAlignment="1" applyProtection="1">
      <alignment vertical="center"/>
      <protection locked="0"/>
    </xf>
    <xf numFmtId="44" fontId="15" fillId="0" borderId="2" xfId="1" applyNumberFormat="1" applyFont="1" applyFill="1" applyBorder="1" applyAlignment="1" applyProtection="1">
      <alignment vertical="center"/>
      <protection locked="0"/>
    </xf>
    <xf numFmtId="44" fontId="3" fillId="0" borderId="22" xfId="1" applyNumberFormat="1" applyFont="1" applyFill="1" applyBorder="1" applyAlignment="1" applyProtection="1">
      <alignment vertical="center"/>
      <protection locked="0"/>
    </xf>
    <xf numFmtId="44" fontId="15" fillId="0" borderId="22" xfId="0" applyNumberFormat="1" applyFont="1" applyBorder="1" applyAlignment="1" applyProtection="1">
      <alignment vertical="center"/>
      <protection locked="0"/>
    </xf>
    <xf numFmtId="44" fontId="15" fillId="0" borderId="24" xfId="0" applyNumberFormat="1" applyFont="1" applyBorder="1" applyAlignment="1" applyProtection="1">
      <alignment vertical="center"/>
      <protection locked="0"/>
    </xf>
    <xf numFmtId="44" fontId="15" fillId="0" borderId="13" xfId="0" applyNumberFormat="1" applyFont="1" applyBorder="1" applyAlignment="1" applyProtection="1">
      <alignment vertical="center"/>
      <protection locked="0"/>
    </xf>
    <xf numFmtId="44" fontId="15" fillId="0" borderId="34" xfId="0" applyNumberFormat="1" applyFont="1" applyBorder="1" applyAlignment="1" applyProtection="1">
      <alignment vertical="center"/>
      <protection locked="0"/>
    </xf>
    <xf numFmtId="0" fontId="25" fillId="0" borderId="0" xfId="1" applyFont="1" applyAlignment="1">
      <alignment horizontal="left" vertical="center"/>
    </xf>
    <xf numFmtId="0" fontId="3" fillId="0" borderId="22" xfId="1" applyFont="1" applyFill="1" applyBorder="1" applyAlignment="1" applyProtection="1">
      <alignment horizontal="left" vertical="center" wrapText="1"/>
      <protection locked="0"/>
    </xf>
    <xf numFmtId="0" fontId="28" fillId="10" borderId="20" xfId="0" applyNumberFormat="1" applyFont="1" applyFill="1" applyBorder="1" applyAlignment="1" applyProtection="1">
      <alignment horizontal="left" vertical="center"/>
    </xf>
    <xf numFmtId="1" fontId="3" fillId="0" borderId="2" xfId="1" applyNumberFormat="1" applyFont="1" applyFill="1" applyBorder="1" applyAlignment="1" applyProtection="1">
      <alignment vertical="center"/>
      <protection locked="0"/>
    </xf>
    <xf numFmtId="1" fontId="3" fillId="0" borderId="22" xfId="1" applyNumberFormat="1" applyFont="1" applyFill="1" applyBorder="1" applyAlignment="1" applyProtection="1">
      <alignment vertical="center"/>
      <protection locked="0"/>
    </xf>
    <xf numFmtId="1" fontId="3" fillId="0" borderId="8" xfId="1" applyNumberFormat="1" applyFont="1" applyFill="1" applyBorder="1" applyAlignment="1" applyProtection="1">
      <alignment vertical="center"/>
      <protection locked="0"/>
    </xf>
    <xf numFmtId="170" fontId="45" fillId="0" borderId="1" xfId="0" applyNumberFormat="1" applyFont="1" applyBorder="1"/>
    <xf numFmtId="172" fontId="3" fillId="0" borderId="22" xfId="1" applyNumberFormat="1" applyFont="1" applyFill="1" applyBorder="1" applyAlignment="1" applyProtection="1">
      <alignment vertical="center"/>
      <protection locked="0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7" fontId="16" fillId="0" borderId="4" xfId="0" applyNumberFormat="1" applyFont="1" applyBorder="1"/>
    <xf numFmtId="169" fontId="0" fillId="0" borderId="19" xfId="0" applyNumberFormat="1" applyBorder="1"/>
    <xf numFmtId="170" fontId="16" fillId="0" borderId="18" xfId="0" applyNumberFormat="1" applyFont="1" applyBorder="1"/>
    <xf numFmtId="170" fontId="16" fillId="0" borderId="46" xfId="0" applyNumberFormat="1" applyFont="1" applyBorder="1"/>
    <xf numFmtId="0" fontId="45" fillId="0" borderId="10" xfId="0" applyFont="1" applyBorder="1" applyAlignment="1">
      <alignment horizontal="right"/>
    </xf>
    <xf numFmtId="170" fontId="23" fillId="0" borderId="11" xfId="0" applyNumberFormat="1" applyFont="1" applyBorder="1"/>
    <xf numFmtId="170" fontId="23" fillId="0" borderId="12" xfId="0" applyNumberFormat="1" applyFont="1" applyBorder="1"/>
    <xf numFmtId="0" fontId="4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4" fontId="15" fillId="0" borderId="24" xfId="1" applyNumberFormat="1" applyFont="1" applyFill="1" applyBorder="1" applyAlignment="1" applyProtection="1">
      <alignment vertical="center"/>
      <protection locked="0"/>
    </xf>
    <xf numFmtId="167" fontId="5" fillId="0" borderId="0" xfId="46" applyNumberFormat="1" applyFont="1" applyFill="1" applyAlignment="1">
      <alignment vertical="center"/>
    </xf>
    <xf numFmtId="10" fontId="16" fillId="0" borderId="11" xfId="0" applyNumberFormat="1" applyFont="1" applyBorder="1"/>
    <xf numFmtId="170" fontId="46" fillId="0" borderId="1" xfId="0" applyNumberFormat="1" applyFont="1" applyBorder="1"/>
    <xf numFmtId="10" fontId="16" fillId="0" borderId="31" xfId="0" applyNumberFormat="1" applyFont="1" applyBorder="1"/>
    <xf numFmtId="0" fontId="4" fillId="0" borderId="25" xfId="1" applyFont="1" applyBorder="1" applyAlignment="1">
      <alignment horizontal="center" vertical="center" wrapText="1"/>
    </xf>
    <xf numFmtId="0" fontId="4" fillId="0" borderId="21" xfId="1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25" fillId="0" borderId="0" xfId="1" applyFont="1" applyAlignment="1">
      <alignment horizontal="center"/>
    </xf>
    <xf numFmtId="1" fontId="3" fillId="0" borderId="2" xfId="1" applyNumberFormat="1" applyFont="1" applyFill="1" applyBorder="1" applyAlignment="1" applyProtection="1">
      <alignment vertical="center"/>
    </xf>
    <xf numFmtId="44" fontId="15" fillId="0" borderId="13" xfId="1" applyNumberFormat="1" applyFont="1" applyFill="1" applyBorder="1" applyAlignment="1" applyProtection="1">
      <alignment vertical="center"/>
    </xf>
    <xf numFmtId="1" fontId="3" fillId="0" borderId="13" xfId="1" applyNumberFormat="1" applyFont="1" applyFill="1" applyBorder="1" applyAlignment="1" applyProtection="1">
      <alignment vertical="center"/>
      <protection locked="0"/>
    </xf>
    <xf numFmtId="44" fontId="15" fillId="0" borderId="13" xfId="1" applyNumberFormat="1" applyFont="1" applyFill="1" applyBorder="1" applyAlignment="1" applyProtection="1">
      <alignment vertical="center"/>
    </xf>
    <xf numFmtId="1" fontId="15" fillId="0" borderId="2" xfId="1" applyNumberFormat="1" applyFont="1" applyFill="1" applyBorder="1" applyAlignment="1" applyProtection="1">
      <alignment vertical="center"/>
    </xf>
    <xf numFmtId="1" fontId="3" fillId="0" borderId="22" xfId="1" applyNumberFormat="1" applyFont="1" applyFill="1" applyBorder="1" applyAlignment="1" applyProtection="1">
      <alignment vertical="center"/>
    </xf>
    <xf numFmtId="1" fontId="3" fillId="0" borderId="24" xfId="1" applyNumberFormat="1" applyFont="1" applyFill="1" applyBorder="1" applyAlignment="1" applyProtection="1">
      <alignment vertical="center"/>
    </xf>
    <xf numFmtId="1" fontId="3" fillId="0" borderId="24" xfId="1" applyNumberFormat="1" applyFont="1" applyFill="1" applyBorder="1" applyAlignment="1" applyProtection="1">
      <alignment vertical="center"/>
      <protection locked="0"/>
    </xf>
    <xf numFmtId="1" fontId="3" fillId="0" borderId="17" xfId="1" applyNumberFormat="1" applyFont="1" applyFill="1" applyBorder="1" applyAlignment="1" applyProtection="1">
      <alignment vertical="center"/>
    </xf>
    <xf numFmtId="44" fontId="15" fillId="0" borderId="13" xfId="1" applyNumberFormat="1" applyFont="1" applyFill="1" applyBorder="1" applyAlignment="1" applyProtection="1">
      <alignment vertical="center"/>
    </xf>
    <xf numFmtId="10" fontId="16" fillId="0" borderId="47" xfId="0" applyNumberFormat="1" applyFont="1" applyBorder="1"/>
    <xf numFmtId="10" fontId="16" fillId="0" borderId="29" xfId="0" applyNumberFormat="1" applyFont="1" applyBorder="1"/>
    <xf numFmtId="10" fontId="16" fillId="0" borderId="9" xfId="0" applyNumberFormat="1" applyFont="1" applyBorder="1"/>
    <xf numFmtId="10" fontId="16" fillId="0" borderId="18" xfId="0" applyNumberFormat="1" applyFont="1" applyBorder="1"/>
    <xf numFmtId="0" fontId="25" fillId="0" borderId="0" xfId="1" applyFont="1" applyAlignment="1">
      <alignment horizontal="center"/>
    </xf>
    <xf numFmtId="173" fontId="16" fillId="0" borderId="48" xfId="0" applyNumberFormat="1" applyFont="1" applyBorder="1"/>
    <xf numFmtId="173" fontId="16" fillId="0" borderId="47" xfId="0" applyNumberFormat="1" applyFont="1" applyBorder="1"/>
    <xf numFmtId="10" fontId="16" fillId="0" borderId="33" xfId="0" applyNumberFormat="1" applyFont="1" applyBorder="1"/>
    <xf numFmtId="0" fontId="0" fillId="0" borderId="33" xfId="0" applyBorder="1"/>
    <xf numFmtId="10" fontId="48" fillId="0" borderId="13" xfId="0" applyNumberFormat="1" applyFont="1" applyBorder="1"/>
    <xf numFmtId="170" fontId="16" fillId="0" borderId="11" xfId="0" applyNumberFormat="1" applyFont="1" applyBorder="1"/>
    <xf numFmtId="167" fontId="16" fillId="0" borderId="44" xfId="0" applyNumberFormat="1" applyFont="1" applyBorder="1"/>
    <xf numFmtId="167" fontId="16" fillId="0" borderId="45" xfId="0" applyNumberFormat="1" applyFont="1" applyBorder="1"/>
    <xf numFmtId="174" fontId="16" fillId="0" borderId="45" xfId="47" applyNumberFormat="1" applyFont="1" applyBorder="1"/>
    <xf numFmtId="174" fontId="16" fillId="0" borderId="4" xfId="47" applyNumberFormat="1" applyFont="1" applyBorder="1"/>
    <xf numFmtId="167" fontId="16" fillId="0" borderId="11" xfId="0" applyNumberFormat="1" applyFont="1" applyBorder="1"/>
    <xf numFmtId="170" fontId="16" fillId="0" borderId="12" xfId="0" applyNumberFormat="1" applyFont="1" applyBorder="1"/>
    <xf numFmtId="9" fontId="12" fillId="0" borderId="1" xfId="0" applyNumberFormat="1" applyFont="1" applyBorder="1"/>
    <xf numFmtId="10" fontId="12" fillId="0" borderId="49" xfId="0" applyNumberFormat="1" applyFont="1" applyBorder="1"/>
    <xf numFmtId="10" fontId="18" fillId="0" borderId="49" xfId="0" applyNumberFormat="1" applyFont="1" applyBorder="1"/>
    <xf numFmtId="9" fontId="18" fillId="0" borderId="49" xfId="0" applyNumberFormat="1" applyFont="1" applyBorder="1"/>
    <xf numFmtId="170" fontId="18" fillId="0" borderId="1" xfId="0" applyNumberFormat="1" applyFont="1" applyBorder="1" applyAlignment="1">
      <alignment horizontal="center" vertical="center"/>
    </xf>
    <xf numFmtId="174" fontId="18" fillId="0" borderId="1" xfId="0" applyNumberFormat="1" applyFont="1" applyBorder="1" applyAlignment="1">
      <alignment horizontal="center" vertical="center"/>
    </xf>
    <xf numFmtId="170" fontId="23" fillId="0" borderId="30" xfId="0" applyNumberFormat="1" applyFont="1" applyBorder="1"/>
    <xf numFmtId="170" fontId="23" fillId="0" borderId="50" xfId="0" applyNumberFormat="1" applyFont="1" applyBorder="1"/>
    <xf numFmtId="170" fontId="23" fillId="0" borderId="5" xfId="0" applyNumberFormat="1" applyFont="1" applyBorder="1"/>
    <xf numFmtId="170" fontId="23" fillId="0" borderId="51" xfId="0" applyNumberFormat="1" applyFont="1" applyBorder="1"/>
    <xf numFmtId="170" fontId="23" fillId="0" borderId="52" xfId="0" applyNumberFormat="1" applyFont="1" applyBorder="1"/>
    <xf numFmtId="170" fontId="16" fillId="0" borderId="52" xfId="0" applyNumberFormat="1" applyFont="1" applyBorder="1"/>
    <xf numFmtId="170" fontId="16" fillId="0" borderId="53" xfId="0" applyNumberFormat="1" applyFont="1" applyBorder="1"/>
    <xf numFmtId="169" fontId="0" fillId="0" borderId="7" xfId="0" applyNumberFormat="1" applyBorder="1"/>
    <xf numFmtId="169" fontId="0" fillId="0" borderId="2" xfId="0" applyNumberFormat="1" applyBorder="1"/>
    <xf numFmtId="169" fontId="0" fillId="0" borderId="8" xfId="0" applyNumberFormat="1" applyBorder="1"/>
    <xf numFmtId="0" fontId="45" fillId="9" borderId="14" xfId="0" applyFont="1" applyFill="1" applyBorder="1" applyAlignment="1">
      <alignment horizontal="center" vertical="center"/>
    </xf>
    <xf numFmtId="170" fontId="45" fillId="0" borderId="0" xfId="0" applyNumberFormat="1" applyFont="1"/>
    <xf numFmtId="174" fontId="49" fillId="9" borderId="1" xfId="0" applyNumberFormat="1" applyFont="1" applyFill="1" applyBorder="1" applyAlignment="1">
      <alignment horizontal="center" vertical="center"/>
    </xf>
    <xf numFmtId="0" fontId="17" fillId="27" borderId="1" xfId="0" applyFont="1" applyFill="1" applyBorder="1" applyAlignment="1">
      <alignment horizontal="center" vertical="center" wrapText="1"/>
    </xf>
    <xf numFmtId="0" fontId="17" fillId="28" borderId="1" xfId="0" applyFont="1" applyFill="1" applyBorder="1" applyAlignment="1">
      <alignment horizontal="center" vertical="center" wrapText="1"/>
    </xf>
    <xf numFmtId="0" fontId="17" fillId="29" borderId="1" xfId="0" applyFont="1" applyFill="1" applyBorder="1" applyAlignment="1">
      <alignment horizontal="center" vertical="center" wrapText="1"/>
    </xf>
    <xf numFmtId="0" fontId="17" fillId="30" borderId="1" xfId="0" applyFont="1" applyFill="1" applyBorder="1" applyAlignment="1">
      <alignment horizontal="center" vertical="center"/>
    </xf>
    <xf numFmtId="0" fontId="22" fillId="30" borderId="1" xfId="0" applyFont="1" applyFill="1" applyBorder="1" applyAlignment="1">
      <alignment horizontal="center" vertical="center" wrapText="1"/>
    </xf>
    <xf numFmtId="0" fontId="17" fillId="31" borderId="1" xfId="0" applyFont="1" applyFill="1" applyBorder="1" applyAlignment="1">
      <alignment horizontal="center" vertical="center" wrapText="1"/>
    </xf>
    <xf numFmtId="0" fontId="17" fillId="32" borderId="1" xfId="0" applyFont="1" applyFill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/>
    </xf>
    <xf numFmtId="0" fontId="0" fillId="0" borderId="1" xfId="0" applyBorder="1"/>
    <xf numFmtId="0" fontId="45" fillId="0" borderId="0" xfId="0" applyFont="1" applyFill="1" applyBorder="1"/>
    <xf numFmtId="0" fontId="45" fillId="0" borderId="0" xfId="0" applyFont="1" applyFill="1" applyBorder="1" applyAlignment="1">
      <alignment horizontal="center" vertical="center"/>
    </xf>
    <xf numFmtId="170" fontId="45" fillId="0" borderId="1" xfId="0" applyNumberFormat="1" applyFont="1" applyBorder="1" applyAlignment="1">
      <alignment horizontal="center" vertical="center"/>
    </xf>
    <xf numFmtId="174" fontId="51" fillId="9" borderId="1" xfId="0" applyNumberFormat="1" applyFont="1" applyFill="1" applyBorder="1" applyAlignment="1">
      <alignment horizontal="center" vertical="center"/>
    </xf>
    <xf numFmtId="175" fontId="15" fillId="0" borderId="13" xfId="1" applyNumberFormat="1" applyFont="1" applyFill="1" applyBorder="1" applyAlignment="1" applyProtection="1">
      <alignment vertical="center"/>
    </xf>
    <xf numFmtId="0" fontId="53" fillId="0" borderId="25" xfId="1" applyFont="1" applyFill="1" applyBorder="1" applyAlignment="1">
      <alignment horizontal="center" vertical="center" wrapText="1"/>
    </xf>
    <xf numFmtId="0" fontId="53" fillId="0" borderId="21" xfId="1" applyFont="1" applyFill="1" applyBorder="1" applyAlignment="1">
      <alignment horizontal="center" vertical="center" wrapText="1"/>
    </xf>
    <xf numFmtId="44" fontId="15" fillId="0" borderId="13" xfId="1" applyNumberFormat="1" applyFont="1" applyFill="1" applyBorder="1" applyAlignment="1">
      <alignment vertical="center"/>
    </xf>
    <xf numFmtId="175" fontId="15" fillId="0" borderId="22" xfId="1" applyNumberFormat="1" applyFont="1" applyFill="1" applyBorder="1" applyAlignment="1">
      <alignment vertical="center"/>
    </xf>
    <xf numFmtId="175" fontId="15" fillId="0" borderId="13" xfId="1" applyNumberFormat="1" applyFont="1" applyFill="1" applyBorder="1" applyAlignment="1">
      <alignment vertical="center"/>
    </xf>
    <xf numFmtId="0" fontId="2" fillId="0" borderId="4" xfId="1" applyFill="1" applyBorder="1" applyAlignment="1"/>
    <xf numFmtId="171" fontId="54" fillId="0" borderId="1" xfId="1" applyNumberFormat="1" applyFont="1" applyFill="1" applyBorder="1" applyAlignment="1">
      <alignment horizontal="right" vertical="center"/>
    </xf>
    <xf numFmtId="44" fontId="15" fillId="0" borderId="13" xfId="1" applyNumberFormat="1" applyFont="1" applyFill="1" applyBorder="1" applyAlignment="1" applyProtection="1">
      <alignment vertical="center"/>
    </xf>
    <xf numFmtId="175" fontId="15" fillId="0" borderId="13" xfId="1" applyNumberFormat="1" applyFont="1" applyFill="1" applyBorder="1" applyAlignment="1" applyProtection="1">
      <alignment vertical="center"/>
    </xf>
    <xf numFmtId="0" fontId="15" fillId="0" borderId="22" xfId="0" applyFont="1" applyFill="1" applyBorder="1" applyAlignment="1" applyProtection="1">
      <alignment vertical="center"/>
      <protection locked="0"/>
    </xf>
    <xf numFmtId="170" fontId="49" fillId="0" borderId="0" xfId="0" applyNumberFormat="1" applyFont="1"/>
    <xf numFmtId="174" fontId="49" fillId="0" borderId="0" xfId="0" applyNumberFormat="1" applyFont="1"/>
    <xf numFmtId="1" fontId="0" fillId="0" borderId="0" xfId="0" applyNumberFormat="1"/>
    <xf numFmtId="10" fontId="0" fillId="0" borderId="0" xfId="0" applyNumberFormat="1"/>
    <xf numFmtId="10" fontId="14" fillId="0" borderId="1" xfId="0" applyNumberFormat="1" applyFont="1" applyBorder="1"/>
    <xf numFmtId="10" fontId="52" fillId="0" borderId="1" xfId="0" applyNumberFormat="1" applyFont="1" applyBorder="1"/>
    <xf numFmtId="0" fontId="45" fillId="0" borderId="15" xfId="0" applyFont="1" applyBorder="1" applyAlignment="1">
      <alignment horizontal="center" vertical="center"/>
    </xf>
    <xf numFmtId="170" fontId="46" fillId="0" borderId="15" xfId="0" applyNumberFormat="1" applyFont="1" applyBorder="1"/>
    <xf numFmtId="10" fontId="52" fillId="0" borderId="0" xfId="0" applyNumberFormat="1" applyFont="1" applyBorder="1"/>
    <xf numFmtId="9" fontId="52" fillId="0" borderId="0" xfId="0" applyNumberFormat="1" applyFont="1" applyBorder="1"/>
    <xf numFmtId="0" fontId="46" fillId="0" borderId="15" xfId="0" applyFont="1" applyFill="1" applyBorder="1" applyAlignment="1">
      <alignment horizontal="center" vertical="center"/>
    </xf>
    <xf numFmtId="165" fontId="15" fillId="0" borderId="24" xfId="1" applyNumberFormat="1" applyFont="1" applyFill="1" applyBorder="1" applyAlignment="1" applyProtection="1">
      <alignment vertical="center"/>
      <protection locked="0"/>
    </xf>
    <xf numFmtId="10" fontId="12" fillId="0" borderId="34" xfId="0" applyNumberFormat="1" applyFont="1" applyBorder="1"/>
    <xf numFmtId="0" fontId="17" fillId="0" borderId="34" xfId="0" applyFont="1" applyFill="1" applyBorder="1" applyAlignment="1">
      <alignment horizontal="center" vertical="center" wrapText="1"/>
    </xf>
    <xf numFmtId="10" fontId="18" fillId="0" borderId="34" xfId="0" applyNumberFormat="1" applyFont="1" applyBorder="1"/>
    <xf numFmtId="9" fontId="14" fillId="0" borderId="34" xfId="0" applyNumberFormat="1" applyFont="1" applyBorder="1"/>
    <xf numFmtId="0" fontId="0" fillId="0" borderId="0" xfId="0" applyBorder="1"/>
    <xf numFmtId="175" fontId="15" fillId="0" borderId="13" xfId="1" applyNumberFormat="1" applyFont="1" applyFill="1" applyBorder="1" applyAlignment="1">
      <alignment vertical="center"/>
    </xf>
    <xf numFmtId="175" fontId="15" fillId="0" borderId="13" xfId="1" applyNumberFormat="1" applyFont="1" applyFill="1" applyBorder="1" applyAlignment="1" applyProtection="1">
      <alignment vertical="center"/>
    </xf>
    <xf numFmtId="44" fontId="15" fillId="0" borderId="13" xfId="1" applyNumberFormat="1" applyFont="1" applyFill="1" applyBorder="1" applyAlignment="1" applyProtection="1">
      <alignment vertical="center"/>
    </xf>
    <xf numFmtId="174" fontId="55" fillId="9" borderId="1" xfId="0" applyNumberFormat="1" applyFont="1" applyFill="1" applyBorder="1" applyAlignment="1">
      <alignment horizontal="center" vertical="center"/>
    </xf>
    <xf numFmtId="10" fontId="55" fillId="9" borderId="1" xfId="0" applyNumberFormat="1" applyFont="1" applyFill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45" fillId="9" borderId="1" xfId="0" applyFont="1" applyFill="1" applyBorder="1" applyAlignment="1">
      <alignment horizontal="center" vertical="center"/>
    </xf>
    <xf numFmtId="10" fontId="23" fillId="0" borderId="11" xfId="48" applyNumberFormat="1" applyFont="1" applyBorder="1"/>
    <xf numFmtId="0" fontId="17" fillId="30" borderId="1" xfId="0" applyFont="1" applyFill="1" applyBorder="1" applyAlignment="1">
      <alignment horizontal="center" vertical="center" wrapText="1"/>
    </xf>
    <xf numFmtId="170" fontId="16" fillId="0" borderId="30" xfId="0" applyNumberFormat="1" applyFont="1" applyBorder="1"/>
    <xf numFmtId="170" fontId="16" fillId="0" borderId="50" xfId="0" applyNumberFormat="1" applyFont="1" applyBorder="1"/>
    <xf numFmtId="170" fontId="16" fillId="0" borderId="5" xfId="0" applyNumberFormat="1" applyFont="1" applyBorder="1"/>
    <xf numFmtId="170" fontId="16" fillId="0" borderId="51" xfId="0" applyNumberFormat="1" applyFont="1" applyBorder="1"/>
    <xf numFmtId="10" fontId="49" fillId="9" borderId="1" xfId="0" applyNumberFormat="1" applyFont="1" applyFill="1" applyBorder="1" applyAlignment="1">
      <alignment horizontal="center" vertical="center"/>
    </xf>
    <xf numFmtId="10" fontId="12" fillId="0" borderId="1" xfId="0" applyNumberFormat="1" applyFont="1" applyBorder="1"/>
    <xf numFmtId="9" fontId="12" fillId="0" borderId="34" xfId="0" applyNumberFormat="1" applyFont="1" applyBorder="1"/>
    <xf numFmtId="0" fontId="45" fillId="0" borderId="15" xfId="0" applyFont="1" applyFill="1" applyBorder="1" applyAlignment="1">
      <alignment horizontal="center" vertical="center"/>
    </xf>
    <xf numFmtId="170" fontId="45" fillId="0" borderId="15" xfId="0" applyNumberFormat="1" applyFont="1" applyBorder="1"/>
    <xf numFmtId="10" fontId="12" fillId="0" borderId="0" xfId="0" applyNumberFormat="1" applyFont="1" applyBorder="1"/>
    <xf numFmtId="9" fontId="12" fillId="0" borderId="0" xfId="0" applyNumberFormat="1" applyFont="1" applyBorder="1"/>
    <xf numFmtId="10" fontId="16" fillId="0" borderId="4" xfId="0" applyNumberFormat="1" applyFont="1" applyBorder="1"/>
    <xf numFmtId="0" fontId="15" fillId="0" borderId="18" xfId="1" applyFont="1" applyFill="1" applyBorder="1" applyAlignment="1" applyProtection="1">
      <alignment vertical="center"/>
      <protection locked="0"/>
    </xf>
    <xf numFmtId="0" fontId="26" fillId="5" borderId="0" xfId="1" applyNumberFormat="1" applyFont="1" applyFill="1" applyBorder="1" applyAlignment="1" applyProtection="1">
      <alignment vertical="center"/>
      <protection locked="0"/>
    </xf>
    <xf numFmtId="44" fontId="15" fillId="0" borderId="13" xfId="1" applyNumberFormat="1" applyFont="1" applyFill="1" applyBorder="1" applyAlignment="1" applyProtection="1">
      <alignment vertical="center"/>
    </xf>
    <xf numFmtId="44" fontId="15" fillId="0" borderId="22" xfId="1" applyNumberFormat="1" applyFont="1" applyFill="1" applyBorder="1" applyAlignment="1" applyProtection="1">
      <protection locked="0"/>
    </xf>
    <xf numFmtId="44" fontId="15" fillId="0" borderId="22" xfId="1" applyNumberFormat="1" applyFont="1" applyFill="1" applyBorder="1" applyAlignment="1" applyProtection="1">
      <alignment vertical="top"/>
      <protection locked="0"/>
    </xf>
    <xf numFmtId="168" fontId="57" fillId="0" borderId="0" xfId="1" applyNumberFormat="1" applyFont="1" applyFill="1" applyBorder="1" applyAlignment="1">
      <alignment horizontal="right" vertical="center"/>
    </xf>
    <xf numFmtId="0" fontId="15" fillId="0" borderId="4" xfId="1" applyFont="1" applyFill="1" applyBorder="1" applyAlignment="1" applyProtection="1">
      <alignment vertical="center"/>
      <protection locked="0"/>
    </xf>
    <xf numFmtId="10" fontId="2" fillId="0" borderId="0" xfId="46" applyNumberFormat="1" applyFont="1" applyFill="1" applyAlignment="1">
      <alignment horizontal="left" vertical="center"/>
    </xf>
    <xf numFmtId="9" fontId="2" fillId="0" borderId="0" xfId="46" applyFont="1" applyFill="1" applyAlignment="1">
      <alignment horizontal="left" vertical="center"/>
    </xf>
    <xf numFmtId="0" fontId="15" fillId="0" borderId="2" xfId="0" applyNumberFormat="1" applyFont="1" applyFill="1" applyBorder="1" applyAlignment="1" applyProtection="1">
      <alignment horizontal="left" vertical="center" wrapText="1"/>
      <protection locked="0"/>
    </xf>
    <xf numFmtId="44" fontId="15" fillId="0" borderId="22" xfId="0" applyNumberFormat="1" applyFont="1" applyFill="1" applyBorder="1" applyAlignment="1" applyProtection="1">
      <alignment vertical="center"/>
      <protection locked="0"/>
    </xf>
    <xf numFmtId="165" fontId="15" fillId="0" borderId="24" xfId="1" applyNumberFormat="1" applyFont="1" applyFill="1" applyBorder="1" applyAlignment="1" applyProtection="1">
      <protection locked="0"/>
    </xf>
    <xf numFmtId="0" fontId="15" fillId="0" borderId="22" xfId="0" applyNumberFormat="1" applyFont="1" applyFill="1" applyBorder="1" applyAlignment="1" applyProtection="1">
      <alignment horizontal="left" vertical="center" wrapText="1"/>
      <protection locked="0"/>
    </xf>
    <xf numFmtId="44" fontId="15" fillId="0" borderId="24" xfId="0" applyNumberFormat="1" applyFont="1" applyFill="1" applyBorder="1" applyAlignment="1" applyProtection="1">
      <alignment vertical="center"/>
      <protection locked="0"/>
    </xf>
    <xf numFmtId="0" fontId="15" fillId="0" borderId="2" xfId="0" applyFont="1" applyBorder="1" applyAlignment="1">
      <alignment wrapText="1"/>
    </xf>
    <xf numFmtId="0" fontId="58" fillId="0" borderId="54" xfId="0" applyFont="1" applyBorder="1" applyAlignment="1" applyProtection="1">
      <alignment horizontal="right" vertical="center"/>
      <protection locked="0"/>
    </xf>
    <xf numFmtId="0" fontId="59" fillId="0" borderId="0" xfId="1" applyFont="1" applyBorder="1" applyAlignment="1">
      <alignment vertical="center"/>
    </xf>
    <xf numFmtId="1" fontId="60" fillId="0" borderId="22" xfId="1" applyNumberFormat="1" applyFont="1" applyFill="1" applyBorder="1" applyAlignment="1" applyProtection="1">
      <alignment vertical="center"/>
      <protection locked="0"/>
    </xf>
    <xf numFmtId="1" fontId="60" fillId="0" borderId="23" xfId="1" applyNumberFormat="1" applyFont="1" applyFill="1" applyBorder="1" applyAlignment="1" applyProtection="1">
      <alignment vertical="center"/>
      <protection locked="0"/>
    </xf>
    <xf numFmtId="0" fontId="61" fillId="0" borderId="0" xfId="1" applyFont="1" applyBorder="1" applyAlignment="1">
      <alignment vertical="center"/>
    </xf>
    <xf numFmtId="0" fontId="62" fillId="0" borderId="0" xfId="1" applyFont="1" applyBorder="1" applyAlignment="1">
      <alignment vertical="center"/>
    </xf>
    <xf numFmtId="44" fontId="15" fillId="0" borderId="13" xfId="1" applyNumberFormat="1" applyFont="1" applyFill="1" applyBorder="1" applyAlignment="1" applyProtection="1">
      <alignment vertical="center"/>
    </xf>
    <xf numFmtId="175" fontId="15" fillId="0" borderId="13" xfId="1" applyNumberFormat="1" applyFont="1" applyFill="1" applyBorder="1" applyAlignment="1" applyProtection="1">
      <alignment vertical="center"/>
    </xf>
    <xf numFmtId="175" fontId="15" fillId="0" borderId="13" xfId="1" applyNumberFormat="1" applyFont="1" applyFill="1" applyBorder="1" applyAlignment="1">
      <alignment vertical="center"/>
    </xf>
    <xf numFmtId="49" fontId="20" fillId="0" borderId="2" xfId="1" applyNumberFormat="1" applyFont="1" applyFill="1" applyBorder="1" applyAlignment="1" applyProtection="1">
      <alignment horizontal="right"/>
      <protection locked="0"/>
    </xf>
    <xf numFmtId="1" fontId="63" fillId="0" borderId="17" xfId="1" applyNumberFormat="1" applyFont="1" applyFill="1" applyBorder="1" applyAlignment="1" applyProtection="1">
      <alignment vertical="center"/>
      <protection locked="0"/>
    </xf>
    <xf numFmtId="1" fontId="63" fillId="0" borderId="22" xfId="1" applyNumberFormat="1" applyFont="1" applyFill="1" applyBorder="1" applyAlignment="1" applyProtection="1">
      <alignment vertical="center"/>
      <protection locked="0"/>
    </xf>
    <xf numFmtId="1" fontId="63" fillId="0" borderId="2" xfId="1" applyNumberFormat="1" applyFont="1" applyFill="1" applyBorder="1" applyAlignment="1" applyProtection="1">
      <alignment vertical="center"/>
      <protection locked="0"/>
    </xf>
    <xf numFmtId="0" fontId="15" fillId="0" borderId="28" xfId="1" applyFont="1" applyFill="1" applyBorder="1" applyAlignment="1" applyProtection="1">
      <alignment vertical="center"/>
      <protection locked="0"/>
    </xf>
    <xf numFmtId="0" fontId="15" fillId="0" borderId="29" xfId="1" applyFont="1" applyFill="1" applyBorder="1" applyAlignment="1" applyProtection="1">
      <alignment vertical="center"/>
      <protection locked="0"/>
    </xf>
    <xf numFmtId="1" fontId="63" fillId="0" borderId="23" xfId="1" applyNumberFormat="1" applyFont="1" applyFill="1" applyBorder="1" applyAlignment="1" applyProtection="1">
      <alignment vertical="center"/>
      <protection locked="0"/>
    </xf>
    <xf numFmtId="168" fontId="3" fillId="0" borderId="13" xfId="1" applyNumberFormat="1" applyFont="1" applyFill="1" applyBorder="1" applyAlignment="1">
      <alignment vertical="center"/>
    </xf>
    <xf numFmtId="0" fontId="63" fillId="0" borderId="4" xfId="1" applyFont="1" applyFill="1" applyBorder="1" applyAlignment="1" applyProtection="1">
      <alignment vertical="center"/>
      <protection locked="0"/>
    </xf>
    <xf numFmtId="0" fontId="3" fillId="0" borderId="4" xfId="1" applyNumberFormat="1" applyFont="1" applyFill="1" applyBorder="1" applyAlignment="1" applyProtection="1">
      <alignment vertical="center"/>
      <protection locked="0"/>
    </xf>
    <xf numFmtId="0" fontId="15" fillId="0" borderId="2" xfId="0" applyFont="1" applyFill="1" applyBorder="1" applyAlignment="1" applyProtection="1">
      <alignment horizontal="left" vertical="center" wrapText="1"/>
      <protection locked="0"/>
    </xf>
    <xf numFmtId="0" fontId="64" fillId="0" borderId="54" xfId="0" applyFont="1" applyBorder="1" applyAlignment="1" applyProtection="1">
      <alignment horizontal="right" vertical="center"/>
      <protection locked="0"/>
    </xf>
    <xf numFmtId="44" fontId="53" fillId="0" borderId="24" xfId="0" applyNumberFormat="1" applyFont="1" applyBorder="1" applyAlignment="1" applyProtection="1">
      <alignment vertical="center"/>
      <protection locked="0"/>
    </xf>
    <xf numFmtId="44" fontId="26" fillId="0" borderId="24" xfId="0" applyNumberFormat="1" applyFont="1" applyFill="1" applyBorder="1" applyAlignment="1" applyProtection="1">
      <alignment vertical="center"/>
      <protection locked="0"/>
    </xf>
    <xf numFmtId="0" fontId="65" fillId="0" borderId="0" xfId="0" applyNumberFormat="1" applyFont="1" applyBorder="1"/>
    <xf numFmtId="0" fontId="66" fillId="0" borderId="54" xfId="0" applyFont="1" applyBorder="1" applyAlignment="1" applyProtection="1">
      <alignment horizontal="right" vertical="center"/>
      <protection locked="0"/>
    </xf>
    <xf numFmtId="0" fontId="66" fillId="0" borderId="54" xfId="0" applyNumberFormat="1" applyFont="1" applyBorder="1" applyAlignment="1" applyProtection="1">
      <alignment horizontal="right" vertical="center"/>
      <protection locked="0"/>
    </xf>
    <xf numFmtId="0" fontId="66" fillId="0" borderId="54" xfId="0" applyFont="1" applyFill="1" applyBorder="1" applyAlignment="1" applyProtection="1">
      <alignment horizontal="right" vertical="center"/>
      <protection locked="0"/>
    </xf>
    <xf numFmtId="10" fontId="16" fillId="0" borderId="11" xfId="48" applyNumberFormat="1" applyFont="1" applyBorder="1"/>
    <xf numFmtId="0" fontId="67" fillId="0" borderId="0" xfId="1" applyFont="1" applyAlignment="1">
      <alignment horizontal="right"/>
    </xf>
    <xf numFmtId="0" fontId="67" fillId="0" borderId="0" xfId="1" applyFont="1" applyAlignment="1">
      <alignment horizontal="center" vertical="center"/>
    </xf>
    <xf numFmtId="0" fontId="67" fillId="0" borderId="0" xfId="1" applyFont="1"/>
    <xf numFmtId="0" fontId="67" fillId="0" borderId="0" xfId="1" applyFont="1" applyAlignment="1">
      <alignment horizontal="left" vertical="center"/>
    </xf>
    <xf numFmtId="0" fontId="68" fillId="0" borderId="0" xfId="0" applyFont="1"/>
    <xf numFmtId="0" fontId="67" fillId="0" borderId="25" xfId="1" applyFont="1" applyBorder="1" applyAlignment="1">
      <alignment horizontal="center" vertical="center" wrapText="1"/>
    </xf>
    <xf numFmtId="0" fontId="68" fillId="0" borderId="3" xfId="0" applyFont="1" applyBorder="1" applyAlignment="1">
      <alignment horizontal="center"/>
    </xf>
    <xf numFmtId="0" fontId="67" fillId="0" borderId="16" xfId="1" applyFont="1" applyBorder="1" applyAlignment="1">
      <alignment horizontal="center" vertical="center" wrapText="1"/>
    </xf>
    <xf numFmtId="0" fontId="67" fillId="0" borderId="1" xfId="1" applyFont="1" applyBorder="1" applyAlignment="1">
      <alignment horizontal="center" vertical="center" wrapText="1"/>
    </xf>
    <xf numFmtId="0" fontId="71" fillId="0" borderId="21" xfId="1" applyFont="1" applyBorder="1" applyAlignment="1">
      <alignment horizontal="center" vertical="center" wrapText="1"/>
    </xf>
    <xf numFmtId="0" fontId="68" fillId="0" borderId="26" xfId="0" applyFont="1" applyBorder="1" applyAlignment="1">
      <alignment horizontal="center" vertical="center" wrapText="1"/>
    </xf>
    <xf numFmtId="0" fontId="68" fillId="0" borderId="0" xfId="0" applyFont="1" applyAlignment="1">
      <alignment horizontal="center" vertical="center" wrapText="1"/>
    </xf>
    <xf numFmtId="49" fontId="72" fillId="0" borderId="2" xfId="0" applyNumberFormat="1" applyFont="1" applyFill="1" applyBorder="1" applyAlignment="1" applyProtection="1">
      <alignment horizontal="right" vertical="center"/>
    </xf>
    <xf numFmtId="0" fontId="72" fillId="0" borderId="2" xfId="0" applyFont="1" applyFill="1" applyBorder="1" applyAlignment="1" applyProtection="1">
      <alignment vertical="center"/>
      <protection locked="0"/>
    </xf>
    <xf numFmtId="0" fontId="72" fillId="0" borderId="2" xfId="0" applyFont="1" applyFill="1" applyBorder="1" applyAlignment="1" applyProtection="1">
      <alignment horizontal="left" vertical="center"/>
      <protection locked="0"/>
    </xf>
    <xf numFmtId="0" fontId="72" fillId="0" borderId="2" xfId="0" applyFont="1" applyFill="1" applyBorder="1" applyAlignment="1" applyProtection="1">
      <alignment horizontal="center" vertical="center"/>
    </xf>
    <xf numFmtId="176" fontId="72" fillId="0" borderId="4" xfId="0" applyNumberFormat="1" applyFont="1" applyBorder="1" applyAlignment="1" applyProtection="1"/>
    <xf numFmtId="168" fontId="72" fillId="0" borderId="13" xfId="1" applyNumberFormat="1" applyFont="1" applyFill="1" applyBorder="1" applyAlignment="1" applyProtection="1">
      <alignment horizontal="right" vertical="center"/>
    </xf>
    <xf numFmtId="0" fontId="72" fillId="0" borderId="2" xfId="0" applyFont="1" applyFill="1" applyBorder="1" applyAlignment="1" applyProtection="1">
      <alignment horizontal="right" vertical="center"/>
      <protection locked="0"/>
    </xf>
    <xf numFmtId="44" fontId="72" fillId="0" borderId="2" xfId="1" applyNumberFormat="1" applyFont="1" applyFill="1" applyBorder="1" applyAlignment="1" applyProtection="1">
      <alignment horizontal="right" vertical="center"/>
    </xf>
    <xf numFmtId="177" fontId="72" fillId="0" borderId="2" xfId="0" applyNumberFormat="1" applyFont="1" applyFill="1" applyBorder="1" applyAlignment="1" applyProtection="1">
      <alignment horizontal="center" vertical="center"/>
      <protection locked="0"/>
    </xf>
    <xf numFmtId="0" fontId="72" fillId="0" borderId="17" xfId="0" applyFont="1" applyFill="1" applyBorder="1" applyAlignment="1">
      <alignment horizontal="center"/>
    </xf>
    <xf numFmtId="0" fontId="72" fillId="0" borderId="0" xfId="0" applyFont="1" applyFill="1" applyBorder="1"/>
    <xf numFmtId="0" fontId="72" fillId="0" borderId="0" xfId="0" applyFont="1"/>
    <xf numFmtId="0" fontId="67" fillId="0" borderId="0" xfId="1" applyFont="1" applyBorder="1"/>
    <xf numFmtId="0" fontId="67" fillId="0" borderId="0" xfId="1" applyFont="1" applyBorder="1" applyAlignment="1">
      <alignment horizontal="center" vertical="center"/>
    </xf>
    <xf numFmtId="0" fontId="68" fillId="0" borderId="0" xfId="0" applyFont="1" applyAlignment="1"/>
    <xf numFmtId="0" fontId="67" fillId="0" borderId="55" xfId="1" applyFont="1" applyBorder="1"/>
    <xf numFmtId="0" fontId="67" fillId="34" borderId="4" xfId="1" applyFont="1" applyFill="1" applyBorder="1"/>
    <xf numFmtId="0" fontId="67" fillId="35" borderId="4" xfId="1" applyFont="1" applyFill="1" applyBorder="1"/>
    <xf numFmtId="49" fontId="72" fillId="36" borderId="4" xfId="0" applyNumberFormat="1" applyFont="1" applyFill="1" applyBorder="1" applyAlignment="1">
      <alignment horizontal="right" vertical="center" wrapText="1"/>
    </xf>
    <xf numFmtId="0" fontId="67" fillId="37" borderId="9" xfId="1" applyFont="1" applyFill="1" applyBorder="1"/>
    <xf numFmtId="0" fontId="67" fillId="0" borderId="4" xfId="1" applyFont="1" applyFill="1" applyBorder="1"/>
    <xf numFmtId="0" fontId="67" fillId="33" borderId="4" xfId="1" applyFont="1" applyFill="1" applyBorder="1"/>
    <xf numFmtId="170" fontId="77" fillId="0" borderId="4" xfId="0" applyNumberFormat="1" applyFont="1" applyBorder="1"/>
    <xf numFmtId="176" fontId="72" fillId="0" borderId="2" xfId="0" applyNumberFormat="1" applyFont="1" applyBorder="1" applyAlignment="1" applyProtection="1"/>
    <xf numFmtId="168" fontId="72" fillId="0" borderId="2" xfId="1" applyNumberFormat="1" applyFont="1" applyFill="1" applyBorder="1" applyAlignment="1" applyProtection="1">
      <alignment horizontal="right" vertical="center"/>
    </xf>
    <xf numFmtId="0" fontId="72" fillId="0" borderId="2" xfId="0" applyFont="1" applyFill="1" applyBorder="1" applyAlignment="1">
      <alignment horizontal="center"/>
    </xf>
    <xf numFmtId="0" fontId="3" fillId="0" borderId="2" xfId="1" applyNumberFormat="1" applyFont="1" applyFill="1" applyBorder="1" applyAlignment="1" applyProtection="1">
      <alignment vertical="center"/>
    </xf>
    <xf numFmtId="0" fontId="72" fillId="0" borderId="17" xfId="0" applyFont="1" applyFill="1" applyBorder="1" applyAlignment="1" applyProtection="1">
      <alignment horizontal="right" vertical="center"/>
      <protection locked="0"/>
    </xf>
    <xf numFmtId="0" fontId="72" fillId="0" borderId="5" xfId="0" applyFont="1" applyFill="1" applyBorder="1" applyAlignment="1" applyProtection="1">
      <alignment horizontal="right" vertical="center"/>
      <protection locked="0"/>
    </xf>
    <xf numFmtId="49" fontId="75" fillId="0" borderId="2" xfId="0" applyNumberFormat="1" applyFont="1" applyFill="1" applyBorder="1" applyAlignment="1" applyProtection="1">
      <alignment horizontal="right" vertical="center"/>
    </xf>
    <xf numFmtId="0" fontId="75" fillId="0" borderId="2" xfId="0" applyFont="1" applyFill="1" applyBorder="1" applyAlignment="1" applyProtection="1">
      <alignment vertical="center"/>
      <protection locked="0"/>
    </xf>
    <xf numFmtId="0" fontId="75" fillId="0" borderId="2" xfId="0" applyFont="1" applyFill="1" applyBorder="1" applyAlignment="1" applyProtection="1">
      <alignment horizontal="left" vertical="center"/>
      <protection locked="0"/>
    </xf>
    <xf numFmtId="0" fontId="75" fillId="0" borderId="2" xfId="0" applyFont="1" applyFill="1" applyBorder="1" applyAlignment="1" applyProtection="1">
      <alignment horizontal="center" vertical="center"/>
    </xf>
    <xf numFmtId="176" fontId="75" fillId="0" borderId="2" xfId="0" applyNumberFormat="1" applyFont="1" applyBorder="1" applyAlignment="1" applyProtection="1"/>
    <xf numFmtId="49" fontId="75" fillId="0" borderId="0" xfId="0" applyNumberFormat="1" applyFont="1" applyFill="1" applyBorder="1" applyAlignment="1" applyProtection="1">
      <alignment horizontal="right" vertical="center"/>
    </xf>
    <xf numFmtId="0" fontId="75" fillId="0" borderId="0" xfId="0" applyFont="1" applyFill="1" applyBorder="1" applyAlignment="1" applyProtection="1">
      <alignment horizontal="center" vertical="center"/>
    </xf>
    <xf numFmtId="176" fontId="75" fillId="0" borderId="0" xfId="0" applyNumberFormat="1" applyFont="1" applyBorder="1" applyAlignment="1" applyProtection="1"/>
    <xf numFmtId="168" fontId="72" fillId="0" borderId="0" xfId="1" applyNumberFormat="1" applyFont="1" applyFill="1" applyBorder="1" applyAlignment="1" applyProtection="1">
      <alignment horizontal="right" vertical="center"/>
    </xf>
    <xf numFmtId="0" fontId="72" fillId="0" borderId="0" xfId="0" applyFont="1" applyFill="1" applyBorder="1" applyAlignment="1" applyProtection="1">
      <alignment horizontal="right" vertical="center"/>
      <protection locked="0"/>
    </xf>
    <xf numFmtId="44" fontId="72" fillId="0" borderId="0" xfId="1" applyNumberFormat="1" applyFont="1" applyFill="1" applyBorder="1" applyAlignment="1" applyProtection="1">
      <alignment horizontal="right" vertical="center"/>
    </xf>
    <xf numFmtId="177" fontId="72" fillId="0" borderId="0" xfId="0" applyNumberFormat="1" applyFont="1" applyFill="1" applyBorder="1" applyAlignment="1" applyProtection="1">
      <alignment horizontal="center" vertical="center"/>
      <protection locked="0"/>
    </xf>
    <xf numFmtId="0" fontId="72" fillId="0" borderId="0" xfId="0" applyFont="1" applyFill="1" applyBorder="1" applyAlignment="1">
      <alignment horizontal="center"/>
    </xf>
    <xf numFmtId="49" fontId="75" fillId="0" borderId="22" xfId="0" applyNumberFormat="1" applyFont="1" applyFill="1" applyBorder="1" applyAlignment="1" applyProtection="1">
      <alignment horizontal="right" vertical="center"/>
    </xf>
    <xf numFmtId="49" fontId="75" fillId="0" borderId="1" xfId="0" applyNumberFormat="1" applyFont="1" applyFill="1" applyBorder="1" applyAlignment="1" applyProtection="1">
      <alignment horizontal="right" vertical="center"/>
    </xf>
    <xf numFmtId="0" fontId="75" fillId="0" borderId="22" xfId="0" applyFont="1" applyFill="1" applyBorder="1" applyAlignment="1" applyProtection="1">
      <alignment vertical="center"/>
      <protection locked="0"/>
    </xf>
    <xf numFmtId="0" fontId="75" fillId="0" borderId="54" xfId="0" applyFont="1" applyFill="1" applyBorder="1" applyAlignment="1" applyProtection="1">
      <alignment vertical="center"/>
      <protection locked="0"/>
    </xf>
    <xf numFmtId="0" fontId="75" fillId="0" borderId="1" xfId="0" applyFont="1" applyFill="1" applyBorder="1" applyAlignment="1" applyProtection="1">
      <alignment vertical="center"/>
      <protection locked="0"/>
    </xf>
    <xf numFmtId="0" fontId="75" fillId="0" borderId="22" xfId="0" applyFont="1" applyFill="1" applyBorder="1" applyAlignment="1" applyProtection="1">
      <alignment horizontal="left" vertical="center"/>
      <protection locked="0"/>
    </xf>
    <xf numFmtId="0" fontId="75" fillId="0" borderId="54" xfId="0" applyFont="1" applyFill="1" applyBorder="1" applyAlignment="1" applyProtection="1">
      <alignment horizontal="left" vertical="center"/>
      <protection locked="0"/>
    </xf>
    <xf numFmtId="0" fontId="75" fillId="0" borderId="1" xfId="0" applyFont="1" applyFill="1" applyBorder="1" applyAlignment="1" applyProtection="1">
      <alignment horizontal="left" vertical="center"/>
      <protection locked="0"/>
    </xf>
    <xf numFmtId="0" fontId="75" fillId="0" borderId="22" xfId="0" applyFont="1" applyFill="1" applyBorder="1" applyAlignment="1" applyProtection="1">
      <alignment horizontal="center" vertical="center"/>
    </xf>
    <xf numFmtId="0" fontId="75" fillId="0" borderId="1" xfId="0" applyFont="1" applyFill="1" applyBorder="1" applyAlignment="1" applyProtection="1">
      <alignment horizontal="center" vertical="center"/>
    </xf>
    <xf numFmtId="176" fontId="75" fillId="0" borderId="22" xfId="0" applyNumberFormat="1" applyFont="1" applyBorder="1" applyAlignment="1" applyProtection="1"/>
    <xf numFmtId="176" fontId="75" fillId="0" borderId="1" xfId="0" applyNumberFormat="1" applyFont="1" applyBorder="1" applyAlignment="1" applyProtection="1"/>
    <xf numFmtId="0" fontId="72" fillId="0" borderId="22" xfId="0" applyFont="1" applyFill="1" applyBorder="1" applyAlignment="1" applyProtection="1">
      <alignment horizontal="right" vertical="center"/>
      <protection locked="0"/>
    </xf>
    <xf numFmtId="0" fontId="72" fillId="0" borderId="1" xfId="0" applyFont="1" applyFill="1" applyBorder="1" applyAlignment="1" applyProtection="1">
      <alignment horizontal="right" vertical="center"/>
      <protection locked="0"/>
    </xf>
    <xf numFmtId="44" fontId="73" fillId="0" borderId="1" xfId="0" applyNumberFormat="1" applyFont="1" applyFill="1" applyBorder="1" applyAlignment="1" applyProtection="1">
      <alignment horizontal="right" vertical="center"/>
      <protection locked="0"/>
    </xf>
    <xf numFmtId="166" fontId="73" fillId="0" borderId="1" xfId="0" applyNumberFormat="1" applyFont="1" applyFill="1" applyBorder="1" applyAlignment="1" applyProtection="1">
      <alignment horizontal="right" vertical="center"/>
      <protection locked="0"/>
    </xf>
    <xf numFmtId="0" fontId="75" fillId="0" borderId="34" xfId="0" applyFont="1" applyBorder="1" applyAlignment="1"/>
    <xf numFmtId="176" fontId="75" fillId="0" borderId="34" xfId="0" applyNumberFormat="1" applyFont="1" applyBorder="1" applyAlignment="1"/>
    <xf numFmtId="49" fontId="75" fillId="0" borderId="2" xfId="0" applyNumberFormat="1" applyFont="1" applyBorder="1" applyAlignment="1" applyProtection="1">
      <alignment horizontal="right" vertical="center"/>
    </xf>
    <xf numFmtId="0" fontId="75" fillId="0" borderId="34" xfId="0" applyFont="1" applyBorder="1" applyAlignment="1" applyProtection="1">
      <alignment horizontal="center" vertical="center"/>
    </xf>
    <xf numFmtId="0" fontId="72" fillId="39" borderId="2" xfId="0" applyFont="1" applyFill="1" applyBorder="1" applyAlignment="1" applyProtection="1">
      <alignment horizontal="right" vertical="center"/>
      <protection locked="0"/>
    </xf>
    <xf numFmtId="0" fontId="75" fillId="0" borderId="2" xfId="0" applyFont="1" applyBorder="1" applyAlignment="1" applyProtection="1">
      <alignment vertical="center"/>
      <protection locked="0"/>
    </xf>
    <xf numFmtId="0" fontId="75" fillId="0" borderId="2" xfId="0" applyFont="1" applyBorder="1" applyAlignment="1" applyProtection="1">
      <alignment horizontal="left" vertical="center"/>
      <protection locked="0"/>
    </xf>
    <xf numFmtId="0" fontId="75" fillId="0" borderId="2" xfId="0" applyFont="1" applyBorder="1" applyAlignment="1" applyProtection="1">
      <alignment horizontal="center" vertical="center"/>
    </xf>
    <xf numFmtId="176" fontId="75" fillId="0" borderId="2" xfId="0" applyNumberFormat="1" applyFont="1" applyBorder="1" applyAlignment="1"/>
    <xf numFmtId="0" fontId="72" fillId="40" borderId="2" xfId="0" applyFont="1" applyFill="1" applyBorder="1" applyAlignment="1" applyProtection="1">
      <alignment horizontal="right" vertical="center"/>
      <protection locked="0"/>
    </xf>
    <xf numFmtId="2" fontId="0" fillId="0" borderId="56" xfId="0" applyNumberFormat="1" applyBorder="1" applyAlignment="1">
      <alignment horizontal="right" vertical="center"/>
    </xf>
    <xf numFmtId="49" fontId="72" fillId="0" borderId="2" xfId="0" applyNumberFormat="1" applyFont="1" applyBorder="1" applyAlignment="1" applyProtection="1">
      <alignment horizontal="right" vertical="center"/>
    </xf>
    <xf numFmtId="0" fontId="72" fillId="0" borderId="2" xfId="0" applyFont="1" applyBorder="1" applyAlignment="1" applyProtection="1">
      <alignment horizontal="left" vertical="center"/>
      <protection locked="0"/>
    </xf>
    <xf numFmtId="176" fontId="72" fillId="0" borderId="2" xfId="0" applyNumberFormat="1" applyFont="1" applyBorder="1" applyAlignment="1"/>
    <xf numFmtId="0" fontId="15" fillId="0" borderId="34" xfId="0" applyFont="1" applyFill="1" applyBorder="1" applyProtection="1">
      <protection locked="0"/>
    </xf>
    <xf numFmtId="2" fontId="72" fillId="0" borderId="4" xfId="1" applyNumberFormat="1" applyFont="1" applyFill="1" applyBorder="1" applyAlignment="1">
      <alignment horizontal="right" vertical="center"/>
    </xf>
    <xf numFmtId="176" fontId="72" fillId="0" borderId="4" xfId="1" applyNumberFormat="1" applyFont="1" applyFill="1" applyBorder="1" applyAlignment="1">
      <alignment horizontal="right" vertical="center"/>
    </xf>
    <xf numFmtId="0" fontId="67" fillId="0" borderId="1" xfId="1" applyFont="1" applyBorder="1" applyAlignment="1">
      <alignment horizontal="center" vertical="center" wrapText="1"/>
    </xf>
    <xf numFmtId="0" fontId="67" fillId="0" borderId="25" xfId="1" applyFont="1" applyBorder="1" applyAlignment="1">
      <alignment horizontal="center" vertical="center" wrapText="1"/>
    </xf>
    <xf numFmtId="0" fontId="67" fillId="0" borderId="0" xfId="1" applyFont="1" applyAlignment="1">
      <alignment horizontal="right"/>
    </xf>
    <xf numFmtId="0" fontId="67" fillId="0" borderId="0" xfId="1" applyFont="1" applyAlignment="1">
      <alignment horizontal="left" vertical="center"/>
    </xf>
    <xf numFmtId="0" fontId="67" fillId="0" borderId="0" xfId="1" applyFont="1"/>
    <xf numFmtId="0" fontId="75" fillId="0" borderId="22" xfId="0" applyFont="1" applyBorder="1" applyAlignment="1">
      <alignment horizontal="center"/>
    </xf>
    <xf numFmtId="49" fontId="0" fillId="0" borderId="22" xfId="0" applyNumberFormat="1" applyFill="1" applyBorder="1" applyProtection="1"/>
    <xf numFmtId="0" fontId="72" fillId="41" borderId="2" xfId="0" applyFont="1" applyFill="1" applyBorder="1" applyAlignment="1" applyProtection="1">
      <alignment horizontal="center" vertical="center"/>
    </xf>
    <xf numFmtId="0" fontId="75" fillId="41" borderId="2" xfId="0" applyFont="1" applyFill="1" applyBorder="1" applyAlignment="1" applyProtection="1">
      <alignment horizontal="center" vertical="center"/>
    </xf>
    <xf numFmtId="0" fontId="67" fillId="30" borderId="4" xfId="1" applyFont="1" applyFill="1" applyBorder="1"/>
    <xf numFmtId="0" fontId="67" fillId="0" borderId="4" xfId="1" applyFont="1" applyBorder="1"/>
    <xf numFmtId="0" fontId="67" fillId="41" borderId="4" xfId="1" applyFont="1" applyFill="1" applyBorder="1"/>
    <xf numFmtId="0" fontId="67" fillId="38" borderId="4" xfId="1" applyFont="1" applyFill="1" applyBorder="1"/>
    <xf numFmtId="0" fontId="74" fillId="0" borderId="4" xfId="1" applyFont="1" applyBorder="1"/>
    <xf numFmtId="168" fontId="72" fillId="0" borderId="17" xfId="1" applyNumberFormat="1" applyFont="1" applyFill="1" applyBorder="1" applyAlignment="1" applyProtection="1">
      <alignment horizontal="right" vertical="center"/>
    </xf>
    <xf numFmtId="168" fontId="72" fillId="0" borderId="27" xfId="1" applyNumberFormat="1" applyFont="1" applyFill="1" applyBorder="1" applyAlignment="1" applyProtection="1">
      <alignment horizontal="right" vertical="center"/>
    </xf>
    <xf numFmtId="0" fontId="72" fillId="0" borderId="2" xfId="0" applyFont="1" applyBorder="1" applyAlignment="1">
      <alignment vertical="center"/>
    </xf>
    <xf numFmtId="0" fontId="78" fillId="0" borderId="54" xfId="0" applyFont="1" applyBorder="1" applyAlignment="1" applyProtection="1">
      <alignment horizontal="right" vertical="center"/>
      <protection locked="0"/>
    </xf>
    <xf numFmtId="0" fontId="75" fillId="0" borderId="2" xfId="0" applyFont="1" applyBorder="1" applyAlignment="1" applyProtection="1">
      <protection locked="0"/>
    </xf>
    <xf numFmtId="0" fontId="75" fillId="0" borderId="2" xfId="0" applyFont="1" applyBorder="1"/>
    <xf numFmtId="0" fontId="3" fillId="9" borderId="2" xfId="1" applyFont="1" applyFill="1" applyBorder="1" applyAlignment="1" applyProtection="1">
      <alignment vertical="center"/>
    </xf>
    <xf numFmtId="0" fontId="3" fillId="34" borderId="2" xfId="1" applyFont="1" applyFill="1" applyBorder="1" applyAlignment="1" applyProtection="1">
      <alignment vertical="center"/>
    </xf>
    <xf numFmtId="0" fontId="15" fillId="0" borderId="2" xfId="0" applyFont="1" applyBorder="1" applyAlignment="1" applyProtection="1">
      <alignment vertical="center" wrapText="1"/>
      <protection locked="0"/>
    </xf>
    <xf numFmtId="49" fontId="75" fillId="0" borderId="22" xfId="0" applyNumberFormat="1" applyFont="1" applyBorder="1" applyProtection="1"/>
    <xf numFmtId="0" fontId="75" fillId="0" borderId="2" xfId="0" applyFont="1" applyBorder="1" applyProtection="1"/>
    <xf numFmtId="0" fontId="72" fillId="0" borderId="2" xfId="0" applyFont="1" applyBorder="1" applyAlignment="1" applyProtection="1">
      <alignment vertical="center"/>
      <protection locked="0"/>
    </xf>
    <xf numFmtId="0" fontId="72" fillId="0" borderId="2" xfId="0" applyFont="1" applyFill="1" applyBorder="1" applyAlignment="1">
      <alignment horizontal="left"/>
    </xf>
    <xf numFmtId="0" fontId="75" fillId="0" borderId="22" xfId="0" applyFont="1" applyBorder="1" applyAlignment="1">
      <alignment horizontal="left"/>
    </xf>
    <xf numFmtId="0" fontId="75" fillId="0" borderId="2" xfId="0" applyFont="1" applyBorder="1" applyAlignment="1">
      <alignment horizontal="left"/>
    </xf>
    <xf numFmtId="0" fontId="72" fillId="0" borderId="2" xfId="0" applyFont="1" applyBorder="1" applyAlignment="1">
      <alignment horizontal="left"/>
    </xf>
    <xf numFmtId="0" fontId="72" fillId="0" borderId="57" xfId="0" applyFont="1" applyFill="1" applyBorder="1" applyAlignment="1" applyProtection="1">
      <alignment horizontal="left" vertical="center"/>
      <protection locked="0"/>
    </xf>
    <xf numFmtId="0" fontId="75" fillId="0" borderId="57" xfId="0" applyFont="1" applyBorder="1" applyAlignment="1" applyProtection="1">
      <alignment horizontal="left" vertical="center"/>
      <protection locked="0"/>
    </xf>
    <xf numFmtId="0" fontId="72" fillId="0" borderId="57" xfId="0" applyFont="1" applyBorder="1" applyAlignment="1" applyProtection="1">
      <alignment horizontal="left" vertical="center"/>
      <protection locked="0"/>
    </xf>
    <xf numFmtId="0" fontId="75" fillId="0" borderId="57" xfId="0" applyFont="1" applyBorder="1"/>
    <xf numFmtId="0" fontId="75" fillId="0" borderId="57" xfId="0" applyFont="1" applyFill="1" applyBorder="1" applyAlignment="1" applyProtection="1">
      <alignment horizontal="left" vertical="center"/>
      <protection locked="0"/>
    </xf>
    <xf numFmtId="0" fontId="72" fillId="0" borderId="57" xfId="0" applyFont="1" applyBorder="1"/>
    <xf numFmtId="0" fontId="72" fillId="0" borderId="28" xfId="1" applyFont="1" applyFill="1" applyBorder="1" applyAlignment="1" applyProtection="1">
      <alignment horizontal="left" vertical="center"/>
      <protection locked="0"/>
    </xf>
    <xf numFmtId="0" fontId="75" fillId="0" borderId="28" xfId="0" applyFont="1" applyBorder="1"/>
    <xf numFmtId="0" fontId="75" fillId="0" borderId="28" xfId="0" applyFont="1" applyBorder="1" applyAlignment="1" applyProtection="1"/>
    <xf numFmtId="0" fontId="72" fillId="0" borderId="58" xfId="1" applyFont="1" applyBorder="1" applyAlignment="1" applyProtection="1">
      <alignment horizontal="left" vertical="center"/>
      <protection locked="0"/>
    </xf>
    <xf numFmtId="0" fontId="75" fillId="0" borderId="57" xfId="0" applyNumberFormat="1" applyFont="1" applyFill="1" applyBorder="1" applyAlignment="1" applyProtection="1">
      <alignment horizontal="left" vertical="center"/>
      <protection locked="0"/>
    </xf>
    <xf numFmtId="0" fontId="75" fillId="0" borderId="24" xfId="0" applyFont="1" applyFill="1" applyBorder="1" applyAlignment="1" applyProtection="1">
      <alignment horizontal="left" vertical="center"/>
      <protection locked="0"/>
    </xf>
    <xf numFmtId="0" fontId="75" fillId="0" borderId="14" xfId="0" applyFont="1" applyFill="1" applyBorder="1" applyAlignment="1" applyProtection="1">
      <alignment horizontal="left" vertical="center"/>
      <protection locked="0"/>
    </xf>
    <xf numFmtId="176" fontId="72" fillId="0" borderId="17" xfId="0" applyNumberFormat="1" applyFont="1" applyBorder="1" applyAlignment="1" applyProtection="1"/>
    <xf numFmtId="176" fontId="75" fillId="0" borderId="17" xfId="0" applyNumberFormat="1" applyFont="1" applyBorder="1" applyAlignment="1"/>
    <xf numFmtId="176" fontId="72" fillId="0" borderId="17" xfId="0" applyNumberFormat="1" applyFont="1" applyBorder="1" applyAlignment="1"/>
    <xf numFmtId="176" fontId="72" fillId="0" borderId="17" xfId="1" applyNumberFormat="1" applyFont="1" applyBorder="1" applyAlignment="1">
      <alignment horizontal="right" vertical="center"/>
    </xf>
    <xf numFmtId="176" fontId="75" fillId="0" borderId="17" xfId="0" applyNumberFormat="1" applyFont="1" applyBorder="1" applyAlignment="1" applyProtection="1"/>
    <xf numFmtId="2" fontId="0" fillId="0" borderId="59" xfId="0" applyNumberFormat="1" applyBorder="1" applyAlignment="1">
      <alignment horizontal="right" vertical="center"/>
    </xf>
    <xf numFmtId="2" fontId="72" fillId="0" borderId="17" xfId="1" applyNumberFormat="1" applyFont="1" applyFill="1" applyBorder="1" applyAlignment="1">
      <alignment horizontal="right" vertical="center"/>
    </xf>
    <xf numFmtId="176" fontId="72" fillId="0" borderId="17" xfId="1" applyNumberFormat="1" applyFont="1" applyFill="1" applyBorder="1" applyAlignment="1">
      <alignment horizontal="right" vertical="center"/>
    </xf>
    <xf numFmtId="176" fontId="75" fillId="0" borderId="17" xfId="1" applyNumberFormat="1" applyFont="1" applyBorder="1" applyAlignment="1">
      <alignment horizontal="right" vertical="center"/>
    </xf>
    <xf numFmtId="176" fontId="75" fillId="0" borderId="27" xfId="0" applyNumberFormat="1" applyFont="1" applyBorder="1" applyAlignment="1" applyProtection="1"/>
    <xf numFmtId="176" fontId="75" fillId="0" borderId="60" xfId="0" applyNumberFormat="1" applyFont="1" applyBorder="1" applyAlignment="1" applyProtection="1"/>
    <xf numFmtId="176" fontId="75" fillId="0" borderId="16" xfId="0" applyNumberFormat="1" applyFont="1" applyBorder="1" applyAlignment="1" applyProtection="1"/>
    <xf numFmtId="0" fontId="72" fillId="30" borderId="2" xfId="0" applyFont="1" applyFill="1" applyBorder="1" applyAlignment="1" applyProtection="1">
      <alignment horizontal="center" vertical="center"/>
    </xf>
    <xf numFmtId="0" fontId="75" fillId="30" borderId="2" xfId="0" applyFont="1" applyFill="1" applyBorder="1" applyAlignment="1" applyProtection="1">
      <alignment horizontal="center" vertical="center"/>
    </xf>
    <xf numFmtId="0" fontId="72" fillId="0" borderId="2" xfId="0" applyFont="1" applyBorder="1" applyAlignment="1" applyProtection="1">
      <alignment horizontal="center" vertical="center"/>
    </xf>
    <xf numFmtId="0" fontId="75" fillId="0" borderId="2" xfId="0" applyFont="1" applyBorder="1" applyAlignment="1">
      <alignment horizontal="center" vertical="center"/>
    </xf>
    <xf numFmtId="176" fontId="72" fillId="0" borderId="17" xfId="0" applyNumberFormat="1" applyFont="1" applyBorder="1" applyAlignment="1">
      <alignment vertical="top"/>
    </xf>
    <xf numFmtId="0" fontId="15" fillId="0" borderId="2" xfId="0" applyFont="1" applyBorder="1" applyAlignment="1">
      <alignment vertical="center" wrapText="1"/>
    </xf>
    <xf numFmtId="49" fontId="78" fillId="0" borderId="2" xfId="0" applyNumberFormat="1" applyFont="1" applyBorder="1" applyAlignment="1" applyProtection="1">
      <alignment horizontal="right" vertical="center"/>
      <protection locked="0"/>
    </xf>
    <xf numFmtId="44" fontId="15" fillId="0" borderId="22" xfId="0" applyNumberFormat="1" applyFont="1" applyBorder="1" applyAlignment="1" applyProtection="1">
      <alignment vertical="top"/>
      <protection locked="0"/>
    </xf>
    <xf numFmtId="0" fontId="67" fillId="0" borderId="1" xfId="1" applyFont="1" applyBorder="1" applyAlignment="1">
      <alignment horizontal="center" vertical="center" wrapText="1"/>
    </xf>
    <xf numFmtId="0" fontId="67" fillId="0" borderId="25" xfId="1" applyFont="1" applyBorder="1" applyAlignment="1">
      <alignment horizontal="center" vertical="center" wrapText="1"/>
    </xf>
    <xf numFmtId="0" fontId="67" fillId="0" borderId="0" xfId="1" applyFont="1" applyAlignment="1">
      <alignment horizontal="right"/>
    </xf>
    <xf numFmtId="0" fontId="67" fillId="0" borderId="0" xfId="1" applyFont="1" applyAlignment="1">
      <alignment horizontal="left" vertical="center"/>
    </xf>
    <xf numFmtId="0" fontId="67" fillId="0" borderId="0" xfId="1" applyFont="1"/>
    <xf numFmtId="0" fontId="75" fillId="0" borderId="2" xfId="0" applyFont="1" applyBorder="1" applyAlignment="1">
      <alignment horizontal="left" vertical="top"/>
    </xf>
    <xf numFmtId="0" fontId="72" fillId="0" borderId="2" xfId="0" applyFont="1" applyBorder="1" applyAlignment="1">
      <alignment horizontal="left" vertical="top"/>
    </xf>
    <xf numFmtId="10" fontId="79" fillId="0" borderId="1" xfId="1" applyNumberFormat="1" applyFont="1" applyFill="1" applyBorder="1" applyAlignment="1" applyProtection="1">
      <alignment horizontal="right" vertical="center"/>
    </xf>
    <xf numFmtId="0" fontId="75" fillId="0" borderId="20" xfId="0" applyFont="1" applyBorder="1" applyAlignment="1" applyProtection="1">
      <alignment horizontal="left" vertical="center"/>
      <protection locked="0"/>
    </xf>
    <xf numFmtId="0" fontId="75" fillId="0" borderId="61" xfId="0" applyFont="1" applyFill="1" applyBorder="1" applyAlignment="1" applyProtection="1">
      <alignment horizontal="left" vertical="center"/>
      <protection locked="0"/>
    </xf>
    <xf numFmtId="0" fontId="75" fillId="0" borderId="2" xfId="0" applyFont="1" applyBorder="1" applyAlignment="1" applyProtection="1">
      <alignment horizontal="center"/>
    </xf>
    <xf numFmtId="0" fontId="72" fillId="0" borderId="22" xfId="0" applyFont="1" applyBorder="1" applyAlignment="1" applyProtection="1">
      <alignment vertical="top"/>
    </xf>
    <xf numFmtId="176" fontId="75" fillId="0" borderId="17" xfId="0" applyNumberFormat="1" applyFont="1" applyBorder="1" applyAlignment="1">
      <alignment vertical="top"/>
    </xf>
    <xf numFmtId="0" fontId="75" fillId="0" borderId="59" xfId="0" applyFont="1" applyBorder="1" applyAlignment="1"/>
    <xf numFmtId="0" fontId="75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wrapText="1"/>
    </xf>
    <xf numFmtId="44" fontId="80" fillId="0" borderId="24" xfId="1" applyNumberFormat="1" applyFont="1" applyFill="1" applyBorder="1" applyAlignment="1" applyProtection="1">
      <alignment vertical="center"/>
      <protection locked="0"/>
    </xf>
    <xf numFmtId="0" fontId="75" fillId="27" borderId="57" xfId="0" applyFont="1" applyFill="1" applyBorder="1" applyAlignment="1" applyProtection="1">
      <alignment horizontal="left" vertical="center"/>
      <protection locked="0"/>
    </xf>
    <xf numFmtId="0" fontId="75" fillId="0" borderId="2" xfId="0" applyFont="1" applyBorder="1" applyAlignment="1" applyProtection="1">
      <alignment horizontal="left" vertical="top"/>
    </xf>
    <xf numFmtId="0" fontId="72" fillId="0" borderId="20" xfId="0" applyFont="1" applyBorder="1" applyAlignment="1" applyProtection="1">
      <alignment horizontal="left" vertical="center"/>
    </xf>
    <xf numFmtId="0" fontId="67" fillId="0" borderId="0" xfId="1" applyFont="1" applyAlignment="1">
      <alignment horizontal="right"/>
    </xf>
    <xf numFmtId="0" fontId="67" fillId="0" borderId="0" xfId="1" applyFont="1" applyAlignment="1">
      <alignment horizontal="left" vertical="center"/>
    </xf>
    <xf numFmtId="0" fontId="67" fillId="0" borderId="0" xfId="1" applyFont="1"/>
    <xf numFmtId="0" fontId="67" fillId="0" borderId="1" xfId="1" applyFont="1" applyBorder="1" applyAlignment="1">
      <alignment horizontal="center" vertical="center" wrapText="1"/>
    </xf>
    <xf numFmtId="0" fontId="67" fillId="0" borderId="25" xfId="1" applyFont="1" applyBorder="1" applyAlignment="1">
      <alignment horizontal="center" vertical="center" wrapText="1"/>
    </xf>
    <xf numFmtId="44" fontId="15" fillId="0" borderId="24" xfId="0" applyNumberFormat="1" applyFont="1" applyBorder="1" applyAlignment="1" applyProtection="1">
      <protection locked="0"/>
    </xf>
    <xf numFmtId="177" fontId="72" fillId="42" borderId="2" xfId="0" applyNumberFormat="1" applyFont="1" applyFill="1" applyBorder="1" applyAlignment="1" applyProtection="1">
      <alignment horizontal="center" vertical="center"/>
      <protection locked="0"/>
    </xf>
    <xf numFmtId="0" fontId="72" fillId="0" borderId="2" xfId="0" applyNumberFormat="1" applyFont="1" applyFill="1" applyBorder="1" applyAlignment="1" applyProtection="1">
      <alignment horizontal="right" vertical="center"/>
    </xf>
    <xf numFmtId="0" fontId="3" fillId="40" borderId="2" xfId="1" applyFont="1" applyFill="1" applyBorder="1" applyAlignment="1" applyProtection="1">
      <alignment vertical="center"/>
    </xf>
    <xf numFmtId="0" fontId="81" fillId="0" borderId="2" xfId="0" applyFont="1" applyFill="1" applyBorder="1" applyAlignment="1" applyProtection="1">
      <alignment horizontal="right" vertical="center"/>
      <protection locked="0"/>
    </xf>
    <xf numFmtId="0" fontId="76" fillId="0" borderId="56" xfId="0" applyFont="1" applyBorder="1" applyAlignment="1" applyProtection="1">
      <alignment vertical="center"/>
      <protection locked="0"/>
    </xf>
    <xf numFmtId="0" fontId="75" fillId="0" borderId="2" xfId="0" applyFont="1" applyBorder="1" applyAlignment="1" applyProtection="1">
      <alignment horizontal="left"/>
    </xf>
    <xf numFmtId="0" fontId="0" fillId="0" borderId="34" xfId="0" applyBorder="1" applyAlignment="1"/>
    <xf numFmtId="0" fontId="75" fillId="0" borderId="62" xfId="0" applyFont="1" applyBorder="1" applyAlignment="1"/>
    <xf numFmtId="0" fontId="75" fillId="0" borderId="34" xfId="0" applyFont="1" applyBorder="1" applyProtection="1"/>
    <xf numFmtId="0" fontId="82" fillId="0" borderId="2" xfId="0" applyFont="1" applyFill="1" applyBorder="1" applyAlignment="1" applyProtection="1">
      <alignment horizontal="right" vertical="center"/>
      <protection locked="0"/>
    </xf>
    <xf numFmtId="0" fontId="75" fillId="0" borderId="2" xfId="0" applyFont="1" applyBorder="1" applyAlignment="1" applyProtection="1">
      <alignment vertical="top"/>
      <protection locked="0"/>
    </xf>
    <xf numFmtId="0" fontId="75" fillId="0" borderId="22" xfId="0" applyFont="1" applyBorder="1" applyAlignment="1" applyProtection="1"/>
    <xf numFmtId="0" fontId="57" fillId="0" borderId="14" xfId="1" applyFont="1" applyFill="1" applyBorder="1" applyAlignment="1">
      <alignment horizontal="right"/>
    </xf>
    <xf numFmtId="0" fontId="57" fillId="0" borderId="10" xfId="1" applyFont="1" applyFill="1" applyBorder="1" applyAlignment="1">
      <alignment horizontal="right"/>
    </xf>
    <xf numFmtId="164" fontId="2" fillId="0" borderId="0" xfId="1" applyNumberFormat="1" applyFill="1" applyAlignment="1"/>
    <xf numFmtId="178" fontId="2" fillId="0" borderId="0" xfId="1" applyNumberFormat="1" applyFill="1" applyAlignment="1"/>
    <xf numFmtId="10" fontId="5" fillId="0" borderId="1" xfId="46" applyNumberFormat="1" applyFont="1" applyFill="1" applyBorder="1" applyAlignment="1">
      <alignment vertical="center"/>
    </xf>
    <xf numFmtId="10" fontId="5" fillId="0" borderId="26" xfId="46" applyNumberFormat="1" applyFont="1" applyFill="1" applyBorder="1" applyAlignment="1">
      <alignment vertical="center"/>
    </xf>
    <xf numFmtId="10" fontId="73" fillId="0" borderId="1" xfId="48" applyNumberFormat="1" applyFont="1" applyFill="1" applyBorder="1" applyAlignment="1" applyProtection="1">
      <alignment horizontal="right" vertical="center"/>
      <protection locked="0"/>
    </xf>
    <xf numFmtId="0" fontId="75" fillId="0" borderId="57" xfId="0" applyFont="1" applyBorder="1" applyAlignment="1" applyProtection="1">
      <alignment vertical="top"/>
    </xf>
    <xf numFmtId="0" fontId="75" fillId="0" borderId="57" xfId="0" applyFont="1" applyBorder="1" applyAlignment="1"/>
    <xf numFmtId="0" fontId="75" fillId="0" borderId="2" xfId="0" applyFont="1" applyFill="1" applyBorder="1" applyAlignment="1" applyProtection="1">
      <alignment horizontal="right" vertical="center"/>
      <protection locked="0"/>
    </xf>
    <xf numFmtId="177" fontId="72" fillId="34" borderId="2" xfId="0" applyNumberFormat="1" applyFont="1" applyFill="1" applyBorder="1" applyAlignment="1" applyProtection="1">
      <alignment horizontal="center" vertical="center"/>
      <protection locked="0"/>
    </xf>
    <xf numFmtId="177" fontId="72" fillId="35" borderId="2" xfId="0" applyNumberFormat="1" applyFont="1" applyFill="1" applyBorder="1" applyAlignment="1" applyProtection="1">
      <alignment horizontal="center" vertical="center"/>
      <protection locked="0"/>
    </xf>
    <xf numFmtId="10" fontId="57" fillId="0" borderId="10" xfId="1" applyNumberFormat="1" applyFont="1" applyFill="1" applyBorder="1" applyAlignment="1">
      <alignment horizontal="right"/>
    </xf>
    <xf numFmtId="10" fontId="57" fillId="0" borderId="1" xfId="48" applyNumberFormat="1" applyFont="1" applyFill="1" applyBorder="1" applyAlignment="1">
      <alignment horizontal="right"/>
    </xf>
    <xf numFmtId="10" fontId="57" fillId="0" borderId="1" xfId="1" applyNumberFormat="1" applyFont="1" applyFill="1" applyBorder="1" applyAlignment="1">
      <alignment horizontal="right"/>
    </xf>
    <xf numFmtId="0" fontId="75" fillId="0" borderId="22" xfId="0" applyFont="1" applyFill="1" applyBorder="1" applyAlignment="1"/>
    <xf numFmtId="168" fontId="15" fillId="0" borderId="27" xfId="1" applyNumberFormat="1" applyFont="1" applyFill="1" applyBorder="1" applyAlignment="1">
      <alignment vertical="center"/>
    </xf>
    <xf numFmtId="168" fontId="2" fillId="0" borderId="17" xfId="1" applyNumberFormat="1" applyFill="1" applyBorder="1" applyAlignment="1">
      <alignment vertical="center"/>
    </xf>
    <xf numFmtId="168" fontId="2" fillId="0" borderId="8" xfId="1" applyNumberFormat="1" applyFill="1" applyBorder="1" applyAlignment="1">
      <alignment vertical="center"/>
    </xf>
    <xf numFmtId="0" fontId="20" fillId="0" borderId="2" xfId="1" applyNumberFormat="1" applyFont="1" applyFill="1" applyBorder="1" applyAlignment="1" applyProtection="1">
      <alignment vertical="center"/>
      <protection locked="0"/>
    </xf>
    <xf numFmtId="0" fontId="3" fillId="0" borderId="2" xfId="1" applyFont="1" applyFill="1" applyBorder="1" applyAlignment="1" applyProtection="1">
      <alignment horizontal="left" vertical="top" wrapText="1"/>
      <protection locked="0"/>
    </xf>
    <xf numFmtId="168" fontId="26" fillId="0" borderId="17" xfId="1" applyNumberFormat="1" applyFont="1" applyFill="1" applyBorder="1" applyAlignment="1">
      <alignment vertical="center"/>
    </xf>
    <xf numFmtId="165" fontId="26" fillId="0" borderId="2" xfId="1" applyNumberFormat="1" applyFont="1" applyFill="1" applyBorder="1" applyAlignment="1">
      <alignment vertical="center"/>
    </xf>
    <xf numFmtId="0" fontId="0" fillId="0" borderId="4" xfId="0" applyBorder="1"/>
    <xf numFmtId="1" fontId="0" fillId="0" borderId="4" xfId="0" applyNumberFormat="1" applyBorder="1"/>
    <xf numFmtId="49" fontId="75" fillId="0" borderId="22" xfId="0" applyNumberFormat="1" applyFont="1" applyFill="1" applyBorder="1" applyAlignment="1" applyProtection="1">
      <alignment horizontal="right"/>
    </xf>
    <xf numFmtId="49" fontId="75" fillId="0" borderId="22" xfId="0" applyNumberFormat="1" applyFont="1" applyBorder="1" applyAlignment="1" applyProtection="1">
      <alignment horizontal="right"/>
    </xf>
    <xf numFmtId="49" fontId="83" fillId="0" borderId="2" xfId="1" applyNumberFormat="1" applyFont="1" applyFill="1" applyBorder="1" applyAlignment="1" applyProtection="1">
      <alignment horizontal="right" vertical="top"/>
      <protection locked="0"/>
    </xf>
    <xf numFmtId="0" fontId="67" fillId="0" borderId="0" xfId="1" applyFont="1" applyAlignment="1">
      <alignment horizontal="right"/>
    </xf>
    <xf numFmtId="0" fontId="67" fillId="0" borderId="0" xfId="1" applyFont="1" applyAlignment="1">
      <alignment horizontal="left" vertical="center"/>
    </xf>
    <xf numFmtId="0" fontId="67" fillId="0" borderId="0" xfId="1" applyFont="1"/>
    <xf numFmtId="0" fontId="67" fillId="0" borderId="1" xfId="1" applyFont="1" applyBorder="1" applyAlignment="1">
      <alignment horizontal="center" vertical="center" wrapText="1"/>
    </xf>
    <xf numFmtId="0" fontId="67" fillId="0" borderId="25" xfId="1" applyFont="1" applyBorder="1" applyAlignment="1">
      <alignment horizontal="center" vertical="center" wrapText="1"/>
    </xf>
    <xf numFmtId="0" fontId="83" fillId="0" borderId="54" xfId="0" applyFont="1" applyBorder="1" applyAlignment="1" applyProtection="1">
      <alignment horizontal="right"/>
      <protection locked="0"/>
    </xf>
    <xf numFmtId="49" fontId="75" fillId="0" borderId="22" xfId="0" applyNumberFormat="1" applyFont="1" applyBorder="1" applyAlignment="1" applyProtection="1">
      <alignment horizontal="right" vertical="center"/>
    </xf>
    <xf numFmtId="0" fontId="72" fillId="0" borderId="22" xfId="0" applyFont="1" applyFill="1" applyBorder="1" applyAlignment="1">
      <alignment horizontal="center"/>
    </xf>
    <xf numFmtId="0" fontId="0" fillId="0" borderId="2" xfId="0" applyBorder="1" applyAlignment="1" applyProtection="1">
      <protection locked="0"/>
    </xf>
    <xf numFmtId="176" fontId="75" fillId="0" borderId="2" xfId="0" applyNumberFormat="1" applyFont="1" applyBorder="1" applyAlignment="1">
      <alignment vertical="top"/>
    </xf>
    <xf numFmtId="0" fontId="0" fillId="0" borderId="2" xfId="0" applyBorder="1" applyAlignment="1" applyProtection="1">
      <alignment horizontal="center"/>
    </xf>
    <xf numFmtId="0" fontId="84" fillId="0" borderId="9" xfId="0" applyNumberFormat="1" applyFont="1" applyBorder="1" applyAlignment="1" applyProtection="1">
      <alignment horizontal="right" vertical="center"/>
      <protection locked="0"/>
    </xf>
    <xf numFmtId="0" fontId="84" fillId="0" borderId="2" xfId="0" applyFont="1" applyBorder="1" applyAlignment="1" applyProtection="1">
      <alignment vertical="center"/>
      <protection locked="0"/>
    </xf>
    <xf numFmtId="49" fontId="84" fillId="0" borderId="22" xfId="0" applyNumberFormat="1" applyFont="1" applyBorder="1" applyProtection="1"/>
    <xf numFmtId="0" fontId="84" fillId="0" borderId="2" xfId="0" applyFont="1" applyBorder="1" applyAlignment="1" applyProtection="1">
      <protection locked="0"/>
    </xf>
    <xf numFmtId="0" fontId="84" fillId="0" borderId="2" xfId="0" applyFont="1" applyBorder="1" applyProtection="1"/>
    <xf numFmtId="0" fontId="84" fillId="0" borderId="2" xfId="0" applyFont="1" applyBorder="1" applyAlignment="1" applyProtection="1">
      <alignment horizontal="left"/>
    </xf>
    <xf numFmtId="49" fontId="84" fillId="0" borderId="2" xfId="0" applyNumberFormat="1" applyFont="1" applyBorder="1" applyAlignment="1" applyProtection="1">
      <alignment horizontal="right" vertical="center"/>
    </xf>
    <xf numFmtId="0" fontId="84" fillId="0" borderId="2" xfId="0" applyFont="1" applyBorder="1" applyAlignment="1" applyProtection="1">
      <alignment horizontal="center" vertical="center"/>
    </xf>
    <xf numFmtId="176" fontId="84" fillId="0" borderId="2" xfId="0" applyNumberFormat="1" applyFont="1" applyBorder="1" applyAlignment="1"/>
    <xf numFmtId="0" fontId="84" fillId="0" borderId="2" xfId="0" applyFont="1" applyFill="1" applyBorder="1" applyAlignment="1">
      <alignment horizontal="left"/>
    </xf>
    <xf numFmtId="0" fontId="84" fillId="0" borderId="22" xfId="0" applyFont="1" applyFill="1" applyBorder="1" applyAlignment="1"/>
    <xf numFmtId="49" fontId="75" fillId="0" borderId="4" xfId="0" applyNumberFormat="1" applyFont="1" applyBorder="1" applyAlignment="1" applyProtection="1">
      <alignment horizontal="right" vertical="center"/>
    </xf>
    <xf numFmtId="49" fontId="84" fillId="0" borderId="2" xfId="0" applyNumberFormat="1" applyFont="1" applyFill="1" applyBorder="1" applyAlignment="1" applyProtection="1">
      <alignment horizontal="right" vertical="center"/>
    </xf>
    <xf numFmtId="0" fontId="84" fillId="0" borderId="2" xfId="0" applyFont="1" applyFill="1" applyBorder="1" applyAlignment="1" applyProtection="1">
      <alignment horizontal="center" vertical="center"/>
    </xf>
    <xf numFmtId="49" fontId="84" fillId="0" borderId="22" xfId="0" applyNumberFormat="1" applyFont="1" applyBorder="1" applyAlignment="1" applyProtection="1">
      <alignment horizontal="right" vertical="top"/>
    </xf>
    <xf numFmtId="0" fontId="85" fillId="0" borderId="2" xfId="0" applyFont="1" applyBorder="1" applyAlignment="1" applyProtection="1">
      <protection locked="0"/>
    </xf>
    <xf numFmtId="0" fontId="85" fillId="0" borderId="2" xfId="0" applyFont="1" applyBorder="1" applyAlignment="1" applyProtection="1">
      <alignment horizontal="center" vertical="top"/>
    </xf>
    <xf numFmtId="0" fontId="84" fillId="0" borderId="9" xfId="0" applyNumberFormat="1" applyFont="1" applyFill="1" applyBorder="1" applyAlignment="1" applyProtection="1">
      <alignment horizontal="right" vertical="center"/>
      <protection locked="0"/>
    </xf>
    <xf numFmtId="49" fontId="84" fillId="0" borderId="22" xfId="0" applyNumberFormat="1" applyFont="1" applyFill="1" applyBorder="1" applyAlignment="1" applyProtection="1">
      <alignment horizontal="right"/>
    </xf>
    <xf numFmtId="49" fontId="84" fillId="0" borderId="22" xfId="0" applyNumberFormat="1" applyFont="1" applyBorder="1" applyAlignment="1" applyProtection="1">
      <alignment horizontal="right"/>
    </xf>
    <xf numFmtId="0" fontId="0" fillId="0" borderId="2" xfId="0" applyBorder="1" applyAlignment="1" applyProtection="1">
      <alignment horizontal="center" vertical="center"/>
    </xf>
    <xf numFmtId="176" fontId="84" fillId="0" borderId="2" xfId="0" applyNumberFormat="1" applyFont="1" applyBorder="1" applyAlignment="1" applyProtection="1"/>
    <xf numFmtId="0" fontId="72" fillId="0" borderId="61" xfId="0" applyFont="1" applyFill="1" applyBorder="1" applyAlignment="1" applyProtection="1">
      <alignment horizontal="left" vertical="center"/>
      <protection locked="0"/>
    </xf>
    <xf numFmtId="0" fontId="75" fillId="0" borderId="61" xfId="0" applyFont="1" applyBorder="1" applyAlignment="1" applyProtection="1">
      <alignment horizontal="left" vertical="center"/>
      <protection locked="0"/>
    </xf>
    <xf numFmtId="0" fontId="72" fillId="0" borderId="61" xfId="0" applyFont="1" applyBorder="1" applyAlignment="1" applyProtection="1">
      <alignment horizontal="left" vertical="center"/>
      <protection locked="0"/>
    </xf>
    <xf numFmtId="0" fontId="75" fillId="0" borderId="61" xfId="0" applyFont="1" applyBorder="1"/>
    <xf numFmtId="0" fontId="84" fillId="0" borderId="61" xfId="0" applyFont="1" applyBorder="1" applyAlignment="1" applyProtection="1">
      <alignment horizontal="left" vertical="center"/>
      <protection locked="0"/>
    </xf>
    <xf numFmtId="0" fontId="75" fillId="0" borderId="61" xfId="0" applyNumberFormat="1" applyFont="1" applyFill="1" applyBorder="1" applyAlignment="1" applyProtection="1">
      <alignment horizontal="left" vertical="center"/>
      <protection locked="0"/>
    </xf>
    <xf numFmtId="0" fontId="84" fillId="0" borderId="63" xfId="0" applyFont="1" applyBorder="1" applyAlignment="1" applyProtection="1">
      <alignment horizontal="left" vertical="center"/>
      <protection locked="0"/>
    </xf>
    <xf numFmtId="0" fontId="84" fillId="0" borderId="61" xfId="0" applyFont="1" applyBorder="1"/>
    <xf numFmtId="0" fontId="0" fillId="0" borderId="61" xfId="0" applyBorder="1"/>
    <xf numFmtId="0" fontId="85" fillId="0" borderId="61" xfId="0" applyFont="1" applyBorder="1"/>
    <xf numFmtId="0" fontId="84" fillId="0" borderId="61" xfId="0" applyFont="1" applyFill="1" applyBorder="1" applyAlignment="1" applyProtection="1">
      <alignment horizontal="left" vertical="center"/>
      <protection locked="0"/>
    </xf>
    <xf numFmtId="0" fontId="72" fillId="0" borderId="7" xfId="0" applyFont="1" applyFill="1" applyBorder="1" applyAlignment="1" applyProtection="1">
      <alignment vertical="center"/>
      <protection locked="0"/>
    </xf>
    <xf numFmtId="0" fontId="84" fillId="0" borderId="64" xfId="0" applyFont="1" applyBorder="1" applyAlignment="1" applyProtection="1">
      <alignment horizontal="left" vertical="center"/>
    </xf>
    <xf numFmtId="0" fontId="84" fillId="0" borderId="8" xfId="0" applyFont="1" applyFill="1" applyBorder="1" applyAlignment="1" applyProtection="1">
      <alignment vertical="center"/>
      <protection locked="0"/>
    </xf>
    <xf numFmtId="0" fontId="84" fillId="0" borderId="2" xfId="0" applyFont="1" applyFill="1" applyBorder="1" applyAlignment="1" applyProtection="1">
      <alignment vertical="center"/>
      <protection locked="0"/>
    </xf>
    <xf numFmtId="0" fontId="86" fillId="0" borderId="0" xfId="1" applyFont="1" applyBorder="1" applyAlignment="1">
      <alignment vertical="center"/>
    </xf>
    <xf numFmtId="0" fontId="84" fillId="0" borderId="34" xfId="0" applyFont="1" applyBorder="1" applyAlignment="1"/>
    <xf numFmtId="0" fontId="84" fillId="0" borderId="0" xfId="0" applyFont="1" applyBorder="1" applyAlignment="1"/>
    <xf numFmtId="0" fontId="67" fillId="0" borderId="1" xfId="1" applyFont="1" applyBorder="1" applyAlignment="1">
      <alignment horizontal="center" vertical="center" wrapText="1"/>
    </xf>
    <xf numFmtId="0" fontId="67" fillId="0" borderId="25" xfId="1" applyFont="1" applyBorder="1" applyAlignment="1">
      <alignment horizontal="center" vertical="center" wrapText="1"/>
    </xf>
    <xf numFmtId="0" fontId="67" fillId="0" borderId="0" xfId="1" applyFont="1" applyAlignment="1">
      <alignment horizontal="right"/>
    </xf>
    <xf numFmtId="0" fontId="67" fillId="0" borderId="0" xfId="1" applyFont="1" applyAlignment="1">
      <alignment horizontal="left" vertical="center"/>
    </xf>
    <xf numFmtId="0" fontId="67" fillId="0" borderId="0" xfId="1" applyFont="1"/>
    <xf numFmtId="49" fontId="72" fillId="0" borderId="22" xfId="0" applyNumberFormat="1" applyFont="1" applyFill="1" applyBorder="1" applyAlignment="1" applyProtection="1">
      <alignment horizontal="right" vertical="center"/>
    </xf>
    <xf numFmtId="168" fontId="0" fillId="0" borderId="61" xfId="0" applyNumberFormat="1" applyBorder="1" applyAlignment="1">
      <alignment horizontal="right" vertical="center"/>
    </xf>
    <xf numFmtId="0" fontId="84" fillId="0" borderId="61" xfId="0" applyFont="1" applyBorder="1" applyAlignment="1" applyProtection="1"/>
    <xf numFmtId="176" fontId="84" fillId="0" borderId="17" xfId="0" applyNumberFormat="1" applyFont="1" applyBorder="1" applyAlignment="1"/>
    <xf numFmtId="0" fontId="84" fillId="0" borderId="57" xfId="0" applyFont="1" applyBorder="1" applyAlignment="1" applyProtection="1">
      <alignment horizontal="left" vertical="center"/>
      <protection locked="0"/>
    </xf>
    <xf numFmtId="0" fontId="3" fillId="39" borderId="2" xfId="1" applyFont="1" applyFill="1" applyBorder="1" applyAlignment="1" applyProtection="1">
      <alignment vertical="center"/>
    </xf>
    <xf numFmtId="0" fontId="3" fillId="39" borderId="2" xfId="1" applyNumberFormat="1" applyFont="1" applyFill="1" applyBorder="1" applyAlignment="1" applyProtection="1">
      <alignment vertical="center"/>
    </xf>
    <xf numFmtId="0" fontId="87" fillId="40" borderId="2" xfId="0" applyFont="1" applyFill="1" applyBorder="1" applyAlignment="1" applyProtection="1">
      <alignment horizontal="right" vertical="center"/>
      <protection locked="0"/>
    </xf>
    <xf numFmtId="49" fontId="84" fillId="33" borderId="2" xfId="0" applyNumberFormat="1" applyFont="1" applyFill="1" applyBorder="1" applyAlignment="1" applyProtection="1">
      <alignment horizontal="right" vertical="center"/>
    </xf>
    <xf numFmtId="0" fontId="5" fillId="0" borderId="14" xfId="1" applyFont="1" applyFill="1" applyBorder="1" applyAlignment="1">
      <alignment horizontal="left"/>
    </xf>
    <xf numFmtId="0" fontId="5" fillId="0" borderId="15" xfId="1" applyFont="1" applyFill="1" applyBorder="1" applyAlignment="1">
      <alignment horizontal="left"/>
    </xf>
    <xf numFmtId="0" fontId="5" fillId="0" borderId="16" xfId="1" applyFont="1" applyFill="1" applyBorder="1" applyAlignment="1">
      <alignment horizontal="left"/>
    </xf>
    <xf numFmtId="0" fontId="5" fillId="0" borderId="14" xfId="1" applyFont="1" applyFill="1" applyBorder="1" applyAlignment="1">
      <alignment horizontal="right"/>
    </xf>
    <xf numFmtId="0" fontId="5" fillId="0" borderId="15" xfId="1" applyFont="1" applyFill="1" applyBorder="1" applyAlignment="1">
      <alignment horizontal="right"/>
    </xf>
    <xf numFmtId="0" fontId="5" fillId="0" borderId="16" xfId="1" applyFont="1" applyFill="1" applyBorder="1" applyAlignment="1">
      <alignment horizontal="right"/>
    </xf>
    <xf numFmtId="0" fontId="8" fillId="0" borderId="14" xfId="1" applyFont="1" applyFill="1" applyBorder="1" applyAlignment="1"/>
    <xf numFmtId="0" fontId="8" fillId="0" borderId="15" xfId="1" applyFont="1" applyFill="1" applyBorder="1" applyAlignment="1"/>
    <xf numFmtId="0" fontId="8" fillId="0" borderId="16" xfId="1" applyFont="1" applyFill="1" applyBorder="1" applyAlignment="1"/>
    <xf numFmtId="0" fontId="4" fillId="0" borderId="1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26" xfId="1" applyFont="1" applyBorder="1" applyAlignment="1">
      <alignment horizontal="center" vertical="center" wrapText="1"/>
    </xf>
    <xf numFmtId="0" fontId="4" fillId="0" borderId="25" xfId="1" applyFont="1" applyBorder="1" applyAlignment="1">
      <alignment horizontal="center" vertical="center" wrapText="1"/>
    </xf>
    <xf numFmtId="0" fontId="4" fillId="0" borderId="21" xfId="1" applyFont="1" applyBorder="1" applyAlignment="1">
      <alignment horizontal="center" vertical="center" wrapText="1"/>
    </xf>
    <xf numFmtId="0" fontId="2" fillId="0" borderId="0" xfId="1" applyFill="1" applyAlignment="1">
      <alignment horizontal="center" vertical="center"/>
    </xf>
    <xf numFmtId="0" fontId="7" fillId="0" borderId="14" xfId="1" applyNumberFormat="1" applyFont="1" applyFill="1" applyBorder="1" applyAlignment="1" applyProtection="1">
      <alignment horizontal="left"/>
      <protection locked="0"/>
    </xf>
    <xf numFmtId="0" fontId="7" fillId="0" borderId="15" xfId="1" applyNumberFormat="1" applyFont="1" applyFill="1" applyBorder="1" applyAlignment="1" applyProtection="1">
      <alignment horizontal="left"/>
      <protection locked="0"/>
    </xf>
    <xf numFmtId="0" fontId="7" fillId="0" borderId="16" xfId="1" applyNumberFormat="1" applyFont="1" applyFill="1" applyBorder="1" applyAlignment="1" applyProtection="1">
      <alignment horizontal="left"/>
      <protection locked="0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/>
    <xf numFmtId="0" fontId="25" fillId="0" borderId="0" xfId="1" applyFont="1" applyAlignment="1">
      <alignment horizontal="center"/>
    </xf>
    <xf numFmtId="0" fontId="67" fillId="0" borderId="0" xfId="1" applyFont="1" applyAlignment="1">
      <alignment horizontal="right"/>
    </xf>
    <xf numFmtId="0" fontId="67" fillId="0" borderId="0" xfId="1" applyFont="1" applyAlignment="1">
      <alignment horizontal="left" vertical="center"/>
    </xf>
    <xf numFmtId="0" fontId="67" fillId="0" borderId="0" xfId="1" applyFont="1"/>
    <xf numFmtId="0" fontId="67" fillId="0" borderId="1" xfId="1" applyFont="1" applyBorder="1" applyAlignment="1">
      <alignment horizontal="center" vertical="center" wrapText="1"/>
    </xf>
    <xf numFmtId="0" fontId="67" fillId="0" borderId="25" xfId="1" applyFont="1" applyBorder="1" applyAlignment="1">
      <alignment horizontal="center" vertical="center"/>
    </xf>
    <xf numFmtId="0" fontId="67" fillId="0" borderId="21" xfId="1" applyFont="1" applyBorder="1" applyAlignment="1">
      <alignment horizontal="center" vertical="center"/>
    </xf>
    <xf numFmtId="0" fontId="67" fillId="0" borderId="25" xfId="1" applyFont="1" applyBorder="1" applyAlignment="1">
      <alignment horizontal="center" vertical="center" wrapText="1"/>
    </xf>
    <xf numFmtId="0" fontId="67" fillId="0" borderId="21" xfId="1" applyFont="1" applyBorder="1" applyAlignment="1">
      <alignment horizontal="center" vertical="center" wrapText="1"/>
    </xf>
    <xf numFmtId="0" fontId="67" fillId="0" borderId="16" xfId="1" applyFont="1" applyBorder="1" applyAlignment="1">
      <alignment horizontal="center" vertical="center"/>
    </xf>
    <xf numFmtId="0" fontId="67" fillId="0" borderId="1" xfId="1" applyFont="1" applyBorder="1" applyAlignment="1">
      <alignment horizontal="center" vertical="center"/>
    </xf>
    <xf numFmtId="0" fontId="67" fillId="0" borderId="14" xfId="1" applyFont="1" applyBorder="1" applyAlignment="1">
      <alignment horizontal="center" vertical="center" wrapText="1"/>
    </xf>
    <xf numFmtId="0" fontId="69" fillId="0" borderId="0" xfId="1" applyFont="1" applyAlignment="1">
      <alignment horizontal="right"/>
    </xf>
    <xf numFmtId="0" fontId="70" fillId="0" borderId="0" xfId="1" applyFont="1" applyAlignment="1">
      <alignment horizontal="left"/>
    </xf>
    <xf numFmtId="0" fontId="67" fillId="0" borderId="3" xfId="1" applyFont="1" applyBorder="1" applyAlignment="1">
      <alignment horizontal="center" vertical="center" wrapText="1"/>
    </xf>
    <xf numFmtId="0" fontId="67" fillId="0" borderId="26" xfId="1" applyFont="1" applyBorder="1" applyAlignment="1">
      <alignment horizontal="center" vertical="center" wrapText="1"/>
    </xf>
    <xf numFmtId="0" fontId="67" fillId="0" borderId="3" xfId="1" applyFont="1" applyBorder="1" applyAlignment="1">
      <alignment horizontal="center" vertical="center"/>
    </xf>
    <xf numFmtId="0" fontId="67" fillId="0" borderId="26" xfId="1" applyFont="1" applyBorder="1" applyAlignment="1">
      <alignment horizontal="center" vertical="center"/>
    </xf>
    <xf numFmtId="44" fontId="15" fillId="0" borderId="22" xfId="1" applyNumberFormat="1" applyFont="1" applyFill="1" applyBorder="1" applyAlignment="1">
      <alignment vertical="center"/>
    </xf>
    <xf numFmtId="44" fontId="15" fillId="0" borderId="34" xfId="1" applyNumberFormat="1" applyFont="1" applyFill="1" applyBorder="1" applyAlignment="1">
      <alignment vertical="center"/>
    </xf>
    <xf numFmtId="44" fontId="15" fillId="0" borderId="13" xfId="1" applyNumberFormat="1" applyFont="1" applyFill="1" applyBorder="1" applyAlignment="1">
      <alignment vertical="center"/>
    </xf>
    <xf numFmtId="175" fontId="15" fillId="0" borderId="22" xfId="1" applyNumberFormat="1" applyFont="1" applyFill="1" applyBorder="1" applyAlignment="1">
      <alignment vertical="center"/>
    </xf>
    <xf numFmtId="175" fontId="15" fillId="0" borderId="34" xfId="1" applyNumberFormat="1" applyFont="1" applyFill="1" applyBorder="1" applyAlignment="1">
      <alignment vertical="center"/>
    </xf>
    <xf numFmtId="175" fontId="15" fillId="0" borderId="13" xfId="1" applyNumberFormat="1" applyFont="1" applyFill="1" applyBorder="1" applyAlignment="1">
      <alignment vertical="center"/>
    </xf>
    <xf numFmtId="175" fontId="15" fillId="0" borderId="22" xfId="1" applyNumberFormat="1" applyFont="1" applyFill="1" applyBorder="1" applyAlignment="1" applyProtection="1">
      <alignment vertical="center"/>
    </xf>
    <xf numFmtId="175" fontId="15" fillId="0" borderId="34" xfId="1" applyNumberFormat="1" applyFont="1" applyFill="1" applyBorder="1" applyAlignment="1" applyProtection="1">
      <alignment vertical="center"/>
    </xf>
    <xf numFmtId="175" fontId="15" fillId="0" borderId="13" xfId="1" applyNumberFormat="1" applyFont="1" applyFill="1" applyBorder="1" applyAlignment="1" applyProtection="1">
      <alignment vertical="center"/>
    </xf>
    <xf numFmtId="44" fontId="15" fillId="0" borderId="22" xfId="1" applyNumberFormat="1" applyFont="1" applyFill="1" applyBorder="1" applyAlignment="1" applyProtection="1">
      <alignment vertical="center"/>
    </xf>
    <xf numFmtId="44" fontId="15" fillId="0" borderId="34" xfId="1" applyNumberFormat="1" applyFont="1" applyFill="1" applyBorder="1" applyAlignment="1" applyProtection="1">
      <alignment vertical="center"/>
    </xf>
    <xf numFmtId="44" fontId="15" fillId="0" borderId="13" xfId="1" applyNumberFormat="1" applyFont="1" applyFill="1" applyBorder="1" applyAlignment="1" applyProtection="1">
      <alignment vertical="center"/>
    </xf>
    <xf numFmtId="169" fontId="4" fillId="0" borderId="25" xfId="1" applyNumberFormat="1" applyFont="1" applyBorder="1" applyAlignment="1">
      <alignment horizontal="center" vertical="center" wrapText="1"/>
    </xf>
    <xf numFmtId="169" fontId="4" fillId="0" borderId="21" xfId="1" applyNumberFormat="1" applyFont="1" applyBorder="1" applyAlignment="1">
      <alignment horizontal="center" vertical="center" wrapText="1"/>
    </xf>
  </cellXfs>
  <cellStyles count="49">
    <cellStyle name="20% - Акцент1 2" xfId="5"/>
    <cellStyle name="20% - Акцент2 2" xfId="6"/>
    <cellStyle name="20% - Акцент3 2" xfId="7"/>
    <cellStyle name="20% - Акцент4 2" xfId="8"/>
    <cellStyle name="20% - Акцент5 2" xfId="9"/>
    <cellStyle name="20% - Акцент6 2" xfId="10"/>
    <cellStyle name="40% - Акцент1 2" xfId="11"/>
    <cellStyle name="40% - Акцент2 2" xfId="12"/>
    <cellStyle name="40% - Акцент3 2" xfId="13"/>
    <cellStyle name="40% - Акцент4 2" xfId="14"/>
    <cellStyle name="40% - Акцент5 2" xfId="15"/>
    <cellStyle name="40% - Акцент6 2" xfId="16"/>
    <cellStyle name="60% - Акцент1 2" xfId="17"/>
    <cellStyle name="60% - Акцент2 2" xfId="18"/>
    <cellStyle name="60% - Акцент3 2" xfId="19"/>
    <cellStyle name="60% - Акцент4 2" xfId="20"/>
    <cellStyle name="60% - Акцент5 2" xfId="21"/>
    <cellStyle name="60% - Акцент6 2" xfId="22"/>
    <cellStyle name="Акцент1 2" xfId="23"/>
    <cellStyle name="Акцент2 2" xfId="24"/>
    <cellStyle name="Акцент3 2" xfId="25"/>
    <cellStyle name="Акцент4 2" xfId="26"/>
    <cellStyle name="Акцент5 2" xfId="27"/>
    <cellStyle name="Акцент6 2" xfId="28"/>
    <cellStyle name="Ввод  2" xfId="29"/>
    <cellStyle name="Вывод 2" xfId="30"/>
    <cellStyle name="Вычисление 2" xfId="31"/>
    <cellStyle name="Заголовок 1 2" xfId="32"/>
    <cellStyle name="Заголовок 2 2" xfId="33"/>
    <cellStyle name="Заголовок 3 2" xfId="34"/>
    <cellStyle name="Заголовок 4 2" xfId="35"/>
    <cellStyle name="Итог 2" xfId="36"/>
    <cellStyle name="Контрольная ячейка 2" xfId="37"/>
    <cellStyle name="Название 2" xfId="38"/>
    <cellStyle name="Нейтральный 2" xfId="39"/>
    <cellStyle name="Обычный" xfId="0" builtinId="0"/>
    <cellStyle name="Обычный 2" xfId="1"/>
    <cellStyle name="Обычный 3" xfId="4"/>
    <cellStyle name="Плохой 2" xfId="40"/>
    <cellStyle name="Пояснение 2" xfId="41"/>
    <cellStyle name="Примечание 2" xfId="42"/>
    <cellStyle name="Процентный" xfId="48" builtinId="5"/>
    <cellStyle name="Процентный 2" xfId="2"/>
    <cellStyle name="Процентный 2 2" xfId="46"/>
    <cellStyle name="Процентный 3" xfId="3"/>
    <cellStyle name="Связанная ячейка 2" xfId="43"/>
    <cellStyle name="Текст предупреждения 2" xfId="44"/>
    <cellStyle name="Финансовый" xfId="47" builtinId="3"/>
    <cellStyle name="Хороший 2" xfId="45"/>
  </cellStyles>
  <dxfs count="0"/>
  <tableStyles count="0" defaultTableStyle="TableStyleMedium9" defaultPivotStyle="PivotStyleLight16"/>
  <colors>
    <mruColors>
      <color rgb="FFF030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usernames" Target="revisions/userNam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revisionHeaders" Target="revisions/revisionHeader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/>
              <a:t>2019 г.</a:t>
            </a:r>
          </a:p>
        </c:rich>
      </c:tx>
      <c:layout/>
      <c:overlay val="0"/>
      <c:spPr>
        <a:effectLst>
          <a:innerShdw blurRad="63500" dist="50800" dir="2700000">
            <a:schemeClr val="accent3">
              <a:lumMod val="40000"/>
              <a:lumOff val="60000"/>
              <a:alpha val="50000"/>
            </a:schemeClr>
          </a:inn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Эпотос-К</c:v>
          </c:tx>
          <c:spPr>
            <a:ln w="88900"/>
          </c:spPr>
          <c:marker>
            <c:symbol val="none"/>
          </c:marker>
          <c:dLbls>
            <c:dLbl>
              <c:idx val="0"/>
              <c:layout>
                <c:manualLayout>
                  <c:x val="-2.4020151133501252E-2"/>
                  <c:y val="3.31550330004329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7712886015192721E-2"/>
                  <c:y val="-5.7501059000660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6705329340129712E-2"/>
                  <c:y val="-5.272968573744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0735556040381598E-2"/>
                  <c:y val="3.79264062636484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1743112715444589E-2"/>
                  <c:y val="-5.9886745632268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8720442690255654E-2"/>
                  <c:y val="-8.3743611948345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'обзор 2017'!$B$4:$B$15</c:f>
              <c:numCache>
                <c:formatCode>[$-419]mmmm;@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'обзор 2019'!$E$4:$E$15</c:f>
              <c:numCache>
                <c:formatCode>#,##0_р_.</c:formatCode>
                <c:ptCount val="12"/>
                <c:pt idx="0">
                  <c:v>2075328.1199999996</c:v>
                </c:pt>
                <c:pt idx="1">
                  <c:v>2257906.75</c:v>
                </c:pt>
                <c:pt idx="2">
                  <c:v>2684708.5899999994</c:v>
                </c:pt>
                <c:pt idx="3">
                  <c:v>2551197.6800000002</c:v>
                </c:pt>
                <c:pt idx="4">
                  <c:v>2364301.25</c:v>
                </c:pt>
                <c:pt idx="5">
                  <c:v>777382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'обзор 2019'!$J$3</c:f>
              <c:strCache>
                <c:ptCount val="1"/>
                <c:pt idx="0">
                  <c:v>Галополимер </c:v>
                </c:pt>
              </c:strCache>
            </c:strRef>
          </c:tx>
          <c:spPr>
            <a:ln w="88900"/>
          </c:spPr>
          <c:marker>
            <c:symbol val="none"/>
          </c:marker>
          <c:dLbls>
            <c:dLbl>
              <c:idx val="4"/>
              <c:layout>
                <c:manualLayout>
                  <c:x val="-1.4614649239374044E-2"/>
                  <c:y val="4.7469152790079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9989924433249373E-2"/>
                  <c:y val="-6.704380552709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4952141057934508E-2"/>
                  <c:y val="-3.12585060529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'обзор 2017'!$B$4:$B$15</c:f>
              <c:numCache>
                <c:formatCode>[$-419]mmmm;@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'обзор 2019'!$J$4:$J$15</c:f>
              <c:numCache>
                <c:formatCode>#,##0_ ;\-#,##0\ </c:formatCode>
                <c:ptCount val="12"/>
                <c:pt idx="0">
                  <c:v>1232935</c:v>
                </c:pt>
                <c:pt idx="1">
                  <c:v>682380</c:v>
                </c:pt>
                <c:pt idx="2">
                  <c:v>3260401.5</c:v>
                </c:pt>
                <c:pt idx="3">
                  <c:v>622314.5</c:v>
                </c:pt>
                <c:pt idx="4">
                  <c:v>364236.5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'обзор 2019'!$K$3</c:f>
              <c:strCache>
                <c:ptCount val="1"/>
                <c:pt idx="0">
                  <c:v>Выполнено </c:v>
                </c:pt>
              </c:strCache>
            </c:strRef>
          </c:tx>
          <c:spPr>
            <a:ln w="88900"/>
          </c:spPr>
          <c:marker>
            <c:symbol val="none"/>
          </c:marker>
          <c:dLbls>
            <c:dLbl>
              <c:idx val="2"/>
              <c:layout>
                <c:manualLayout>
                  <c:x val="-2.2675102639877837E-2"/>
                  <c:y val="-6.22724322638757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8720442690255692E-2"/>
                  <c:y val="-5.272968573744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8720442690255654E-2"/>
                  <c:y val="-5.272968573744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8720442690255654E-2"/>
                  <c:y val="-5.5115372369052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872044269025573E-2"/>
                  <c:y val="-5.9886745632268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8720442690255654E-2"/>
                  <c:y val="-5.5115372369052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'обзор 2017'!$B$4:$B$15</c:f>
              <c:numCache>
                <c:formatCode>[$-419]mmmm;@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'обзор 2019'!$K$4:$K$15</c:f>
              <c:numCache>
                <c:formatCode>#,##0_р_.</c:formatCode>
                <c:ptCount val="12"/>
                <c:pt idx="0">
                  <c:v>4623038.1099999994</c:v>
                </c:pt>
                <c:pt idx="1">
                  <c:v>6593377.5499999998</c:v>
                </c:pt>
                <c:pt idx="2">
                  <c:v>6313784.209999999</c:v>
                </c:pt>
                <c:pt idx="3">
                  <c:v>5958827.1600000001</c:v>
                </c:pt>
                <c:pt idx="4">
                  <c:v>3765055.29</c:v>
                </c:pt>
                <c:pt idx="5">
                  <c:v>889907.19999999995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577984"/>
        <c:axId val="95579520"/>
      </c:lineChart>
      <c:dateAx>
        <c:axId val="95577984"/>
        <c:scaling>
          <c:orientation val="minMax"/>
        </c:scaling>
        <c:delete val="0"/>
        <c:axPos val="b"/>
        <c:minorGridlines/>
        <c:numFmt formatCode="[$-419]mmmm;@" sourceLinked="1"/>
        <c:majorTickMark val="out"/>
        <c:minorTickMark val="none"/>
        <c:tickLblPos val="nextTo"/>
        <c:crossAx val="95579520"/>
        <c:crosses val="autoZero"/>
        <c:auto val="1"/>
        <c:lblOffset val="100"/>
        <c:baseTimeUnit val="months"/>
      </c:dateAx>
      <c:valAx>
        <c:axId val="95579520"/>
        <c:scaling>
          <c:orientation val="minMax"/>
        </c:scaling>
        <c:delete val="0"/>
        <c:axPos val="l"/>
        <c:majorGridlines/>
        <c:numFmt formatCode="#,##0_р_." sourceLinked="1"/>
        <c:majorTickMark val="out"/>
        <c:minorTickMark val="none"/>
        <c:tickLblPos val="nextTo"/>
        <c:crossAx val="9557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2018 г.</a:t>
            </a:r>
          </a:p>
        </c:rich>
      </c:tx>
      <c:overlay val="0"/>
      <c:spPr>
        <a:effectLst>
          <a:innerShdw blurRad="63500" dist="50800" dir="2700000">
            <a:schemeClr val="accent3">
              <a:lumMod val="40000"/>
              <a:lumOff val="60000"/>
              <a:alpha val="50000"/>
            </a:schemeClr>
          </a:inn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Эпотос-К</c:v>
          </c:tx>
          <c:spPr>
            <a:ln w="88900"/>
          </c:spPr>
          <c:marker>
            <c:symbol val="none"/>
          </c:marker>
          <c:cat>
            <c:numRef>
              <c:f>'обзор 2017'!$B$4:$B$15</c:f>
              <c:numCache>
                <c:formatCode>[$-419]mmmm;@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'обзор 2018'!$E$4:$E$15</c:f>
              <c:numCache>
                <c:formatCode>#,##0_р_.</c:formatCode>
                <c:ptCount val="12"/>
                <c:pt idx="0">
                  <c:v>2828469</c:v>
                </c:pt>
                <c:pt idx="1">
                  <c:v>2756429.1999999997</c:v>
                </c:pt>
                <c:pt idx="2">
                  <c:v>3229724.4850399997</c:v>
                </c:pt>
                <c:pt idx="3">
                  <c:v>2447623.09552</c:v>
                </c:pt>
                <c:pt idx="4">
                  <c:v>2889005.5</c:v>
                </c:pt>
                <c:pt idx="5">
                  <c:v>3006067</c:v>
                </c:pt>
                <c:pt idx="6">
                  <c:v>3903746.5100000002</c:v>
                </c:pt>
                <c:pt idx="7">
                  <c:v>3690745.05</c:v>
                </c:pt>
                <c:pt idx="8">
                  <c:v>2464102.48</c:v>
                </c:pt>
                <c:pt idx="9">
                  <c:v>3746420.2100000004</c:v>
                </c:pt>
                <c:pt idx="10">
                  <c:v>3043527.34</c:v>
                </c:pt>
                <c:pt idx="11">
                  <c:v>1751337.97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'обзор 2018'!$J$3</c:f>
              <c:strCache>
                <c:ptCount val="1"/>
                <c:pt idx="0">
                  <c:v>Галополимер </c:v>
                </c:pt>
              </c:strCache>
            </c:strRef>
          </c:tx>
          <c:spPr>
            <a:ln w="88900"/>
          </c:spPr>
          <c:marker>
            <c:symbol val="none"/>
          </c:marker>
          <c:cat>
            <c:numRef>
              <c:f>'обзор 2017'!$B$4:$B$15</c:f>
              <c:numCache>
                <c:formatCode>[$-419]mmmm;@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'обзор 2018'!$J$4:$J$15</c:f>
              <c:numCache>
                <c:formatCode>#,##0_р_.</c:formatCode>
                <c:ptCount val="12"/>
                <c:pt idx="0">
                  <c:v>558873.5</c:v>
                </c:pt>
                <c:pt idx="1">
                  <c:v>1102994.5</c:v>
                </c:pt>
                <c:pt idx="2">
                  <c:v>3370118</c:v>
                </c:pt>
                <c:pt idx="3">
                  <c:v>5421586.5</c:v>
                </c:pt>
                <c:pt idx="4">
                  <c:v>1663540</c:v>
                </c:pt>
                <c:pt idx="5">
                  <c:v>2949752</c:v>
                </c:pt>
                <c:pt idx="6">
                  <c:v>1900602.5</c:v>
                </c:pt>
                <c:pt idx="7">
                  <c:v>942684</c:v>
                </c:pt>
                <c:pt idx="8">
                  <c:v>183200</c:v>
                </c:pt>
                <c:pt idx="9">
                  <c:v>1013120</c:v>
                </c:pt>
                <c:pt idx="10">
                  <c:v>229470</c:v>
                </c:pt>
                <c:pt idx="11">
                  <c:v>558873.5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'обзор 2018'!$K$3</c:f>
              <c:strCache>
                <c:ptCount val="1"/>
                <c:pt idx="0">
                  <c:v>Выполнено </c:v>
                </c:pt>
              </c:strCache>
            </c:strRef>
          </c:tx>
          <c:spPr>
            <a:ln w="88900"/>
          </c:spPr>
          <c:marker>
            <c:symbol val="none"/>
          </c:marker>
          <c:cat>
            <c:numRef>
              <c:f>'обзор 2017'!$B$4:$B$15</c:f>
              <c:numCache>
                <c:formatCode>[$-419]mmmm;@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'обзор 2018'!$K$4:$K$15</c:f>
              <c:numCache>
                <c:formatCode>#,##0_р_.</c:formatCode>
                <c:ptCount val="12"/>
                <c:pt idx="0">
                  <c:v>3594403.5</c:v>
                </c:pt>
                <c:pt idx="1">
                  <c:v>4327988.18</c:v>
                </c:pt>
                <c:pt idx="2">
                  <c:v>7406495.4850399997</c:v>
                </c:pt>
                <c:pt idx="3">
                  <c:v>8653448.5955200009</c:v>
                </c:pt>
                <c:pt idx="4">
                  <c:v>5022667.5</c:v>
                </c:pt>
                <c:pt idx="5">
                  <c:v>6762667.5</c:v>
                </c:pt>
                <c:pt idx="6">
                  <c:v>6777902.4100000001</c:v>
                </c:pt>
                <c:pt idx="7">
                  <c:v>7121679.4199999999</c:v>
                </c:pt>
                <c:pt idx="8">
                  <c:v>4715096.0500000007</c:v>
                </c:pt>
                <c:pt idx="9">
                  <c:v>6505116.1600000001</c:v>
                </c:pt>
                <c:pt idx="10">
                  <c:v>5325519.58</c:v>
                </c:pt>
                <c:pt idx="11">
                  <c:v>5399034.5700000003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60448"/>
        <c:axId val="91961984"/>
      </c:lineChart>
      <c:dateAx>
        <c:axId val="91960448"/>
        <c:scaling>
          <c:orientation val="minMax"/>
        </c:scaling>
        <c:delete val="0"/>
        <c:axPos val="b"/>
        <c:minorGridlines/>
        <c:numFmt formatCode="[$-419]mmmm;@" sourceLinked="1"/>
        <c:majorTickMark val="out"/>
        <c:minorTickMark val="none"/>
        <c:tickLblPos val="nextTo"/>
        <c:crossAx val="91961984"/>
        <c:crosses val="autoZero"/>
        <c:auto val="1"/>
        <c:lblOffset val="100"/>
        <c:baseTimeUnit val="months"/>
      </c:dateAx>
      <c:valAx>
        <c:axId val="91961984"/>
        <c:scaling>
          <c:orientation val="minMax"/>
        </c:scaling>
        <c:delete val="0"/>
        <c:axPos val="l"/>
        <c:majorGridlines/>
        <c:numFmt formatCode="#,##0_р_." sourceLinked="1"/>
        <c:majorTickMark val="out"/>
        <c:minorTickMark val="none"/>
        <c:tickLblPos val="nextTo"/>
        <c:crossAx val="919604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b="1" i="0" baseline="0"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2017 г.</a:t>
            </a:r>
          </a:p>
        </c:rich>
      </c:tx>
      <c:overlay val="0"/>
      <c:spPr>
        <a:effectLst>
          <a:innerShdw blurRad="63500" dist="50800" dir="2700000">
            <a:schemeClr val="accent3">
              <a:lumMod val="40000"/>
              <a:lumOff val="60000"/>
              <a:alpha val="50000"/>
            </a:schemeClr>
          </a:inn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Эпотос-К</c:v>
          </c:tx>
          <c:spPr>
            <a:ln w="88900"/>
          </c:spPr>
          <c:marker>
            <c:symbol val="none"/>
          </c:marker>
          <c:dLbls>
            <c:dLbl>
              <c:idx val="0"/>
              <c:layout>
                <c:manualLayout>
                  <c:x val="-2.4020151133501252E-2"/>
                  <c:y val="3.31550330004329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7712886015192721E-2"/>
                  <c:y val="-5.7501059000660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6705329340129712E-2"/>
                  <c:y val="-5.272968573744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0735556040381598E-2"/>
                  <c:y val="3.79264062636484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1743112715444589E-2"/>
                  <c:y val="-5.9886745632268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8720442690255654E-2"/>
                  <c:y val="-8.3743611948345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'обзор 2017'!$B$4:$B$15</c:f>
              <c:numCache>
                <c:formatCode>[$-419]mmmm;@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'обзор 2017'!$E$4:$E$15</c:f>
              <c:numCache>
                <c:formatCode>#,##0_р_.</c:formatCode>
                <c:ptCount val="12"/>
                <c:pt idx="0">
                  <c:v>980251.4</c:v>
                </c:pt>
                <c:pt idx="1">
                  <c:v>2540508.7999999998</c:v>
                </c:pt>
                <c:pt idx="2">
                  <c:v>1638353.25</c:v>
                </c:pt>
                <c:pt idx="3">
                  <c:v>2212646.4500000002</c:v>
                </c:pt>
                <c:pt idx="4">
                  <c:v>1804965.7</c:v>
                </c:pt>
                <c:pt idx="5">
                  <c:v>1697943.1</c:v>
                </c:pt>
                <c:pt idx="6">
                  <c:v>1995322.5</c:v>
                </c:pt>
                <c:pt idx="7">
                  <c:v>3051944.5</c:v>
                </c:pt>
                <c:pt idx="8">
                  <c:v>2621516.6399999997</c:v>
                </c:pt>
                <c:pt idx="9">
                  <c:v>3157639.35</c:v>
                </c:pt>
                <c:pt idx="10">
                  <c:v>4037531.43</c:v>
                </c:pt>
                <c:pt idx="11">
                  <c:v>3035983.65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'обзор 2017'!$J$3</c:f>
              <c:strCache>
                <c:ptCount val="1"/>
                <c:pt idx="0">
                  <c:v>Галополимер </c:v>
                </c:pt>
              </c:strCache>
            </c:strRef>
          </c:tx>
          <c:spPr>
            <a:ln w="88900"/>
          </c:spPr>
          <c:marker>
            <c:symbol val="none"/>
          </c:marker>
          <c:dLbls>
            <c:dLbl>
              <c:idx val="4"/>
              <c:layout>
                <c:manualLayout>
                  <c:x val="-1.4614649239374044E-2"/>
                  <c:y val="4.7469152790079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9989924433249373E-2"/>
                  <c:y val="-6.704380552709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4952141057934508E-2"/>
                  <c:y val="-3.12585060529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'обзор 2017'!$B$4:$B$15</c:f>
              <c:numCache>
                <c:formatCode>[$-419]mmmm;@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'обзор 2017'!$J$4:$J$15</c:f>
              <c:numCache>
                <c:formatCode>#,##0_ ;\-#,##0\ </c:formatCode>
                <c:ptCount val="12"/>
                <c:pt idx="0">
                  <c:v>2774400.1</c:v>
                </c:pt>
                <c:pt idx="1">
                  <c:v>1374074</c:v>
                </c:pt>
                <c:pt idx="2">
                  <c:v>926920.5</c:v>
                </c:pt>
                <c:pt idx="3">
                  <c:v>341172</c:v>
                </c:pt>
                <c:pt idx="4">
                  <c:v>1730520</c:v>
                </c:pt>
                <c:pt idx="5">
                  <c:v>2079435</c:v>
                </c:pt>
                <c:pt idx="6">
                  <c:v>737940</c:v>
                </c:pt>
                <c:pt idx="7">
                  <c:v>531200</c:v>
                </c:pt>
                <c:pt idx="8">
                  <c:v>840773</c:v>
                </c:pt>
                <c:pt idx="9">
                  <c:v>1228415.5</c:v>
                </c:pt>
                <c:pt idx="10">
                  <c:v>440674</c:v>
                </c:pt>
                <c:pt idx="11">
                  <c:v>203274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'обзор 2017'!$K$3</c:f>
              <c:strCache>
                <c:ptCount val="1"/>
                <c:pt idx="0">
                  <c:v>Выполнено </c:v>
                </c:pt>
              </c:strCache>
            </c:strRef>
          </c:tx>
          <c:spPr>
            <a:ln w="88900"/>
          </c:spPr>
          <c:marker>
            <c:symbol val="none"/>
          </c:marker>
          <c:dLbls>
            <c:dLbl>
              <c:idx val="2"/>
              <c:layout>
                <c:manualLayout>
                  <c:x val="-2.2675102639877837E-2"/>
                  <c:y val="-6.22724322638757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8720442690255692E-2"/>
                  <c:y val="-5.272968573744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8720442690255654E-2"/>
                  <c:y val="-5.272968573744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8720442690255654E-2"/>
                  <c:y val="-5.5115372369052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872044269025573E-2"/>
                  <c:y val="-5.9886745632268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8720442690255654E-2"/>
                  <c:y val="-5.5115372369052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'обзор 2017'!$B$4:$B$15</c:f>
              <c:numCache>
                <c:formatCode>[$-419]mmmm;@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'обзор 2017'!$K$4:$K$15</c:f>
              <c:numCache>
                <c:formatCode>#,##0_р_.</c:formatCode>
                <c:ptCount val="12"/>
                <c:pt idx="0">
                  <c:v>4246241</c:v>
                </c:pt>
                <c:pt idx="1">
                  <c:v>4455131.0999999996</c:v>
                </c:pt>
                <c:pt idx="2">
                  <c:v>3469433.25</c:v>
                </c:pt>
                <c:pt idx="3">
                  <c:v>3678069.0300000003</c:v>
                </c:pt>
                <c:pt idx="4">
                  <c:v>4433611.2600000007</c:v>
                </c:pt>
                <c:pt idx="5">
                  <c:v>4965668.26</c:v>
                </c:pt>
                <c:pt idx="6">
                  <c:v>4150764.74</c:v>
                </c:pt>
                <c:pt idx="7">
                  <c:v>4818867.6400000006</c:v>
                </c:pt>
                <c:pt idx="8">
                  <c:v>4880533.49</c:v>
                </c:pt>
                <c:pt idx="9">
                  <c:v>5638365.8300000001</c:v>
                </c:pt>
                <c:pt idx="10">
                  <c:v>5605060.5999999996</c:v>
                </c:pt>
                <c:pt idx="11">
                  <c:v>4748522.55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097536"/>
        <c:axId val="92099328"/>
      </c:lineChart>
      <c:dateAx>
        <c:axId val="92097536"/>
        <c:scaling>
          <c:orientation val="minMax"/>
        </c:scaling>
        <c:delete val="0"/>
        <c:axPos val="b"/>
        <c:minorGridlines/>
        <c:numFmt formatCode="[$-419]mmmm;@" sourceLinked="1"/>
        <c:majorTickMark val="out"/>
        <c:minorTickMark val="none"/>
        <c:tickLblPos val="nextTo"/>
        <c:crossAx val="92099328"/>
        <c:crosses val="autoZero"/>
        <c:auto val="1"/>
        <c:lblOffset val="100"/>
        <c:baseTimeUnit val="months"/>
      </c:dateAx>
      <c:valAx>
        <c:axId val="92099328"/>
        <c:scaling>
          <c:orientation val="minMax"/>
        </c:scaling>
        <c:delete val="0"/>
        <c:axPos val="l"/>
        <c:majorGridlines/>
        <c:numFmt formatCode="#,##0_р_." sourceLinked="1"/>
        <c:majorTickMark val="out"/>
        <c:minorTickMark val="none"/>
        <c:tickLblPos val="nextTo"/>
        <c:crossAx val="9209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2017 г.</a:t>
            </a:r>
          </a:p>
        </c:rich>
      </c:tx>
      <c:overlay val="0"/>
      <c:spPr>
        <a:effectLst>
          <a:innerShdw blurRad="63500" dist="50800" dir="2700000">
            <a:schemeClr val="accent3">
              <a:lumMod val="40000"/>
              <a:lumOff val="60000"/>
              <a:alpha val="50000"/>
            </a:schemeClr>
          </a:inn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Эпотос-К</c:v>
          </c:tx>
          <c:spPr>
            <a:ln w="88900"/>
          </c:spPr>
          <c:marker>
            <c:symbol val="none"/>
          </c:marker>
          <c:dLbls>
            <c:dLbl>
              <c:idx val="0"/>
              <c:layout>
                <c:manualLayout>
                  <c:x val="-2.4020151133501252E-2"/>
                  <c:y val="3.31550330004329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7712886015192721E-2"/>
                  <c:y val="-5.7501059000660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6705329340129712E-2"/>
                  <c:y val="-5.272968573744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0735556040381598E-2"/>
                  <c:y val="3.79264062636484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1743112715444589E-2"/>
                  <c:y val="-5.9886745632268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8720442690255654E-2"/>
                  <c:y val="-8.3743611948345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'обзор 2017'!$B$4:$B$15</c:f>
              <c:numCache>
                <c:formatCode>[$-419]mmmm;@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'обзор 2017'!$E$4:$E$15</c:f>
              <c:numCache>
                <c:formatCode>#,##0_р_.</c:formatCode>
                <c:ptCount val="12"/>
                <c:pt idx="0">
                  <c:v>980251.4</c:v>
                </c:pt>
                <c:pt idx="1">
                  <c:v>2540508.7999999998</c:v>
                </c:pt>
                <c:pt idx="2">
                  <c:v>1638353.25</c:v>
                </c:pt>
                <c:pt idx="3">
                  <c:v>2212646.4500000002</c:v>
                </c:pt>
                <c:pt idx="4">
                  <c:v>1804965.7</c:v>
                </c:pt>
                <c:pt idx="5">
                  <c:v>1697943.1</c:v>
                </c:pt>
                <c:pt idx="6">
                  <c:v>1995322.5</c:v>
                </c:pt>
                <c:pt idx="7">
                  <c:v>3051944.5</c:v>
                </c:pt>
                <c:pt idx="8">
                  <c:v>2621516.6399999997</c:v>
                </c:pt>
                <c:pt idx="9">
                  <c:v>3157639.35</c:v>
                </c:pt>
                <c:pt idx="10">
                  <c:v>4037531.43</c:v>
                </c:pt>
                <c:pt idx="11">
                  <c:v>3035983.65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'обзор 2017'!$J$3</c:f>
              <c:strCache>
                <c:ptCount val="1"/>
                <c:pt idx="0">
                  <c:v>Галополимер </c:v>
                </c:pt>
              </c:strCache>
            </c:strRef>
          </c:tx>
          <c:spPr>
            <a:ln w="88900"/>
          </c:spPr>
          <c:marker>
            <c:symbol val="none"/>
          </c:marker>
          <c:dLbls>
            <c:dLbl>
              <c:idx val="4"/>
              <c:layout>
                <c:manualLayout>
                  <c:x val="-1.4614649239374044E-2"/>
                  <c:y val="4.7469152790079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9989924433249373E-2"/>
                  <c:y val="-6.704380552709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4952141057934508E-2"/>
                  <c:y val="-3.12585060529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'обзор 2017'!$B$4:$B$15</c:f>
              <c:numCache>
                <c:formatCode>[$-419]mmmm;@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'обзор 2017'!$J$4:$J$15</c:f>
              <c:numCache>
                <c:formatCode>#,##0_ ;\-#,##0\ </c:formatCode>
                <c:ptCount val="12"/>
                <c:pt idx="0">
                  <c:v>2774400.1</c:v>
                </c:pt>
                <c:pt idx="1">
                  <c:v>1374074</c:v>
                </c:pt>
                <c:pt idx="2">
                  <c:v>926920.5</c:v>
                </c:pt>
                <c:pt idx="3">
                  <c:v>341172</c:v>
                </c:pt>
                <c:pt idx="4">
                  <c:v>1730520</c:v>
                </c:pt>
                <c:pt idx="5">
                  <c:v>2079435</c:v>
                </c:pt>
                <c:pt idx="6">
                  <c:v>737940</c:v>
                </c:pt>
                <c:pt idx="7">
                  <c:v>531200</c:v>
                </c:pt>
                <c:pt idx="8">
                  <c:v>840773</c:v>
                </c:pt>
                <c:pt idx="9">
                  <c:v>1228415.5</c:v>
                </c:pt>
                <c:pt idx="10">
                  <c:v>440674</c:v>
                </c:pt>
                <c:pt idx="11">
                  <c:v>203274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'обзор 2017'!$K$3</c:f>
              <c:strCache>
                <c:ptCount val="1"/>
                <c:pt idx="0">
                  <c:v>Выполнено </c:v>
                </c:pt>
              </c:strCache>
            </c:strRef>
          </c:tx>
          <c:spPr>
            <a:ln w="88900"/>
          </c:spPr>
          <c:marker>
            <c:symbol val="none"/>
          </c:marker>
          <c:dLbls>
            <c:dLbl>
              <c:idx val="2"/>
              <c:layout>
                <c:manualLayout>
                  <c:x val="-2.2675102639877837E-2"/>
                  <c:y val="-6.22724322638757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8720442690255692E-2"/>
                  <c:y val="-5.272968573744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8720442690255654E-2"/>
                  <c:y val="-5.272968573744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8720442690255654E-2"/>
                  <c:y val="-5.5115372369052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872044269025573E-2"/>
                  <c:y val="-5.9886745632268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8720442690255654E-2"/>
                  <c:y val="-5.5115372369052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'обзор 2017'!$B$4:$B$15</c:f>
              <c:numCache>
                <c:formatCode>[$-419]mmmm;@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'обзор 2017'!$K$4:$K$15</c:f>
              <c:numCache>
                <c:formatCode>#,##0_р_.</c:formatCode>
                <c:ptCount val="12"/>
                <c:pt idx="0">
                  <c:v>4246241</c:v>
                </c:pt>
                <c:pt idx="1">
                  <c:v>4455131.0999999996</c:v>
                </c:pt>
                <c:pt idx="2">
                  <c:v>3469433.25</c:v>
                </c:pt>
                <c:pt idx="3">
                  <c:v>3678069.0300000003</c:v>
                </c:pt>
                <c:pt idx="4">
                  <c:v>4433611.2600000007</c:v>
                </c:pt>
                <c:pt idx="5">
                  <c:v>4965668.26</c:v>
                </c:pt>
                <c:pt idx="6">
                  <c:v>4150764.74</c:v>
                </c:pt>
                <c:pt idx="7">
                  <c:v>4818867.6400000006</c:v>
                </c:pt>
                <c:pt idx="8">
                  <c:v>4880533.49</c:v>
                </c:pt>
                <c:pt idx="9">
                  <c:v>5638365.8300000001</c:v>
                </c:pt>
                <c:pt idx="10">
                  <c:v>5605060.5999999996</c:v>
                </c:pt>
                <c:pt idx="11">
                  <c:v>4748522.55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122496"/>
        <c:axId val="92157056"/>
      </c:lineChart>
      <c:dateAx>
        <c:axId val="92122496"/>
        <c:scaling>
          <c:orientation val="minMax"/>
        </c:scaling>
        <c:delete val="0"/>
        <c:axPos val="b"/>
        <c:minorGridlines/>
        <c:numFmt formatCode="[$-419]mmmm;@" sourceLinked="1"/>
        <c:majorTickMark val="out"/>
        <c:minorTickMark val="none"/>
        <c:tickLblPos val="nextTo"/>
        <c:crossAx val="92157056"/>
        <c:crosses val="autoZero"/>
        <c:auto val="1"/>
        <c:lblOffset val="100"/>
        <c:baseTimeUnit val="months"/>
      </c:dateAx>
      <c:valAx>
        <c:axId val="92157056"/>
        <c:scaling>
          <c:orientation val="minMax"/>
        </c:scaling>
        <c:delete val="0"/>
        <c:axPos val="l"/>
        <c:majorGridlines/>
        <c:numFmt formatCode="#,##0_р_." sourceLinked="1"/>
        <c:majorTickMark val="out"/>
        <c:minorTickMark val="none"/>
        <c:tickLblPos val="nextTo"/>
        <c:crossAx val="9212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10</xdr:col>
      <xdr:colOff>1058334</xdr:colOff>
      <xdr:row>54</xdr:row>
      <xdr:rowOff>179915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10</xdr:col>
      <xdr:colOff>1058334</xdr:colOff>
      <xdr:row>54</xdr:row>
      <xdr:rowOff>179915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550333</xdr:colOff>
      <xdr:row>25</xdr:row>
      <xdr:rowOff>148167</xdr:rowOff>
    </xdr:from>
    <xdr:to>
      <xdr:col>11</xdr:col>
      <xdr:colOff>10583</xdr:colOff>
      <xdr:row>53</xdr:row>
      <xdr:rowOff>137582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559858</xdr:colOff>
      <xdr:row>25</xdr:row>
      <xdr:rowOff>138642</xdr:rowOff>
    </xdr:from>
    <xdr:to>
      <xdr:col>11</xdr:col>
      <xdr:colOff>20108</xdr:colOff>
      <xdr:row>53</xdr:row>
      <xdr:rowOff>128057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3;&#1072;&#1085;_2018&#107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3;&#1072;&#1085;_2017&#107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082;&#1072;&#1079;&#1099;/&#1055;&#1088;&#1086;&#1077;&#1082;&#1090;&#1099;/&#1069;&#1087;&#1086;&#1090;&#1086;&#1089;-&#1050;/&#1087;&#1083;&#1072;&#1085;/2016/2016&#1075;_&#1086;&#1073;&#1098;&#1105;&#108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январь 2018 Эпотос-К"/>
      <sheetName val="январь 2018"/>
      <sheetName val="февраль 2018 Эпотос-К"/>
      <sheetName val="февраль 2018"/>
      <sheetName val="март 2018 Эпотос-К"/>
      <sheetName val="март 2018"/>
      <sheetName val="апрель 2018 Эпотос-К"/>
      <sheetName val="апрель 2018"/>
      <sheetName val="май 2018 Эпотос-К"/>
      <sheetName val="май 2018"/>
      <sheetName val="июнь 2018 Эпотос-К"/>
      <sheetName val="июнь 2018"/>
      <sheetName val="июль 2018 Эпотос-К"/>
      <sheetName val="июль 2018"/>
      <sheetName val="август 2018 Эпотос-К"/>
      <sheetName val="август 2018"/>
      <sheetName val="сентябрь 2018 Эпотос-К"/>
      <sheetName val="сентябрь 2018"/>
      <sheetName val="октябрь 2018 Эпотос-К"/>
      <sheetName val="октябрь 2018"/>
      <sheetName val="ноябрь 2018 Эпотос-К"/>
      <sheetName val="ноябрь 2018"/>
      <sheetName val="декабрь 2018 Эпотос-К"/>
      <sheetName val="декабрь 2018"/>
      <sheetName val="обзор 2018"/>
      <sheetName val="обзор 2017"/>
      <sheetName val="Лист3 (2)"/>
      <sheetName val="объёмы 2018"/>
      <sheetName val="обзор 2016"/>
      <sheetName val="Лист3"/>
    </sheetNames>
    <sheetDataSet>
      <sheetData sheetId="0"/>
      <sheetData sheetId="1"/>
      <sheetData sheetId="2">
        <row r="85">
          <cell r="E85">
            <v>2767960.5</v>
          </cell>
          <cell r="L85">
            <v>2828469</v>
          </cell>
        </row>
        <row r="86">
          <cell r="E86">
            <v>1403385.5</v>
          </cell>
          <cell r="L86">
            <v>765934.5</v>
          </cell>
        </row>
        <row r="87">
          <cell r="E87">
            <v>4171346</v>
          </cell>
          <cell r="L87">
            <v>3594403.5</v>
          </cell>
        </row>
      </sheetData>
      <sheetData sheetId="3"/>
      <sheetData sheetId="4">
        <row r="88">
          <cell r="E88">
            <v>3082338.5</v>
          </cell>
          <cell r="L88">
            <v>2756429.1999999997</v>
          </cell>
        </row>
        <row r="89">
          <cell r="E89">
            <v>5485121</v>
          </cell>
          <cell r="L89">
            <v>1571558.98</v>
          </cell>
        </row>
        <row r="90">
          <cell r="E90">
            <v>8567459.5</v>
          </cell>
          <cell r="L90">
            <v>4327988.18</v>
          </cell>
        </row>
      </sheetData>
      <sheetData sheetId="5"/>
      <sheetData sheetId="6">
        <row r="88">
          <cell r="E88">
            <v>3691282.03504</v>
          </cell>
          <cell r="L88">
            <v>3229724.4850399997</v>
          </cell>
        </row>
        <row r="89">
          <cell r="E89">
            <v>4595326.5</v>
          </cell>
          <cell r="L89">
            <v>4176771</v>
          </cell>
        </row>
        <row r="90">
          <cell r="E90">
            <v>8286608.5350400005</v>
          </cell>
          <cell r="L90">
            <v>7406495.4850399997</v>
          </cell>
        </row>
      </sheetData>
      <sheetData sheetId="7"/>
      <sheetData sheetId="8">
        <row r="86">
          <cell r="E86">
            <v>2605388.09552</v>
          </cell>
          <cell r="L86">
            <v>2447623.09552</v>
          </cell>
        </row>
        <row r="87">
          <cell r="E87">
            <v>7826973</v>
          </cell>
          <cell r="L87">
            <v>6205825.5</v>
          </cell>
        </row>
        <row r="88">
          <cell r="E88">
            <v>10432361.095520001</v>
          </cell>
          <cell r="L88">
            <v>8653448.5955200009</v>
          </cell>
        </row>
      </sheetData>
      <sheetData sheetId="9"/>
      <sheetData sheetId="10">
        <row r="86">
          <cell r="E86">
            <v>2991882.1</v>
          </cell>
          <cell r="L86">
            <v>2889005.5</v>
          </cell>
        </row>
        <row r="87">
          <cell r="E87">
            <v>3949610</v>
          </cell>
          <cell r="L87">
            <v>2133662</v>
          </cell>
        </row>
        <row r="88">
          <cell r="E88">
            <v>6941492.0999999996</v>
          </cell>
          <cell r="L88">
            <v>5022667.5</v>
          </cell>
        </row>
      </sheetData>
      <sheetData sheetId="11"/>
      <sheetData sheetId="12">
        <row r="84">
          <cell r="E84">
            <v>3150157.5</v>
          </cell>
          <cell r="L84">
            <v>3006067</v>
          </cell>
        </row>
        <row r="85">
          <cell r="E85">
            <v>4595559</v>
          </cell>
          <cell r="L85">
            <v>3756600.5</v>
          </cell>
        </row>
        <row r="86">
          <cell r="E86">
            <v>7745716.5</v>
          </cell>
          <cell r="L86">
            <v>6762667.5</v>
          </cell>
        </row>
      </sheetData>
      <sheetData sheetId="13"/>
      <sheetData sheetId="14">
        <row r="165">
          <cell r="E165">
            <v>4894374.0600000005</v>
          </cell>
          <cell r="L165">
            <v>3903746.5100000002</v>
          </cell>
        </row>
        <row r="166">
          <cell r="E166">
            <v>3673963.4</v>
          </cell>
          <cell r="L166">
            <v>2874155.9</v>
          </cell>
        </row>
        <row r="167">
          <cell r="E167">
            <v>8568337.4600000009</v>
          </cell>
          <cell r="L167">
            <v>6777902.4100000001</v>
          </cell>
        </row>
      </sheetData>
      <sheetData sheetId="15"/>
      <sheetData sheetId="16">
        <row r="95">
          <cell r="E95">
            <v>3491483.75</v>
          </cell>
          <cell r="L95">
            <v>3690745.05</v>
          </cell>
        </row>
        <row r="96">
          <cell r="E96">
            <v>4158063.67</v>
          </cell>
          <cell r="L96">
            <v>3430934.37</v>
          </cell>
        </row>
        <row r="97">
          <cell r="E97">
            <v>7649547.4199999999</v>
          </cell>
          <cell r="L97">
            <v>7121679.4199999999</v>
          </cell>
        </row>
      </sheetData>
      <sheetData sheetId="17"/>
      <sheetData sheetId="18">
        <row r="95">
          <cell r="E95">
            <v>2927682.62</v>
          </cell>
          <cell r="L95">
            <v>2464102.48</v>
          </cell>
        </row>
        <row r="96">
          <cell r="E96">
            <v>2437497.5499999998</v>
          </cell>
          <cell r="L96">
            <v>2250993.5700000003</v>
          </cell>
        </row>
        <row r="97">
          <cell r="E97">
            <v>5365180.17</v>
          </cell>
          <cell r="L97">
            <v>4715096.0500000007</v>
          </cell>
        </row>
      </sheetData>
      <sheetData sheetId="19"/>
      <sheetData sheetId="20">
        <row r="94">
          <cell r="E94">
            <v>5611130.6099999994</v>
          </cell>
          <cell r="L94">
            <v>3746420.2100000004</v>
          </cell>
        </row>
        <row r="95">
          <cell r="E95">
            <v>4178751.2699999996</v>
          </cell>
          <cell r="L95">
            <v>2758695.95</v>
          </cell>
        </row>
        <row r="96">
          <cell r="E96">
            <v>9789881.879999999</v>
          </cell>
          <cell r="L96">
            <v>6505116.1600000001</v>
          </cell>
        </row>
      </sheetData>
      <sheetData sheetId="21"/>
      <sheetData sheetId="22">
        <row r="94">
          <cell r="E94">
            <v>2700034.52</v>
          </cell>
          <cell r="L94">
            <v>3043527.34</v>
          </cell>
        </row>
        <row r="95">
          <cell r="E95">
            <v>3602715.9799999995</v>
          </cell>
          <cell r="L95">
            <v>2281992.2400000002</v>
          </cell>
        </row>
        <row r="96">
          <cell r="E96">
            <v>6302750.5</v>
          </cell>
          <cell r="L96">
            <v>5325519.58</v>
          </cell>
        </row>
      </sheetData>
      <sheetData sheetId="23"/>
      <sheetData sheetId="24">
        <row r="98">
          <cell r="E98">
            <v>1445835</v>
          </cell>
          <cell r="L98">
            <v>1751337.97</v>
          </cell>
        </row>
        <row r="99">
          <cell r="E99">
            <v>5148981.5</v>
          </cell>
          <cell r="L99">
            <v>3647696.6</v>
          </cell>
        </row>
        <row r="100">
          <cell r="E100">
            <v>6594816.5</v>
          </cell>
          <cell r="L100">
            <v>5399034.5700000003</v>
          </cell>
        </row>
      </sheetData>
      <sheetData sheetId="25"/>
      <sheetData sheetId="26">
        <row r="4">
          <cell r="J4">
            <v>558873.5</v>
          </cell>
        </row>
        <row r="5">
          <cell r="J5">
            <v>1102994.5</v>
          </cell>
        </row>
        <row r="6">
          <cell r="J6">
            <v>3370118</v>
          </cell>
        </row>
        <row r="7">
          <cell r="J7">
            <v>5421586.5</v>
          </cell>
        </row>
        <row r="8">
          <cell r="J8">
            <v>1663540</v>
          </cell>
        </row>
        <row r="9">
          <cell r="J9">
            <v>2949752</v>
          </cell>
        </row>
        <row r="10">
          <cell r="J10">
            <v>1900602.5</v>
          </cell>
        </row>
        <row r="11">
          <cell r="J11">
            <v>942684</v>
          </cell>
        </row>
        <row r="12">
          <cell r="J12">
            <v>183200</v>
          </cell>
        </row>
        <row r="13">
          <cell r="J13">
            <v>1013120</v>
          </cell>
        </row>
        <row r="14">
          <cell r="J14">
            <v>229470</v>
          </cell>
        </row>
      </sheetData>
      <sheetData sheetId="27">
        <row r="16">
          <cell r="C16">
            <v>60888453.930000007</v>
          </cell>
          <cell r="D16">
            <v>29344094.940000001</v>
          </cell>
          <cell r="E16">
            <v>28774606.77</v>
          </cell>
          <cell r="F16">
            <v>1.030945143746236</v>
          </cell>
          <cell r="G16">
            <v>31544358.989999998</v>
          </cell>
          <cell r="H16">
            <v>26315661.980000004</v>
          </cell>
          <cell r="I16">
            <v>0.83870396329502384</v>
          </cell>
          <cell r="J16">
            <v>13208798.1</v>
          </cell>
          <cell r="K16">
            <v>55090268.75</v>
          </cell>
        </row>
        <row r="20">
          <cell r="K20">
            <v>4590855.729166667</v>
          </cell>
          <cell r="M20">
            <v>0.51623695342567588</v>
          </cell>
          <cell r="N20">
            <v>0.24419949425099283</v>
          </cell>
          <cell r="O20">
            <v>0.23956355232333135</v>
          </cell>
          <cell r="Q20">
            <v>0.91017505533463916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январь 2017 Эпотос-К"/>
      <sheetName val="январь2017"/>
      <sheetName val="февраль 2017 Эпотос-К"/>
      <sheetName val="февраль 2017"/>
      <sheetName val="март 2017 Эпотос-К"/>
      <sheetName val="март 2017"/>
      <sheetName val="апрель 2017 Эпотос-К"/>
      <sheetName val="апрель 2017"/>
      <sheetName val="май 2017 Эпотос-К"/>
      <sheetName val="май 2017"/>
      <sheetName val="июнь 2017 Эпотос-К"/>
      <sheetName val="июнь2017"/>
      <sheetName val="июль 2017 Эпотос-К"/>
      <sheetName val="июль2017"/>
      <sheetName val="август 2017 Эпотос-К"/>
      <sheetName val="август2017"/>
      <sheetName val="сентябрь 2017 Эпотос-К"/>
      <sheetName val="сентябрь 2017"/>
      <sheetName val="октябрь 2017 Эпотос-К"/>
      <sheetName val="октябрь 2017"/>
      <sheetName val="ноябрь 2017 Эпотос-К"/>
      <sheetName val="ноябрь 2017"/>
      <sheetName val="декабрь 2017 Эпотос-К"/>
      <sheetName val="декабрь 2017"/>
      <sheetName val="обзор"/>
      <sheetName val="обзор 2016"/>
      <sheetName val="объёмы 2017"/>
    </sheetNames>
    <sheetDataSet>
      <sheetData sheetId="0"/>
      <sheetData sheetId="1"/>
      <sheetData sheetId="2">
        <row r="86">
          <cell r="E86">
            <v>856447.5</v>
          </cell>
          <cell r="L86">
            <v>980251.4</v>
          </cell>
        </row>
        <row r="87">
          <cell r="E87">
            <v>3422537.6</v>
          </cell>
          <cell r="L87">
            <v>3265989.6</v>
          </cell>
        </row>
        <row r="88">
          <cell r="E88">
            <v>4278985.0999999996</v>
          </cell>
          <cell r="L88">
            <v>4246241</v>
          </cell>
        </row>
      </sheetData>
      <sheetData sheetId="3">
        <row r="28">
          <cell r="L28">
            <v>160755</v>
          </cell>
        </row>
        <row r="29">
          <cell r="L29">
            <v>8355</v>
          </cell>
        </row>
        <row r="30">
          <cell r="L30">
            <v>31240</v>
          </cell>
        </row>
        <row r="31">
          <cell r="L31">
            <v>224580</v>
          </cell>
        </row>
        <row r="32">
          <cell r="L32">
            <v>61705</v>
          </cell>
        </row>
        <row r="33">
          <cell r="L33">
            <v>58905</v>
          </cell>
        </row>
        <row r="34">
          <cell r="L34">
            <v>24630</v>
          </cell>
        </row>
        <row r="35">
          <cell r="L35">
            <v>24030</v>
          </cell>
        </row>
        <row r="36">
          <cell r="L36">
            <v>15690</v>
          </cell>
        </row>
        <row r="37">
          <cell r="L37">
            <v>14850</v>
          </cell>
        </row>
        <row r="38">
          <cell r="L38">
            <v>14175</v>
          </cell>
        </row>
        <row r="39">
          <cell r="L39">
            <v>13960</v>
          </cell>
        </row>
        <row r="40">
          <cell r="L40">
            <v>27000</v>
          </cell>
        </row>
        <row r="41">
          <cell r="L41">
            <v>13430</v>
          </cell>
        </row>
        <row r="42">
          <cell r="L42">
            <v>13055</v>
          </cell>
        </row>
        <row r="43">
          <cell r="L43">
            <v>12950</v>
          </cell>
        </row>
        <row r="44">
          <cell r="L44">
            <v>12860</v>
          </cell>
        </row>
        <row r="45">
          <cell r="L45">
            <v>12630</v>
          </cell>
        </row>
        <row r="46">
          <cell r="L46">
            <v>12205</v>
          </cell>
        </row>
        <row r="47">
          <cell r="L47">
            <v>11885</v>
          </cell>
        </row>
        <row r="48">
          <cell r="L48">
            <v>11795</v>
          </cell>
        </row>
        <row r="49">
          <cell r="L49">
            <v>11265</v>
          </cell>
        </row>
        <row r="50">
          <cell r="L50">
            <v>11175</v>
          </cell>
        </row>
        <row r="51">
          <cell r="L51">
            <v>32775</v>
          </cell>
        </row>
        <row r="52">
          <cell r="L52">
            <v>10250</v>
          </cell>
        </row>
        <row r="53">
          <cell r="L53">
            <v>10160</v>
          </cell>
        </row>
        <row r="54">
          <cell r="L54">
            <v>20220</v>
          </cell>
        </row>
        <row r="55">
          <cell r="L55">
            <v>10090</v>
          </cell>
        </row>
        <row r="56">
          <cell r="L56">
            <v>9985</v>
          </cell>
        </row>
        <row r="57">
          <cell r="L57">
            <v>19470</v>
          </cell>
        </row>
        <row r="58">
          <cell r="L58">
            <v>38880</v>
          </cell>
        </row>
        <row r="59">
          <cell r="L59">
            <v>30030</v>
          </cell>
        </row>
        <row r="60">
          <cell r="L60">
            <v>28965</v>
          </cell>
        </row>
        <row r="61">
          <cell r="L61">
            <v>27900</v>
          </cell>
        </row>
        <row r="62">
          <cell r="L62">
            <v>11405</v>
          </cell>
        </row>
        <row r="63">
          <cell r="L63">
            <v>13242.5</v>
          </cell>
        </row>
        <row r="64">
          <cell r="L64">
            <v>20935</v>
          </cell>
        </row>
        <row r="65">
          <cell r="L65">
            <v>23845</v>
          </cell>
        </row>
        <row r="66">
          <cell r="L66">
            <v>23210</v>
          </cell>
        </row>
        <row r="67">
          <cell r="L67">
            <v>66585</v>
          </cell>
        </row>
        <row r="68">
          <cell r="L68">
            <v>43120</v>
          </cell>
        </row>
        <row r="69">
          <cell r="L69">
            <v>20225</v>
          </cell>
        </row>
        <row r="70">
          <cell r="L70">
            <v>20000</v>
          </cell>
        </row>
        <row r="71">
          <cell r="L71">
            <v>17240</v>
          </cell>
        </row>
        <row r="72">
          <cell r="L72">
            <v>47535</v>
          </cell>
        </row>
        <row r="73">
          <cell r="L73">
            <v>15145</v>
          </cell>
        </row>
        <row r="74">
          <cell r="L74">
            <v>28890</v>
          </cell>
        </row>
        <row r="75">
          <cell r="L75">
            <v>14320</v>
          </cell>
        </row>
        <row r="76">
          <cell r="L76">
            <v>14000</v>
          </cell>
        </row>
        <row r="77">
          <cell r="L77">
            <v>13110</v>
          </cell>
        </row>
        <row r="78">
          <cell r="L78">
            <v>12985</v>
          </cell>
        </row>
        <row r="79">
          <cell r="L79">
            <v>459040</v>
          </cell>
        </row>
        <row r="80">
          <cell r="L80">
            <v>20415</v>
          </cell>
        </row>
        <row r="81">
          <cell r="L81">
            <v>49440</v>
          </cell>
        </row>
        <row r="82">
          <cell r="L82">
            <v>16160</v>
          </cell>
        </row>
        <row r="83">
          <cell r="L83">
            <v>40520</v>
          </cell>
        </row>
        <row r="84">
          <cell r="L84">
            <v>37805</v>
          </cell>
        </row>
        <row r="85">
          <cell r="L85">
            <v>30105</v>
          </cell>
        </row>
        <row r="86">
          <cell r="L86">
            <v>29655</v>
          </cell>
        </row>
        <row r="87">
          <cell r="L87">
            <v>124950</v>
          </cell>
        </row>
        <row r="88">
          <cell r="L88">
            <v>12525</v>
          </cell>
        </row>
        <row r="89">
          <cell r="L89">
            <v>20287.5</v>
          </cell>
        </row>
        <row r="90">
          <cell r="L90">
            <v>12825</v>
          </cell>
        </row>
        <row r="91">
          <cell r="L91">
            <v>21735</v>
          </cell>
        </row>
        <row r="92">
          <cell r="L92">
            <v>22365</v>
          </cell>
        </row>
        <row r="93">
          <cell r="L93">
            <v>26160</v>
          </cell>
        </row>
        <row r="94">
          <cell r="L94">
            <v>196250</v>
          </cell>
        </row>
        <row r="95">
          <cell r="L95">
            <v>55763</v>
          </cell>
        </row>
        <row r="96">
          <cell r="L96">
            <v>16500</v>
          </cell>
        </row>
        <row r="97">
          <cell r="L97">
            <v>12941</v>
          </cell>
        </row>
        <row r="98">
          <cell r="L98">
            <v>25916</v>
          </cell>
        </row>
        <row r="99">
          <cell r="L99">
            <v>5138</v>
          </cell>
        </row>
        <row r="100">
          <cell r="L100">
            <v>5589.5</v>
          </cell>
        </row>
        <row r="101">
          <cell r="L101">
            <v>6377</v>
          </cell>
        </row>
        <row r="102">
          <cell r="L102">
            <v>17535</v>
          </cell>
        </row>
        <row r="103">
          <cell r="L103">
            <v>14201.6</v>
          </cell>
        </row>
        <row r="104">
          <cell r="L104">
            <v>10143</v>
          </cell>
        </row>
        <row r="105">
          <cell r="L105">
            <v>12084</v>
          </cell>
        </row>
        <row r="106">
          <cell r="L106">
            <v>12075</v>
          </cell>
        </row>
        <row r="107">
          <cell r="L107">
            <v>3069.5</v>
          </cell>
        </row>
        <row r="108">
          <cell r="L108">
            <v>9187.5</v>
          </cell>
        </row>
      </sheetData>
      <sheetData sheetId="4">
        <row r="90">
          <cell r="E90">
            <v>2728378.5</v>
          </cell>
          <cell r="L90">
            <v>2540508.7999999998</v>
          </cell>
        </row>
        <row r="91">
          <cell r="E91">
            <v>2638173</v>
          </cell>
          <cell r="L91">
            <v>1914622.3</v>
          </cell>
        </row>
        <row r="92">
          <cell r="E92">
            <v>5366551.5</v>
          </cell>
          <cell r="L92">
            <v>4455131.0999999996</v>
          </cell>
        </row>
      </sheetData>
      <sheetData sheetId="5">
        <row r="31">
          <cell r="L31">
            <v>13700</v>
          </cell>
        </row>
        <row r="32">
          <cell r="L32">
            <v>1320000</v>
          </cell>
        </row>
        <row r="33">
          <cell r="L33">
            <v>40374</v>
          </cell>
        </row>
      </sheetData>
      <sheetData sheetId="6">
        <row r="88">
          <cell r="E88">
            <v>1057130.5</v>
          </cell>
          <cell r="L88">
            <v>1638353.25</v>
          </cell>
        </row>
        <row r="89">
          <cell r="E89">
            <v>2459062</v>
          </cell>
          <cell r="L89">
            <v>1831080</v>
          </cell>
        </row>
        <row r="90">
          <cell r="E90">
            <v>3516192.5</v>
          </cell>
          <cell r="L90">
            <v>3469433.25</v>
          </cell>
        </row>
      </sheetData>
      <sheetData sheetId="7">
        <row r="26">
          <cell r="L26">
            <v>20898</v>
          </cell>
        </row>
        <row r="27">
          <cell r="L27">
            <v>41940</v>
          </cell>
        </row>
        <row r="28">
          <cell r="L28">
            <v>38480</v>
          </cell>
        </row>
        <row r="29">
          <cell r="L29">
            <v>67986</v>
          </cell>
        </row>
        <row r="30">
          <cell r="L30">
            <v>19008</v>
          </cell>
        </row>
        <row r="31">
          <cell r="L31">
            <v>27396</v>
          </cell>
        </row>
        <row r="32">
          <cell r="L32">
            <v>132118</v>
          </cell>
        </row>
        <row r="33">
          <cell r="L33">
            <v>40821</v>
          </cell>
        </row>
        <row r="34">
          <cell r="L34">
            <v>56281</v>
          </cell>
        </row>
        <row r="35">
          <cell r="L35">
            <v>77953</v>
          </cell>
        </row>
        <row r="36">
          <cell r="L36">
            <v>38812.5</v>
          </cell>
        </row>
        <row r="37">
          <cell r="L37">
            <v>33925</v>
          </cell>
        </row>
        <row r="38">
          <cell r="L38">
            <v>56267</v>
          </cell>
        </row>
        <row r="39">
          <cell r="L39">
            <v>16914</v>
          </cell>
        </row>
        <row r="40">
          <cell r="L40">
            <v>159433.5</v>
          </cell>
        </row>
        <row r="41">
          <cell r="L41">
            <v>23287.5</v>
          </cell>
        </row>
        <row r="42">
          <cell r="L42">
            <v>5684.5</v>
          </cell>
        </row>
        <row r="43">
          <cell r="L43">
            <v>5793</v>
          </cell>
        </row>
        <row r="44">
          <cell r="L44">
            <v>10306</v>
          </cell>
        </row>
        <row r="45">
          <cell r="L45">
            <v>6916.5</v>
          </cell>
        </row>
        <row r="46">
          <cell r="L46">
            <v>0</v>
          </cell>
        </row>
        <row r="47">
          <cell r="L47">
            <v>14302</v>
          </cell>
        </row>
        <row r="48">
          <cell r="L48">
            <v>26814</v>
          </cell>
        </row>
        <row r="49">
          <cell r="L49">
            <v>5584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0</v>
          </cell>
        </row>
        <row r="55">
          <cell r="L55">
            <v>0</v>
          </cell>
        </row>
        <row r="56">
          <cell r="L56">
            <v>0</v>
          </cell>
        </row>
        <row r="57">
          <cell r="L57">
            <v>0</v>
          </cell>
        </row>
        <row r="58">
          <cell r="L58">
            <v>0</v>
          </cell>
        </row>
        <row r="59">
          <cell r="L59">
            <v>0</v>
          </cell>
        </row>
        <row r="60">
          <cell r="L60">
            <v>0</v>
          </cell>
        </row>
        <row r="61">
          <cell r="L61">
            <v>0</v>
          </cell>
        </row>
        <row r="62">
          <cell r="L62">
            <v>0</v>
          </cell>
        </row>
        <row r="63">
          <cell r="L63">
            <v>0</v>
          </cell>
        </row>
        <row r="64">
          <cell r="L64">
            <v>0</v>
          </cell>
        </row>
        <row r="65">
          <cell r="L65">
            <v>0</v>
          </cell>
        </row>
        <row r="66">
          <cell r="L66">
            <v>0</v>
          </cell>
        </row>
        <row r="67">
          <cell r="L67">
            <v>0</v>
          </cell>
        </row>
        <row r="68">
          <cell r="L68">
            <v>0</v>
          </cell>
        </row>
        <row r="69">
          <cell r="L69">
            <v>0</v>
          </cell>
        </row>
        <row r="70">
          <cell r="L70">
            <v>0</v>
          </cell>
        </row>
        <row r="71">
          <cell r="L71">
            <v>0</v>
          </cell>
        </row>
        <row r="72">
          <cell r="L72">
            <v>0</v>
          </cell>
        </row>
        <row r="73">
          <cell r="L73">
            <v>0</v>
          </cell>
        </row>
        <row r="74">
          <cell r="L74">
            <v>0</v>
          </cell>
        </row>
        <row r="75">
          <cell r="L75">
            <v>0</v>
          </cell>
        </row>
        <row r="76">
          <cell r="L76">
            <v>0</v>
          </cell>
        </row>
        <row r="77">
          <cell r="L77">
            <v>0</v>
          </cell>
        </row>
        <row r="78">
          <cell r="L78">
            <v>0</v>
          </cell>
        </row>
        <row r="79">
          <cell r="L79">
            <v>0</v>
          </cell>
        </row>
        <row r="80">
          <cell r="L80">
            <v>0</v>
          </cell>
        </row>
        <row r="81">
          <cell r="L81">
            <v>0</v>
          </cell>
        </row>
        <row r="82">
          <cell r="L82">
            <v>0</v>
          </cell>
        </row>
        <row r="83">
          <cell r="L83">
            <v>0</v>
          </cell>
        </row>
        <row r="84">
          <cell r="L84">
            <v>0</v>
          </cell>
        </row>
        <row r="85">
          <cell r="L85">
            <v>0</v>
          </cell>
        </row>
        <row r="86">
          <cell r="L86">
            <v>0</v>
          </cell>
        </row>
        <row r="87">
          <cell r="L87">
            <v>0</v>
          </cell>
        </row>
        <row r="88">
          <cell r="L88">
            <v>0</v>
          </cell>
        </row>
        <row r="89">
          <cell r="L89">
            <v>0</v>
          </cell>
        </row>
        <row r="90">
          <cell r="L90">
            <v>0</v>
          </cell>
        </row>
        <row r="91">
          <cell r="L91">
            <v>0</v>
          </cell>
        </row>
        <row r="92">
          <cell r="L92">
            <v>0</v>
          </cell>
        </row>
        <row r="93">
          <cell r="L93">
            <v>0</v>
          </cell>
        </row>
        <row r="94">
          <cell r="L94">
            <v>0</v>
          </cell>
        </row>
        <row r="95">
          <cell r="L95">
            <v>0</v>
          </cell>
        </row>
        <row r="96">
          <cell r="L96">
            <v>0</v>
          </cell>
        </row>
        <row r="97">
          <cell r="L97">
            <v>0</v>
          </cell>
        </row>
      </sheetData>
      <sheetData sheetId="8">
        <row r="88">
          <cell r="E88">
            <v>2933925.1</v>
          </cell>
          <cell r="L88">
            <v>2212646.4500000002</v>
          </cell>
        </row>
        <row r="89">
          <cell r="E89">
            <v>2513001</v>
          </cell>
          <cell r="L89">
            <v>1465422.58</v>
          </cell>
        </row>
        <row r="90">
          <cell r="E90">
            <v>5446926.0999999996</v>
          </cell>
          <cell r="L90">
            <v>3678069.0300000003</v>
          </cell>
        </row>
      </sheetData>
      <sheetData sheetId="9">
        <row r="39">
          <cell r="L39">
            <v>17944</v>
          </cell>
        </row>
        <row r="40">
          <cell r="L40">
            <v>10700</v>
          </cell>
        </row>
        <row r="41">
          <cell r="L41">
            <v>22450</v>
          </cell>
        </row>
        <row r="42">
          <cell r="L42">
            <v>22450</v>
          </cell>
        </row>
        <row r="43">
          <cell r="L43">
            <v>7020</v>
          </cell>
        </row>
        <row r="44">
          <cell r="L44">
            <v>14980</v>
          </cell>
        </row>
        <row r="45">
          <cell r="L45">
            <v>105753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102900</v>
          </cell>
        </row>
        <row r="50">
          <cell r="L50">
            <v>20175</v>
          </cell>
        </row>
        <row r="51">
          <cell r="L51">
            <v>16800</v>
          </cell>
        </row>
      </sheetData>
      <sheetData sheetId="10">
        <row r="88">
          <cell r="E88">
            <v>1926884.5</v>
          </cell>
          <cell r="L88">
            <v>1804965.7</v>
          </cell>
        </row>
        <row r="89">
          <cell r="E89">
            <v>3033333.56</v>
          </cell>
          <cell r="L89">
            <v>2628645.5600000005</v>
          </cell>
        </row>
        <row r="90">
          <cell r="E90">
            <v>4960218.0600000005</v>
          </cell>
          <cell r="L90">
            <v>4433611.2600000007</v>
          </cell>
        </row>
      </sheetData>
      <sheetData sheetId="11">
        <row r="31">
          <cell r="L31">
            <v>112000</v>
          </cell>
        </row>
        <row r="32">
          <cell r="L32">
            <v>207120</v>
          </cell>
        </row>
        <row r="33">
          <cell r="L33">
            <v>181072</v>
          </cell>
        </row>
        <row r="34">
          <cell r="L34">
            <v>22134</v>
          </cell>
        </row>
        <row r="35">
          <cell r="L35">
            <v>5790</v>
          </cell>
        </row>
        <row r="36">
          <cell r="L36">
            <v>3960</v>
          </cell>
        </row>
        <row r="37">
          <cell r="L37">
            <v>2700</v>
          </cell>
        </row>
        <row r="38">
          <cell r="L38">
            <v>2400</v>
          </cell>
        </row>
        <row r="39">
          <cell r="L39">
            <v>6900</v>
          </cell>
        </row>
        <row r="40">
          <cell r="L40">
            <v>1186444</v>
          </cell>
        </row>
      </sheetData>
      <sheetData sheetId="12">
        <row r="89">
          <cell r="E89">
            <v>1743524.5</v>
          </cell>
          <cell r="L89">
            <v>1697943.1</v>
          </cell>
        </row>
        <row r="90">
          <cell r="E90">
            <v>4079526.52</v>
          </cell>
          <cell r="L90">
            <v>3267725.16</v>
          </cell>
        </row>
        <row r="91">
          <cell r="E91">
            <v>5823051.0199999996</v>
          </cell>
          <cell r="L91">
            <v>4965668.26</v>
          </cell>
        </row>
      </sheetData>
      <sheetData sheetId="13">
        <row r="36">
          <cell r="L36">
            <v>847460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267300</v>
          </cell>
        </row>
        <row r="40">
          <cell r="L40">
            <v>98000</v>
          </cell>
        </row>
        <row r="41">
          <cell r="L41">
            <v>5200</v>
          </cell>
        </row>
        <row r="42">
          <cell r="L42">
            <v>8600</v>
          </cell>
        </row>
        <row r="43">
          <cell r="L43">
            <v>5800</v>
          </cell>
        </row>
        <row r="44">
          <cell r="L44">
            <v>0</v>
          </cell>
        </row>
        <row r="45">
          <cell r="L45">
            <v>15885</v>
          </cell>
        </row>
        <row r="46">
          <cell r="L46">
            <v>10375</v>
          </cell>
        </row>
        <row r="47">
          <cell r="L47">
            <v>12775</v>
          </cell>
        </row>
        <row r="48">
          <cell r="L48">
            <v>15250</v>
          </cell>
        </row>
        <row r="49">
          <cell r="L49">
            <v>24450</v>
          </cell>
        </row>
        <row r="50">
          <cell r="L50">
            <v>300500</v>
          </cell>
        </row>
        <row r="51">
          <cell r="L51">
            <v>305000</v>
          </cell>
        </row>
        <row r="52">
          <cell r="L52">
            <v>54000</v>
          </cell>
        </row>
        <row r="53">
          <cell r="L53">
            <v>10440</v>
          </cell>
        </row>
        <row r="54">
          <cell r="L54">
            <v>54900</v>
          </cell>
        </row>
        <row r="55">
          <cell r="L55">
            <v>43500</v>
          </cell>
        </row>
        <row r="56">
          <cell r="L56">
            <v>0</v>
          </cell>
        </row>
        <row r="57">
          <cell r="L57">
            <v>0</v>
          </cell>
        </row>
        <row r="58">
          <cell r="L58">
            <v>0</v>
          </cell>
        </row>
        <row r="59">
          <cell r="L59">
            <v>0</v>
          </cell>
        </row>
        <row r="60">
          <cell r="L60">
            <v>0</v>
          </cell>
        </row>
        <row r="61">
          <cell r="L61">
            <v>0</v>
          </cell>
        </row>
        <row r="62">
          <cell r="L62">
            <v>0</v>
          </cell>
        </row>
      </sheetData>
      <sheetData sheetId="14">
        <row r="85">
          <cell r="E85">
            <v>1765698</v>
          </cell>
          <cell r="L85">
            <v>1995322.5</v>
          </cell>
        </row>
        <row r="86">
          <cell r="E86">
            <v>2605428.5</v>
          </cell>
          <cell r="L86">
            <v>2155442.2400000002</v>
          </cell>
        </row>
        <row r="87">
          <cell r="E87">
            <v>4371126.5</v>
          </cell>
          <cell r="L87">
            <v>4150764.74</v>
          </cell>
        </row>
      </sheetData>
      <sheetData sheetId="15">
        <row r="40">
          <cell r="L40">
            <v>0</v>
          </cell>
        </row>
        <row r="41">
          <cell r="L41">
            <v>0</v>
          </cell>
        </row>
        <row r="42">
          <cell r="L42">
            <v>59040</v>
          </cell>
        </row>
        <row r="43">
          <cell r="L43">
            <v>52750</v>
          </cell>
        </row>
        <row r="44">
          <cell r="L44">
            <v>179500</v>
          </cell>
        </row>
        <row r="45">
          <cell r="L45">
            <v>114650</v>
          </cell>
        </row>
        <row r="46">
          <cell r="L46">
            <v>87300</v>
          </cell>
        </row>
        <row r="47">
          <cell r="L47">
            <v>93500</v>
          </cell>
        </row>
        <row r="48">
          <cell r="L48">
            <v>100200</v>
          </cell>
        </row>
        <row r="49">
          <cell r="L49">
            <v>51000</v>
          </cell>
        </row>
      </sheetData>
      <sheetData sheetId="16">
        <row r="89">
          <cell r="E89">
            <v>2948807.5</v>
          </cell>
          <cell r="L89">
            <v>3051944.5</v>
          </cell>
        </row>
        <row r="90">
          <cell r="E90">
            <v>2121175.27</v>
          </cell>
          <cell r="L90">
            <v>1766923.1400000001</v>
          </cell>
        </row>
        <row r="91">
          <cell r="E91">
            <v>5069982.7699999996</v>
          </cell>
          <cell r="L91">
            <v>4818867.6400000006</v>
          </cell>
        </row>
      </sheetData>
      <sheetData sheetId="17">
        <row r="44">
          <cell r="L44">
            <v>117000</v>
          </cell>
        </row>
        <row r="45">
          <cell r="L45">
            <v>360000</v>
          </cell>
        </row>
        <row r="46">
          <cell r="L46">
            <v>54200</v>
          </cell>
        </row>
      </sheetData>
      <sheetData sheetId="18">
        <row r="87">
          <cell r="E87">
            <v>2506769.1100000003</v>
          </cell>
          <cell r="L87">
            <v>2621516.6399999997</v>
          </cell>
        </row>
        <row r="88">
          <cell r="E88">
            <v>2584342.84</v>
          </cell>
          <cell r="L88">
            <v>2259016.85</v>
          </cell>
        </row>
        <row r="89">
          <cell r="E89">
            <v>5091111.95</v>
          </cell>
          <cell r="L89">
            <v>4880533.49</v>
          </cell>
        </row>
      </sheetData>
      <sheetData sheetId="19">
        <row r="132">
          <cell r="L132">
            <v>54200</v>
          </cell>
        </row>
        <row r="133">
          <cell r="L133">
            <v>198000</v>
          </cell>
        </row>
        <row r="134">
          <cell r="L134">
            <v>13140</v>
          </cell>
        </row>
        <row r="135">
          <cell r="L135">
            <v>13320</v>
          </cell>
        </row>
        <row r="136">
          <cell r="L136">
            <v>13460</v>
          </cell>
        </row>
        <row r="137">
          <cell r="L137">
            <v>24280</v>
          </cell>
        </row>
        <row r="138">
          <cell r="L138">
            <v>11000</v>
          </cell>
        </row>
        <row r="139">
          <cell r="L139">
            <v>7150</v>
          </cell>
        </row>
        <row r="140">
          <cell r="L140">
            <v>7240</v>
          </cell>
        </row>
        <row r="141">
          <cell r="L141">
            <v>7320</v>
          </cell>
        </row>
        <row r="142">
          <cell r="L142">
            <v>7060</v>
          </cell>
        </row>
        <row r="143">
          <cell r="L143">
            <v>24200</v>
          </cell>
        </row>
        <row r="144">
          <cell r="L144">
            <v>21000</v>
          </cell>
        </row>
        <row r="145">
          <cell r="L145">
            <v>27633</v>
          </cell>
        </row>
        <row r="146">
          <cell r="L146">
            <v>17856</v>
          </cell>
        </row>
        <row r="147">
          <cell r="L147">
            <v>17758</v>
          </cell>
        </row>
        <row r="148">
          <cell r="L148">
            <v>7097</v>
          </cell>
        </row>
        <row r="149">
          <cell r="L149">
            <v>6735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124080</v>
          </cell>
        </row>
        <row r="168">
          <cell r="L168">
            <v>39820</v>
          </cell>
        </row>
        <row r="169">
          <cell r="L169">
            <v>38654</v>
          </cell>
        </row>
        <row r="170">
          <cell r="L170">
            <v>37125</v>
          </cell>
        </row>
        <row r="171">
          <cell r="L171">
            <v>48400</v>
          </cell>
        </row>
        <row r="172">
          <cell r="L172">
            <v>13090</v>
          </cell>
        </row>
        <row r="173">
          <cell r="L173">
            <v>61155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</sheetData>
      <sheetData sheetId="20">
        <row r="98">
          <cell r="E98">
            <v>2903713.5</v>
          </cell>
          <cell r="L98">
            <v>3157639.35</v>
          </cell>
        </row>
        <row r="99">
          <cell r="E99">
            <v>2689116.7</v>
          </cell>
          <cell r="L99">
            <v>2480726.48</v>
          </cell>
        </row>
        <row r="100">
          <cell r="E100">
            <v>5592830.2000000002</v>
          </cell>
          <cell r="L100">
            <v>5638365.8300000001</v>
          </cell>
        </row>
      </sheetData>
      <sheetData sheetId="21">
        <row r="78">
          <cell r="L78">
            <v>34912</v>
          </cell>
        </row>
        <row r="79">
          <cell r="L79">
            <v>6539</v>
          </cell>
        </row>
        <row r="80">
          <cell r="L80">
            <v>6675</v>
          </cell>
        </row>
        <row r="81">
          <cell r="L81">
            <v>8698</v>
          </cell>
        </row>
        <row r="82">
          <cell r="L82">
            <v>9483</v>
          </cell>
        </row>
        <row r="83">
          <cell r="L83">
            <v>26637</v>
          </cell>
        </row>
        <row r="84">
          <cell r="L84">
            <v>7067</v>
          </cell>
        </row>
        <row r="85">
          <cell r="L85">
            <v>12684</v>
          </cell>
        </row>
        <row r="86">
          <cell r="L86">
            <v>8305</v>
          </cell>
        </row>
        <row r="87">
          <cell r="L87">
            <v>22650</v>
          </cell>
        </row>
        <row r="88">
          <cell r="L88">
            <v>14194</v>
          </cell>
        </row>
        <row r="89">
          <cell r="L89">
            <v>10510.5</v>
          </cell>
        </row>
        <row r="90">
          <cell r="L90">
            <v>9695</v>
          </cell>
        </row>
        <row r="91">
          <cell r="L91">
            <v>13470</v>
          </cell>
        </row>
        <row r="92">
          <cell r="L92">
            <v>18422</v>
          </cell>
        </row>
        <row r="93">
          <cell r="L93">
            <v>19026</v>
          </cell>
        </row>
        <row r="94">
          <cell r="L94">
            <v>29898</v>
          </cell>
        </row>
        <row r="95">
          <cell r="L95">
            <v>68600</v>
          </cell>
        </row>
        <row r="96">
          <cell r="L96">
            <v>100200</v>
          </cell>
        </row>
        <row r="97">
          <cell r="L97">
            <v>0</v>
          </cell>
        </row>
        <row r="98">
          <cell r="L98">
            <v>9500</v>
          </cell>
        </row>
        <row r="99">
          <cell r="L99">
            <v>10250</v>
          </cell>
        </row>
        <row r="100">
          <cell r="L100">
            <v>781000</v>
          </cell>
        </row>
      </sheetData>
      <sheetData sheetId="22">
        <row r="98">
          <cell r="E98">
            <v>4659814.2300000004</v>
          </cell>
          <cell r="L98">
            <v>4037531.43</v>
          </cell>
        </row>
        <row r="99">
          <cell r="E99">
            <v>1595719</v>
          </cell>
          <cell r="L99">
            <v>1567529.17</v>
          </cell>
        </row>
        <row r="100">
          <cell r="E100">
            <v>6255533.2300000004</v>
          </cell>
          <cell r="L100">
            <v>5605060.5999999996</v>
          </cell>
        </row>
      </sheetData>
      <sheetData sheetId="23">
        <row r="76">
          <cell r="L76">
            <v>139800</v>
          </cell>
        </row>
        <row r="77">
          <cell r="L77">
            <v>22320</v>
          </cell>
        </row>
        <row r="78">
          <cell r="L78">
            <v>18630</v>
          </cell>
        </row>
        <row r="79">
          <cell r="L79">
            <v>18346.5</v>
          </cell>
        </row>
        <row r="80">
          <cell r="L80">
            <v>21306</v>
          </cell>
        </row>
        <row r="81">
          <cell r="L81">
            <v>6110</v>
          </cell>
        </row>
        <row r="82">
          <cell r="L82">
            <v>5063.5</v>
          </cell>
        </row>
        <row r="83">
          <cell r="L83">
            <v>4511</v>
          </cell>
        </row>
        <row r="84">
          <cell r="L84">
            <v>9620</v>
          </cell>
        </row>
        <row r="85">
          <cell r="L85">
            <v>12350</v>
          </cell>
        </row>
        <row r="86">
          <cell r="L86">
            <v>9600</v>
          </cell>
        </row>
        <row r="87">
          <cell r="L87">
            <v>10590</v>
          </cell>
        </row>
        <row r="88">
          <cell r="L88">
            <v>17667</v>
          </cell>
        </row>
        <row r="89">
          <cell r="L89">
            <v>94000</v>
          </cell>
        </row>
        <row r="90">
          <cell r="L90">
            <v>50760</v>
          </cell>
        </row>
      </sheetData>
      <sheetData sheetId="24">
        <row r="87">
          <cell r="E87">
            <v>3313002</v>
          </cell>
          <cell r="L87">
            <v>3035983.65</v>
          </cell>
        </row>
        <row r="88">
          <cell r="E88">
            <v>1802943</v>
          </cell>
          <cell r="L88">
            <v>1712538.9</v>
          </cell>
        </row>
        <row r="89">
          <cell r="E89">
            <v>5115945</v>
          </cell>
          <cell r="L89">
            <v>4748522.55</v>
          </cell>
        </row>
      </sheetData>
      <sheetData sheetId="25">
        <row r="63">
          <cell r="L63">
            <v>0</v>
          </cell>
        </row>
        <row r="64">
          <cell r="L64">
            <v>7760</v>
          </cell>
        </row>
        <row r="65">
          <cell r="L65">
            <v>8654</v>
          </cell>
        </row>
        <row r="66">
          <cell r="L66">
            <v>8141</v>
          </cell>
        </row>
        <row r="67">
          <cell r="L67">
            <v>6773</v>
          </cell>
        </row>
        <row r="68">
          <cell r="L68">
            <v>5712</v>
          </cell>
        </row>
        <row r="69">
          <cell r="L69">
            <v>10248</v>
          </cell>
        </row>
        <row r="70">
          <cell r="L70">
            <v>62660</v>
          </cell>
        </row>
        <row r="71">
          <cell r="L71">
            <v>18031</v>
          </cell>
        </row>
        <row r="72">
          <cell r="L72">
            <v>22470</v>
          </cell>
        </row>
        <row r="73">
          <cell r="L73">
            <v>18972</v>
          </cell>
        </row>
        <row r="74">
          <cell r="L74">
            <v>7262</v>
          </cell>
        </row>
        <row r="75">
          <cell r="L75">
            <v>10926</v>
          </cell>
        </row>
        <row r="76">
          <cell r="L76">
            <v>15665</v>
          </cell>
        </row>
        <row r="77">
          <cell r="L77">
            <v>0</v>
          </cell>
        </row>
      </sheetData>
      <sheetData sheetId="26"/>
      <sheetData sheetId="27">
        <row r="16">
          <cell r="C16">
            <v>64063368.989999995</v>
          </cell>
          <cell r="D16">
            <v>28327954.800000001</v>
          </cell>
          <cell r="E16">
            <v>28804740.280000001</v>
          </cell>
          <cell r="F16">
            <v>1.0267643212053172</v>
          </cell>
          <cell r="G16">
            <v>35735414.189999998</v>
          </cell>
          <cell r="H16">
            <v>28081335.570000004</v>
          </cell>
          <cell r="I16">
            <v>0.80418337944206975</v>
          </cell>
          <cell r="J16">
            <v>19288061</v>
          </cell>
          <cell r="K16">
            <v>56903422.229999997</v>
          </cell>
        </row>
        <row r="19">
          <cell r="M19">
            <v>0.51445072377510959</v>
          </cell>
          <cell r="N19">
            <v>0.32634546723943331</v>
          </cell>
          <cell r="O19">
            <v>0.15920380898545708</v>
          </cell>
          <cell r="Q19">
            <v>0.90330687725741943</v>
          </cell>
        </row>
        <row r="20">
          <cell r="Q20">
            <v>4741951.8525</v>
          </cell>
        </row>
      </sheetData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январь 2016_Эпотос-К"/>
      <sheetName val="январь 2016"/>
      <sheetName val="февраль 2016_Эпотос-К"/>
      <sheetName val="февраль 2016"/>
      <sheetName val="март 2016_Эпотос-К"/>
      <sheetName val="март 2016"/>
      <sheetName val="апрель 2016_Эпотос-К"/>
      <sheetName val="апрель 2016"/>
      <sheetName val="май 2016 Эпотос-К"/>
      <sheetName val="май 2016"/>
      <sheetName val="июнь 2016 Эпотос-К"/>
      <sheetName val="июнь 2016"/>
      <sheetName val="июль 2016 Эпотос-К"/>
      <sheetName val="июль 2016"/>
      <sheetName val="август 2016 Эпотос-К"/>
      <sheetName val="август 2016"/>
      <sheetName val="сентябрь 2016 Эпотос-К"/>
      <sheetName val="сентябрь 2016"/>
      <sheetName val="октябрь 2016 Эпотос-К"/>
      <sheetName val="октябрь 2016"/>
      <sheetName val="ноябрь 2016 Эпотос-К"/>
      <sheetName val="ноябрь 2016"/>
      <sheetName val="декабрь 2016 Эпотос-К"/>
      <sheetName val="декабрь 2016"/>
      <sheetName val="обзор"/>
      <sheetName val="объёмы"/>
      <sheetName val="Лист3"/>
    </sheetNames>
    <sheetDataSet>
      <sheetData sheetId="0"/>
      <sheetData sheetId="1"/>
      <sheetData sheetId="2">
        <row r="75">
          <cell r="E75">
            <v>2081667.8</v>
          </cell>
          <cell r="L75">
            <v>2073626.5</v>
          </cell>
        </row>
        <row r="76">
          <cell r="E76">
            <v>1697494</v>
          </cell>
          <cell r="L76">
            <v>1158857</v>
          </cell>
        </row>
        <row r="77">
          <cell r="E77">
            <v>3779161.8</v>
          </cell>
          <cell r="L77">
            <v>3232483.5</v>
          </cell>
        </row>
      </sheetData>
      <sheetData sheetId="3">
        <row r="30">
          <cell r="L30">
            <v>102740</v>
          </cell>
        </row>
        <row r="31">
          <cell r="L31">
            <v>181500</v>
          </cell>
        </row>
      </sheetData>
      <sheetData sheetId="4">
        <row r="78">
          <cell r="E78">
            <v>2976868.6</v>
          </cell>
          <cell r="L78">
            <v>3106802.4000000004</v>
          </cell>
        </row>
        <row r="79">
          <cell r="E79">
            <v>2154054</v>
          </cell>
          <cell r="L79">
            <v>1322783.43</v>
          </cell>
        </row>
        <row r="80">
          <cell r="E80">
            <v>5130922.5999999996</v>
          </cell>
          <cell r="L80">
            <v>4429585.83</v>
          </cell>
        </row>
      </sheetData>
      <sheetData sheetId="5">
        <row r="33">
          <cell r="L33">
            <v>568200</v>
          </cell>
        </row>
        <row r="34">
          <cell r="L34">
            <v>0</v>
          </cell>
        </row>
        <row r="35">
          <cell r="L35">
            <v>157920</v>
          </cell>
        </row>
        <row r="36">
          <cell r="L36">
            <v>35466</v>
          </cell>
        </row>
        <row r="37">
          <cell r="L37">
            <v>11865</v>
          </cell>
        </row>
        <row r="38">
          <cell r="L38">
            <v>142800</v>
          </cell>
        </row>
        <row r="39">
          <cell r="L39">
            <v>2990</v>
          </cell>
        </row>
        <row r="40">
          <cell r="L40">
            <v>1280</v>
          </cell>
        </row>
      </sheetData>
      <sheetData sheetId="6">
        <row r="64">
          <cell r="E64">
            <v>1657413</v>
          </cell>
          <cell r="L64">
            <v>1726754.5</v>
          </cell>
        </row>
        <row r="65">
          <cell r="E65">
            <v>4290542.5</v>
          </cell>
          <cell r="L65">
            <v>2490229.8000000003</v>
          </cell>
        </row>
        <row r="66">
          <cell r="E66">
            <v>5947955.5</v>
          </cell>
          <cell r="L66">
            <v>4216984.3000000007</v>
          </cell>
        </row>
      </sheetData>
      <sheetData sheetId="7"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58900</v>
          </cell>
        </row>
        <row r="47">
          <cell r="L47">
            <v>60200</v>
          </cell>
        </row>
        <row r="48">
          <cell r="L48">
            <v>64200</v>
          </cell>
        </row>
        <row r="49">
          <cell r="L49">
            <v>456500</v>
          </cell>
        </row>
        <row r="50">
          <cell r="L50">
            <v>13937.4</v>
          </cell>
        </row>
        <row r="51">
          <cell r="L51">
            <v>9954.9</v>
          </cell>
        </row>
        <row r="52">
          <cell r="L52">
            <v>9469.7999999999993</v>
          </cell>
        </row>
        <row r="53">
          <cell r="L53">
            <v>13011.3</v>
          </cell>
        </row>
        <row r="54">
          <cell r="L54">
            <v>12165.3</v>
          </cell>
        </row>
        <row r="55">
          <cell r="L55">
            <v>44960.399999999994</v>
          </cell>
        </row>
        <row r="56">
          <cell r="L56">
            <v>13551.3</v>
          </cell>
        </row>
        <row r="57">
          <cell r="L57">
            <v>12755.7</v>
          </cell>
        </row>
        <row r="58">
          <cell r="L58">
            <v>12370.5</v>
          </cell>
        </row>
        <row r="59">
          <cell r="L59">
            <v>0</v>
          </cell>
        </row>
        <row r="60">
          <cell r="L60">
            <v>37797.300000000003</v>
          </cell>
        </row>
        <row r="61">
          <cell r="L61">
            <v>171126.9</v>
          </cell>
        </row>
        <row r="62">
          <cell r="L62">
            <v>44915.4</v>
          </cell>
        </row>
        <row r="63">
          <cell r="L63">
            <v>37099.800000000003</v>
          </cell>
        </row>
        <row r="64">
          <cell r="L64">
            <v>9834.2999999999993</v>
          </cell>
        </row>
        <row r="65">
          <cell r="L65">
            <v>0</v>
          </cell>
        </row>
        <row r="66">
          <cell r="L66">
            <v>0</v>
          </cell>
        </row>
        <row r="67">
          <cell r="L67">
            <v>293169.5</v>
          </cell>
        </row>
        <row r="68">
          <cell r="L68">
            <v>44801</v>
          </cell>
        </row>
        <row r="69">
          <cell r="L69">
            <v>0</v>
          </cell>
        </row>
        <row r="70">
          <cell r="L70">
            <v>0</v>
          </cell>
        </row>
        <row r="71">
          <cell r="L71">
            <v>0</v>
          </cell>
        </row>
        <row r="72">
          <cell r="L72">
            <v>107727.5</v>
          </cell>
        </row>
        <row r="73">
          <cell r="L73">
            <v>20320.5</v>
          </cell>
        </row>
        <row r="74">
          <cell r="L74">
            <v>0</v>
          </cell>
        </row>
        <row r="75">
          <cell r="L75">
            <v>0</v>
          </cell>
        </row>
        <row r="76">
          <cell r="L76">
            <v>0</v>
          </cell>
        </row>
        <row r="77">
          <cell r="L77">
            <v>0</v>
          </cell>
        </row>
        <row r="78">
          <cell r="L78">
            <v>0</v>
          </cell>
        </row>
        <row r="79">
          <cell r="L79">
            <v>0</v>
          </cell>
        </row>
        <row r="80">
          <cell r="L80">
            <v>0</v>
          </cell>
        </row>
        <row r="81">
          <cell r="L81">
            <v>0</v>
          </cell>
        </row>
        <row r="82">
          <cell r="L82">
            <v>0</v>
          </cell>
        </row>
        <row r="83">
          <cell r="L83">
            <v>0</v>
          </cell>
        </row>
        <row r="84">
          <cell r="L84">
            <v>0</v>
          </cell>
        </row>
        <row r="85">
          <cell r="L85">
            <v>0</v>
          </cell>
        </row>
        <row r="86">
          <cell r="L86">
            <v>0</v>
          </cell>
        </row>
        <row r="87">
          <cell r="L87">
            <v>0</v>
          </cell>
        </row>
        <row r="88">
          <cell r="L88">
            <v>0</v>
          </cell>
        </row>
        <row r="89">
          <cell r="L89">
            <v>0</v>
          </cell>
        </row>
        <row r="90">
          <cell r="L90">
            <v>0</v>
          </cell>
        </row>
      </sheetData>
      <sheetData sheetId="8">
        <row r="79">
          <cell r="E79">
            <v>1427213.5</v>
          </cell>
          <cell r="L79">
            <v>1459454</v>
          </cell>
        </row>
        <row r="80">
          <cell r="E80">
            <v>4548158.57</v>
          </cell>
          <cell r="L80">
            <v>2625190.0499999998</v>
          </cell>
        </row>
        <row r="81">
          <cell r="E81">
            <v>5975372.0700000003</v>
          </cell>
          <cell r="L81">
            <v>4084644.05</v>
          </cell>
        </row>
      </sheetData>
      <sheetData sheetId="9">
        <row r="37">
          <cell r="L37">
            <v>0</v>
          </cell>
        </row>
        <row r="38">
          <cell r="L38">
            <v>0</v>
          </cell>
        </row>
        <row r="39">
          <cell r="L39">
            <v>29947.5</v>
          </cell>
        </row>
        <row r="40">
          <cell r="L40">
            <v>28163</v>
          </cell>
        </row>
        <row r="41">
          <cell r="L41">
            <v>23534.5</v>
          </cell>
        </row>
        <row r="42">
          <cell r="L42">
            <v>23111.5</v>
          </cell>
        </row>
        <row r="43">
          <cell r="L43">
            <v>21990</v>
          </cell>
        </row>
        <row r="44">
          <cell r="L44">
            <v>51439</v>
          </cell>
        </row>
        <row r="45">
          <cell r="L45">
            <v>18268.5</v>
          </cell>
        </row>
        <row r="46">
          <cell r="L46">
            <v>25719.5</v>
          </cell>
        </row>
        <row r="47">
          <cell r="L47">
            <v>33273</v>
          </cell>
        </row>
        <row r="48">
          <cell r="L48">
            <v>34000</v>
          </cell>
        </row>
        <row r="49">
          <cell r="L49">
            <v>32000</v>
          </cell>
        </row>
        <row r="50">
          <cell r="L50">
            <v>120312</v>
          </cell>
        </row>
        <row r="51">
          <cell r="L51">
            <v>6223.5</v>
          </cell>
        </row>
        <row r="52">
          <cell r="L52">
            <v>6208.2</v>
          </cell>
        </row>
        <row r="53">
          <cell r="L53">
            <v>23558.5</v>
          </cell>
        </row>
        <row r="54">
          <cell r="L54">
            <v>21796.5</v>
          </cell>
        </row>
        <row r="55">
          <cell r="L55">
            <v>21645</v>
          </cell>
        </row>
        <row r="56">
          <cell r="L56">
            <v>21545.5</v>
          </cell>
        </row>
        <row r="57">
          <cell r="L57">
            <v>19026</v>
          </cell>
        </row>
        <row r="58">
          <cell r="L58">
            <v>18977.5</v>
          </cell>
        </row>
        <row r="59">
          <cell r="L59">
            <v>36042</v>
          </cell>
        </row>
        <row r="60">
          <cell r="L60">
            <v>16813</v>
          </cell>
        </row>
        <row r="61">
          <cell r="L61">
            <v>17668</v>
          </cell>
        </row>
        <row r="62">
          <cell r="L62">
            <v>15655</v>
          </cell>
        </row>
        <row r="63">
          <cell r="L63">
            <v>15503.5</v>
          </cell>
        </row>
        <row r="64">
          <cell r="L64">
            <v>15454</v>
          </cell>
        </row>
        <row r="65">
          <cell r="L65">
            <v>58114</v>
          </cell>
        </row>
        <row r="66">
          <cell r="L66">
            <v>298430</v>
          </cell>
        </row>
        <row r="67">
          <cell r="L67">
            <v>9901.5</v>
          </cell>
        </row>
        <row r="68">
          <cell r="L68">
            <v>28996.5</v>
          </cell>
        </row>
        <row r="69">
          <cell r="L69">
            <v>60030</v>
          </cell>
        </row>
        <row r="70">
          <cell r="L70">
            <v>30564</v>
          </cell>
        </row>
        <row r="71">
          <cell r="L71">
            <v>30384</v>
          </cell>
        </row>
        <row r="72">
          <cell r="L72">
            <v>5854</v>
          </cell>
        </row>
        <row r="73">
          <cell r="L73">
            <v>249500</v>
          </cell>
        </row>
        <row r="74">
          <cell r="L74">
            <v>0</v>
          </cell>
        </row>
        <row r="75">
          <cell r="L75">
            <v>0</v>
          </cell>
        </row>
        <row r="76">
          <cell r="L76">
            <v>0</v>
          </cell>
        </row>
        <row r="77">
          <cell r="L77">
            <v>0</v>
          </cell>
        </row>
        <row r="78">
          <cell r="L78">
            <v>9000</v>
          </cell>
        </row>
        <row r="79">
          <cell r="L79">
            <v>22000</v>
          </cell>
        </row>
        <row r="80">
          <cell r="L80">
            <v>34000</v>
          </cell>
        </row>
        <row r="81">
          <cell r="L81">
            <v>11200</v>
          </cell>
        </row>
        <row r="82">
          <cell r="L82">
            <v>71400</v>
          </cell>
        </row>
        <row r="83">
          <cell r="L83">
            <v>8007</v>
          </cell>
        </row>
        <row r="84">
          <cell r="L84">
            <v>7775</v>
          </cell>
        </row>
        <row r="85">
          <cell r="L85">
            <v>8094</v>
          </cell>
        </row>
        <row r="86">
          <cell r="L86">
            <v>24352</v>
          </cell>
        </row>
        <row r="87">
          <cell r="L87">
            <v>7096</v>
          </cell>
        </row>
        <row r="88">
          <cell r="L88">
            <v>0</v>
          </cell>
        </row>
        <row r="89">
          <cell r="L89">
            <v>47700</v>
          </cell>
        </row>
        <row r="90">
          <cell r="L90">
            <v>147000</v>
          </cell>
        </row>
      </sheetData>
      <sheetData sheetId="10">
        <row r="72">
          <cell r="E72">
            <v>1983746.6800000002</v>
          </cell>
          <cell r="L72">
            <v>2341350.1800000002</v>
          </cell>
        </row>
        <row r="73">
          <cell r="E73">
            <v>1973629.5</v>
          </cell>
          <cell r="L73">
            <v>1815395.4</v>
          </cell>
        </row>
        <row r="74">
          <cell r="E74">
            <v>3957376.18</v>
          </cell>
          <cell r="L74">
            <v>4156745.58</v>
          </cell>
        </row>
      </sheetData>
      <sheetData sheetId="11">
        <row r="25">
          <cell r="L25">
            <v>235000</v>
          </cell>
        </row>
        <row r="26">
          <cell r="L26">
            <v>68700</v>
          </cell>
        </row>
        <row r="27">
          <cell r="L27">
            <v>0</v>
          </cell>
        </row>
        <row r="28">
          <cell r="L28">
            <v>9000</v>
          </cell>
        </row>
        <row r="29">
          <cell r="L29">
            <v>267000</v>
          </cell>
        </row>
        <row r="30">
          <cell r="L30">
            <v>99600</v>
          </cell>
        </row>
        <row r="31">
          <cell r="L31">
            <v>453700</v>
          </cell>
        </row>
        <row r="32">
          <cell r="L32">
            <v>32883</v>
          </cell>
        </row>
        <row r="33">
          <cell r="L33">
            <v>37726.5</v>
          </cell>
        </row>
      </sheetData>
      <sheetData sheetId="12">
        <row r="71">
          <cell r="E71">
            <v>2322991.2199999997</v>
          </cell>
          <cell r="L71">
            <v>2494416.25</v>
          </cell>
        </row>
        <row r="72">
          <cell r="E72">
            <v>2207242.02</v>
          </cell>
          <cell r="L72">
            <v>2011042.42</v>
          </cell>
        </row>
        <row r="73">
          <cell r="E73">
            <v>4530233.24</v>
          </cell>
          <cell r="L73">
            <v>4505458.67</v>
          </cell>
        </row>
      </sheetData>
      <sheetData sheetId="13">
        <row r="22">
          <cell r="L22">
            <v>673200</v>
          </cell>
        </row>
        <row r="23">
          <cell r="L23">
            <v>0</v>
          </cell>
        </row>
        <row r="24">
          <cell r="L24">
            <v>38430</v>
          </cell>
        </row>
        <row r="25">
          <cell r="L25">
            <v>210932</v>
          </cell>
        </row>
        <row r="26">
          <cell r="L26">
            <v>192882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31065</v>
          </cell>
        </row>
        <row r="31">
          <cell r="L31">
            <v>20630</v>
          </cell>
        </row>
        <row r="32">
          <cell r="L32">
            <v>73401</v>
          </cell>
        </row>
        <row r="33">
          <cell r="L33">
            <v>47424</v>
          </cell>
        </row>
        <row r="34">
          <cell r="L34">
            <v>13898.5</v>
          </cell>
        </row>
        <row r="35">
          <cell r="L35">
            <v>32586</v>
          </cell>
        </row>
        <row r="36">
          <cell r="L36">
            <v>7989</v>
          </cell>
        </row>
        <row r="37">
          <cell r="L37">
            <v>12785</v>
          </cell>
        </row>
        <row r="38">
          <cell r="L38">
            <v>15988</v>
          </cell>
        </row>
        <row r="39">
          <cell r="L39">
            <v>20460</v>
          </cell>
        </row>
        <row r="40">
          <cell r="L40">
            <v>43488</v>
          </cell>
        </row>
        <row r="41">
          <cell r="L41">
            <v>10290</v>
          </cell>
        </row>
        <row r="42">
          <cell r="L42">
            <v>10588</v>
          </cell>
        </row>
        <row r="43">
          <cell r="L43">
            <v>10786</v>
          </cell>
        </row>
        <row r="44">
          <cell r="L44">
            <v>12054</v>
          </cell>
        </row>
        <row r="45">
          <cell r="L45">
            <v>14020</v>
          </cell>
        </row>
        <row r="46">
          <cell r="L46">
            <v>21148</v>
          </cell>
        </row>
        <row r="47">
          <cell r="L47">
            <v>11306</v>
          </cell>
        </row>
        <row r="48">
          <cell r="L48">
            <v>21372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9504</v>
          </cell>
        </row>
        <row r="52">
          <cell r="L52">
            <v>11064</v>
          </cell>
        </row>
      </sheetData>
      <sheetData sheetId="14">
        <row r="79">
          <cell r="E79">
            <v>2886920.8</v>
          </cell>
          <cell r="L79">
            <v>2366265.1</v>
          </cell>
        </row>
        <row r="80">
          <cell r="E80">
            <v>4483241.87</v>
          </cell>
          <cell r="L80">
            <v>3629355.74</v>
          </cell>
        </row>
        <row r="81">
          <cell r="E81">
            <v>7370162.6699999999</v>
          </cell>
          <cell r="L81">
            <v>5995620.8399999999</v>
          </cell>
        </row>
      </sheetData>
      <sheetData sheetId="15">
        <row r="25">
          <cell r="L25">
            <v>0</v>
          </cell>
        </row>
        <row r="26">
          <cell r="L26">
            <v>82960</v>
          </cell>
        </row>
        <row r="27">
          <cell r="L27">
            <v>104555.5</v>
          </cell>
        </row>
        <row r="28">
          <cell r="L28">
            <v>0</v>
          </cell>
        </row>
        <row r="29">
          <cell r="L29">
            <v>10355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205785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36754</v>
          </cell>
        </row>
        <row r="47">
          <cell r="L47">
            <v>177984</v>
          </cell>
        </row>
        <row r="48">
          <cell r="L48">
            <v>15065.5</v>
          </cell>
        </row>
        <row r="49">
          <cell r="L49">
            <v>12829</v>
          </cell>
        </row>
        <row r="50">
          <cell r="L50">
            <v>0</v>
          </cell>
        </row>
        <row r="51">
          <cell r="L51">
            <v>133488</v>
          </cell>
        </row>
        <row r="52">
          <cell r="L52">
            <v>18644.5</v>
          </cell>
        </row>
        <row r="53">
          <cell r="L53">
            <v>0</v>
          </cell>
        </row>
        <row r="54">
          <cell r="L54">
            <v>49573</v>
          </cell>
        </row>
        <row r="55">
          <cell r="L55">
            <v>85812.5</v>
          </cell>
        </row>
        <row r="56">
          <cell r="L56">
            <v>0</v>
          </cell>
        </row>
        <row r="57">
          <cell r="L57">
            <v>629552</v>
          </cell>
        </row>
        <row r="58">
          <cell r="L58">
            <v>96306</v>
          </cell>
        </row>
        <row r="59">
          <cell r="L59">
            <v>3346.5</v>
          </cell>
        </row>
        <row r="60">
          <cell r="L60">
            <v>0</v>
          </cell>
        </row>
        <row r="61">
          <cell r="L61">
            <v>0</v>
          </cell>
        </row>
        <row r="62">
          <cell r="L62">
            <v>0</v>
          </cell>
        </row>
        <row r="63">
          <cell r="L63">
            <v>5935</v>
          </cell>
        </row>
        <row r="64">
          <cell r="L64">
            <v>15850.5</v>
          </cell>
        </row>
        <row r="65">
          <cell r="L65">
            <v>102784</v>
          </cell>
        </row>
        <row r="66">
          <cell r="L66">
            <v>660000</v>
          </cell>
        </row>
        <row r="67">
          <cell r="L67">
            <v>88500</v>
          </cell>
        </row>
        <row r="68">
          <cell r="L68">
            <v>11532.5</v>
          </cell>
        </row>
        <row r="69">
          <cell r="L69">
            <v>5467.5</v>
          </cell>
        </row>
        <row r="70">
          <cell r="L70">
            <v>2661</v>
          </cell>
        </row>
        <row r="71">
          <cell r="L71">
            <v>5313</v>
          </cell>
        </row>
        <row r="72">
          <cell r="L72">
            <v>321540</v>
          </cell>
        </row>
      </sheetData>
      <sheetData sheetId="16">
        <row r="81">
          <cell r="E81">
            <v>2984491.6</v>
          </cell>
          <cell r="L81">
            <v>2314954.6</v>
          </cell>
        </row>
        <row r="82">
          <cell r="E82">
            <v>4026222.3100000005</v>
          </cell>
          <cell r="L82">
            <v>3435300.6900000004</v>
          </cell>
        </row>
        <row r="83">
          <cell r="E83">
            <v>7010713.9100000001</v>
          </cell>
          <cell r="L83">
            <v>5750255.290000001</v>
          </cell>
        </row>
      </sheetData>
      <sheetData sheetId="17">
        <row r="33">
          <cell r="L33">
            <v>153000</v>
          </cell>
        </row>
        <row r="34">
          <cell r="L34">
            <v>125463</v>
          </cell>
        </row>
        <row r="35">
          <cell r="L35">
            <v>20710</v>
          </cell>
        </row>
        <row r="36">
          <cell r="L36">
            <v>0</v>
          </cell>
        </row>
        <row r="37">
          <cell r="L37">
            <v>237000</v>
          </cell>
        </row>
        <row r="38">
          <cell r="L38">
            <v>2086</v>
          </cell>
        </row>
        <row r="39">
          <cell r="L39">
            <v>1413</v>
          </cell>
        </row>
        <row r="40">
          <cell r="L40">
            <v>6396</v>
          </cell>
        </row>
        <row r="41">
          <cell r="L41">
            <v>4288</v>
          </cell>
        </row>
        <row r="42">
          <cell r="L42">
            <v>1194</v>
          </cell>
        </row>
        <row r="43">
          <cell r="L43">
            <v>985</v>
          </cell>
        </row>
        <row r="44">
          <cell r="L44">
            <v>1384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681345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1078210</v>
          </cell>
        </row>
        <row r="55">
          <cell r="L55">
            <v>0</v>
          </cell>
        </row>
        <row r="56">
          <cell r="L56">
            <v>0</v>
          </cell>
        </row>
        <row r="57">
          <cell r="L57">
            <v>0</v>
          </cell>
        </row>
        <row r="58">
          <cell r="L58">
            <v>33201</v>
          </cell>
        </row>
        <row r="59">
          <cell r="L59">
            <v>52615</v>
          </cell>
        </row>
        <row r="60">
          <cell r="L60">
            <v>50853</v>
          </cell>
        </row>
        <row r="61">
          <cell r="L61">
            <v>45343.5</v>
          </cell>
        </row>
        <row r="62">
          <cell r="L62">
            <v>49475.5</v>
          </cell>
        </row>
        <row r="63">
          <cell r="L63">
            <v>45832</v>
          </cell>
        </row>
        <row r="64">
          <cell r="L64">
            <v>34175.5</v>
          </cell>
        </row>
        <row r="65">
          <cell r="L65">
            <v>19600</v>
          </cell>
        </row>
        <row r="66">
          <cell r="L66">
            <v>0</v>
          </cell>
        </row>
        <row r="67">
          <cell r="L67">
            <v>0</v>
          </cell>
        </row>
        <row r="68">
          <cell r="L68">
            <v>0</v>
          </cell>
        </row>
      </sheetData>
      <sheetData sheetId="18">
        <row r="83">
          <cell r="E83">
            <v>2550922.2000000002</v>
          </cell>
          <cell r="L83">
            <v>2542865</v>
          </cell>
        </row>
        <row r="84">
          <cell r="E84">
            <v>3239322.52</v>
          </cell>
          <cell r="L84">
            <v>2867355.9400000004</v>
          </cell>
        </row>
        <row r="85">
          <cell r="E85">
            <v>5790244.7200000007</v>
          </cell>
          <cell r="L85">
            <v>5410220.9400000004</v>
          </cell>
        </row>
      </sheetData>
      <sheetData sheetId="19">
        <row r="52">
          <cell r="L52">
            <v>180350</v>
          </cell>
        </row>
        <row r="53">
          <cell r="L53">
            <v>594490</v>
          </cell>
        </row>
        <row r="54">
          <cell r="L54">
            <v>0</v>
          </cell>
        </row>
        <row r="55">
          <cell r="L55">
            <v>0</v>
          </cell>
        </row>
        <row r="56">
          <cell r="L56">
            <v>49661</v>
          </cell>
        </row>
        <row r="57">
          <cell r="L57">
            <v>0</v>
          </cell>
        </row>
        <row r="58">
          <cell r="L58">
            <v>0</v>
          </cell>
        </row>
        <row r="59">
          <cell r="L59">
            <v>18934.5</v>
          </cell>
        </row>
        <row r="60">
          <cell r="L60">
            <v>0</v>
          </cell>
        </row>
        <row r="61">
          <cell r="L61">
            <v>54464</v>
          </cell>
        </row>
        <row r="62">
          <cell r="L62">
            <v>0</v>
          </cell>
        </row>
        <row r="63">
          <cell r="L63">
            <v>60864</v>
          </cell>
        </row>
        <row r="64">
          <cell r="L64">
            <v>55042</v>
          </cell>
        </row>
        <row r="65">
          <cell r="L65">
            <v>77538</v>
          </cell>
        </row>
        <row r="66">
          <cell r="L66">
            <v>66792</v>
          </cell>
        </row>
        <row r="67">
          <cell r="L67">
            <v>57390</v>
          </cell>
        </row>
        <row r="68">
          <cell r="L68">
            <v>5562</v>
          </cell>
        </row>
        <row r="69">
          <cell r="L69">
            <v>534000</v>
          </cell>
        </row>
        <row r="70">
          <cell r="L70">
            <v>98000</v>
          </cell>
        </row>
        <row r="71">
          <cell r="L71">
            <v>7232</v>
          </cell>
        </row>
        <row r="72">
          <cell r="L72">
            <v>3754</v>
          </cell>
        </row>
        <row r="73">
          <cell r="L73">
            <v>116124</v>
          </cell>
        </row>
      </sheetData>
      <sheetData sheetId="20">
        <row r="88">
          <cell r="E88">
            <v>2681845.5</v>
          </cell>
          <cell r="L88">
            <v>2975330.8000000003</v>
          </cell>
        </row>
        <row r="89">
          <cell r="E89">
            <v>2258123.5</v>
          </cell>
          <cell r="L89">
            <v>2019770</v>
          </cell>
        </row>
        <row r="90">
          <cell r="E90">
            <v>4939969</v>
          </cell>
        </row>
        <row r="93">
          <cell r="L93">
            <v>5012447.1800000006</v>
          </cell>
        </row>
      </sheetData>
      <sheetData sheetId="21">
        <row r="33">
          <cell r="L33">
            <v>68595</v>
          </cell>
        </row>
        <row r="34">
          <cell r="L34">
            <v>22048</v>
          </cell>
        </row>
        <row r="35">
          <cell r="L35">
            <v>21844.5</v>
          </cell>
        </row>
        <row r="36">
          <cell r="L36">
            <v>45423</v>
          </cell>
        </row>
        <row r="37">
          <cell r="L37">
            <v>16178</v>
          </cell>
        </row>
        <row r="38">
          <cell r="L38">
            <v>21690.5</v>
          </cell>
        </row>
        <row r="39">
          <cell r="L39">
            <v>33480</v>
          </cell>
        </row>
        <row r="40">
          <cell r="L40">
            <v>281325</v>
          </cell>
        </row>
        <row r="41">
          <cell r="L41">
            <v>0</v>
          </cell>
        </row>
        <row r="42">
          <cell r="L42">
            <v>54750</v>
          </cell>
        </row>
        <row r="43">
          <cell r="L43">
            <v>2595</v>
          </cell>
        </row>
        <row r="44">
          <cell r="L44">
            <v>3248</v>
          </cell>
        </row>
        <row r="45">
          <cell r="L45">
            <v>3752</v>
          </cell>
        </row>
        <row r="46">
          <cell r="L46">
            <v>50860.5</v>
          </cell>
        </row>
        <row r="47">
          <cell r="L47">
            <v>135580</v>
          </cell>
        </row>
        <row r="48">
          <cell r="L48">
            <v>14104</v>
          </cell>
        </row>
        <row r="49">
          <cell r="L49">
            <v>190200</v>
          </cell>
        </row>
        <row r="50">
          <cell r="L50">
            <v>83700</v>
          </cell>
        </row>
      </sheetData>
      <sheetData sheetId="22">
        <row r="86">
          <cell r="E86">
            <v>2546736.9</v>
          </cell>
          <cell r="L86">
            <v>2921823.05</v>
          </cell>
        </row>
        <row r="87">
          <cell r="E87">
            <v>1791548.4000000001</v>
          </cell>
          <cell r="L87">
            <v>1670257.1</v>
          </cell>
        </row>
        <row r="88">
          <cell r="E88">
            <v>4338285.3</v>
          </cell>
          <cell r="L88">
            <v>4592080.1500000004</v>
          </cell>
        </row>
      </sheetData>
      <sheetData sheetId="23">
        <row r="38">
          <cell r="L38">
            <v>159247</v>
          </cell>
        </row>
        <row r="39">
          <cell r="L39">
            <v>49700</v>
          </cell>
        </row>
        <row r="40">
          <cell r="L40">
            <v>36770</v>
          </cell>
        </row>
        <row r="41">
          <cell r="L41">
            <v>26550</v>
          </cell>
        </row>
        <row r="42">
          <cell r="L42">
            <v>7658</v>
          </cell>
        </row>
        <row r="43">
          <cell r="L43">
            <v>0</v>
          </cell>
        </row>
        <row r="44">
          <cell r="L44">
            <v>13000</v>
          </cell>
        </row>
        <row r="45">
          <cell r="L45">
            <v>165000</v>
          </cell>
        </row>
        <row r="46">
          <cell r="L46">
            <v>148500</v>
          </cell>
        </row>
        <row r="47">
          <cell r="L47">
            <v>411800</v>
          </cell>
        </row>
        <row r="48">
          <cell r="L48">
            <v>0</v>
          </cell>
        </row>
      </sheetData>
      <sheetData sheetId="24">
        <row r="83">
          <cell r="E83">
            <v>2227137</v>
          </cell>
          <cell r="L83">
            <v>2481097.9</v>
          </cell>
        </row>
        <row r="84">
          <cell r="E84">
            <v>3065835</v>
          </cell>
          <cell r="L84">
            <v>3035798</v>
          </cell>
        </row>
        <row r="85">
          <cell r="E85">
            <v>5292972</v>
          </cell>
          <cell r="L85">
            <v>5516895.9000000004</v>
          </cell>
        </row>
      </sheetData>
      <sheetData sheetId="25">
        <row r="32">
          <cell r="L32">
            <v>79968</v>
          </cell>
        </row>
        <row r="33">
          <cell r="L33">
            <v>70000</v>
          </cell>
        </row>
        <row r="34">
          <cell r="L34">
            <v>10309</v>
          </cell>
        </row>
        <row r="35">
          <cell r="L35">
            <v>9267</v>
          </cell>
        </row>
        <row r="36">
          <cell r="L36">
            <v>13314</v>
          </cell>
        </row>
        <row r="37">
          <cell r="L37">
            <v>138575</v>
          </cell>
        </row>
        <row r="38">
          <cell r="L38">
            <v>16191</v>
          </cell>
        </row>
        <row r="39">
          <cell r="L39">
            <v>48130</v>
          </cell>
        </row>
        <row r="40">
          <cell r="L40">
            <v>40825</v>
          </cell>
        </row>
        <row r="41">
          <cell r="L41">
            <v>33525</v>
          </cell>
        </row>
        <row r="42">
          <cell r="L42">
            <v>30605</v>
          </cell>
        </row>
        <row r="43">
          <cell r="L43">
            <v>58290</v>
          </cell>
        </row>
        <row r="44">
          <cell r="L44">
            <v>28405</v>
          </cell>
        </row>
        <row r="45">
          <cell r="L45">
            <v>55370</v>
          </cell>
        </row>
        <row r="46">
          <cell r="L46">
            <v>5110</v>
          </cell>
        </row>
        <row r="47">
          <cell r="L47">
            <v>4917</v>
          </cell>
        </row>
        <row r="48">
          <cell r="L48">
            <v>129167.5</v>
          </cell>
        </row>
        <row r="49">
          <cell r="L49">
            <v>23023</v>
          </cell>
        </row>
        <row r="50">
          <cell r="L50">
            <v>28810</v>
          </cell>
        </row>
        <row r="51">
          <cell r="L51">
            <v>37087.5</v>
          </cell>
        </row>
        <row r="52">
          <cell r="L52">
            <v>44530</v>
          </cell>
        </row>
        <row r="53">
          <cell r="L53">
            <v>64350</v>
          </cell>
        </row>
        <row r="54">
          <cell r="L54">
            <v>8414</v>
          </cell>
        </row>
        <row r="55">
          <cell r="L55">
            <v>4030</v>
          </cell>
        </row>
        <row r="56">
          <cell r="L56">
            <v>3954</v>
          </cell>
        </row>
        <row r="57">
          <cell r="L57">
            <v>3703</v>
          </cell>
        </row>
        <row r="58">
          <cell r="L58">
            <v>33855</v>
          </cell>
        </row>
        <row r="59">
          <cell r="L59">
            <v>129440</v>
          </cell>
        </row>
        <row r="60">
          <cell r="L60">
            <v>18540</v>
          </cell>
        </row>
        <row r="61">
          <cell r="L61">
            <v>247225</v>
          </cell>
        </row>
        <row r="62">
          <cell r="L62">
            <v>52108</v>
          </cell>
        </row>
        <row r="63">
          <cell r="L63">
            <v>8643</v>
          </cell>
        </row>
        <row r="64">
          <cell r="L64">
            <v>69020</v>
          </cell>
        </row>
        <row r="65">
          <cell r="L65">
            <v>15792</v>
          </cell>
        </row>
        <row r="66">
          <cell r="L66">
            <v>93500</v>
          </cell>
        </row>
        <row r="67">
          <cell r="L67">
            <v>15299</v>
          </cell>
        </row>
        <row r="68">
          <cell r="L68">
            <v>15432</v>
          </cell>
        </row>
        <row r="69">
          <cell r="L69">
            <v>20042.5</v>
          </cell>
        </row>
        <row r="70">
          <cell r="L70">
            <v>9765</v>
          </cell>
        </row>
        <row r="71">
          <cell r="L71">
            <v>7010</v>
          </cell>
        </row>
        <row r="72">
          <cell r="L72">
            <v>10310</v>
          </cell>
        </row>
        <row r="73">
          <cell r="L73">
            <v>15473.5</v>
          </cell>
        </row>
        <row r="74">
          <cell r="L74">
            <v>10359</v>
          </cell>
        </row>
        <row r="75">
          <cell r="L75">
            <v>12618</v>
          </cell>
        </row>
        <row r="76">
          <cell r="L76">
            <v>4085.5</v>
          </cell>
        </row>
        <row r="77">
          <cell r="L77">
            <v>2353.5</v>
          </cell>
        </row>
        <row r="78">
          <cell r="L78">
            <v>7588</v>
          </cell>
        </row>
        <row r="79">
          <cell r="L79">
            <v>2478</v>
          </cell>
        </row>
        <row r="80">
          <cell r="L80">
            <v>3027</v>
          </cell>
        </row>
        <row r="81">
          <cell r="L81">
            <v>2013</v>
          </cell>
        </row>
        <row r="82">
          <cell r="L82">
            <v>3027</v>
          </cell>
        </row>
        <row r="83">
          <cell r="L83">
            <v>1114.5</v>
          </cell>
        </row>
        <row r="84">
          <cell r="L84">
            <v>4956</v>
          </cell>
        </row>
        <row r="85">
          <cell r="L85">
            <v>2461</v>
          </cell>
        </row>
        <row r="86">
          <cell r="L86">
            <v>6182.5</v>
          </cell>
        </row>
        <row r="87">
          <cell r="L87">
            <v>1114.5</v>
          </cell>
        </row>
        <row r="88">
          <cell r="L88">
            <v>4026</v>
          </cell>
        </row>
        <row r="89">
          <cell r="L89">
            <v>845.5</v>
          </cell>
        </row>
        <row r="90">
          <cell r="L90">
            <v>8395</v>
          </cell>
        </row>
        <row r="91">
          <cell r="L91">
            <v>31747.5</v>
          </cell>
        </row>
        <row r="92">
          <cell r="L92">
            <v>12676</v>
          </cell>
        </row>
        <row r="93">
          <cell r="L93">
            <v>26000</v>
          </cell>
        </row>
        <row r="94">
          <cell r="L94">
            <v>40000</v>
          </cell>
        </row>
        <row r="95">
          <cell r="L95">
            <v>17000</v>
          </cell>
        </row>
        <row r="96">
          <cell r="L96">
            <v>18050</v>
          </cell>
        </row>
        <row r="97">
          <cell r="L97">
            <v>50786</v>
          </cell>
        </row>
        <row r="98">
          <cell r="L98">
            <v>41676</v>
          </cell>
        </row>
        <row r="99">
          <cell r="L99">
            <v>46379.5</v>
          </cell>
        </row>
        <row r="100">
          <cell r="L100">
            <v>65886</v>
          </cell>
        </row>
        <row r="101">
          <cell r="L101">
            <v>63219</v>
          </cell>
        </row>
        <row r="102">
          <cell r="L102">
            <v>21145.5</v>
          </cell>
        </row>
        <row r="103">
          <cell r="L103">
            <v>20464.5</v>
          </cell>
        </row>
        <row r="104">
          <cell r="L104">
            <v>0</v>
          </cell>
        </row>
        <row r="105">
          <cell r="L105">
            <v>0</v>
          </cell>
        </row>
        <row r="106">
          <cell r="L106">
            <v>26400</v>
          </cell>
        </row>
        <row r="107">
          <cell r="L107">
            <v>12000</v>
          </cell>
        </row>
      </sheetData>
      <sheetData sheetId="26"/>
      <sheetData sheetId="27"/>
      <sheetData sheetId="28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6.xml"/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63" Type="http://schemas.openxmlformats.org/officeDocument/2006/relationships/revisionLog" Target="revisionLog63.xml"/><Relationship Id="rId84" Type="http://schemas.openxmlformats.org/officeDocument/2006/relationships/revisionLog" Target="revisionLog84.xml"/><Relationship Id="rId47" Type="http://schemas.openxmlformats.org/officeDocument/2006/relationships/revisionLog" Target="revisionLog47.xml"/><Relationship Id="rId68" Type="http://schemas.openxmlformats.org/officeDocument/2006/relationships/revisionLog" Target="revisionLog68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1.xml"/><Relationship Id="rId133" Type="http://schemas.openxmlformats.org/officeDocument/2006/relationships/revisionLog" Target="revisionLog133.xml"/><Relationship Id="rId138" Type="http://schemas.openxmlformats.org/officeDocument/2006/relationships/revisionLog" Target="revisionLog138.xml"/><Relationship Id="rId16" Type="http://schemas.openxmlformats.org/officeDocument/2006/relationships/revisionLog" Target="revisionLog16.xml"/><Relationship Id="rId107" Type="http://schemas.openxmlformats.org/officeDocument/2006/relationships/revisionLog" Target="revisionLog107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23" Type="http://schemas.openxmlformats.org/officeDocument/2006/relationships/revisionLog" Target="revisionLog122.xml"/><Relationship Id="rId128" Type="http://schemas.openxmlformats.org/officeDocument/2006/relationships/revisionLog" Target="revisionLog127.xml"/><Relationship Id="rId5" Type="http://schemas.openxmlformats.org/officeDocument/2006/relationships/revisionLog" Target="revisionLog5.xml"/><Relationship Id="rId90" Type="http://schemas.openxmlformats.org/officeDocument/2006/relationships/revisionLog" Target="revisionLog90.xml"/><Relationship Id="rId95" Type="http://schemas.openxmlformats.org/officeDocument/2006/relationships/revisionLog" Target="revisionLog95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2.xml"/><Relationship Id="rId118" Type="http://schemas.openxmlformats.org/officeDocument/2006/relationships/revisionLog" Target="revisionLog117.xml"/><Relationship Id="rId134" Type="http://schemas.openxmlformats.org/officeDocument/2006/relationships/revisionLog" Target="revisionLog134.xml"/><Relationship Id="rId14" Type="http://schemas.openxmlformats.org/officeDocument/2006/relationships/revisionLog" Target="revisionLog14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125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0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08" Type="http://schemas.openxmlformats.org/officeDocument/2006/relationships/revisionLog" Target="revisionLog108.xml"/><Relationship Id="rId124" Type="http://schemas.openxmlformats.org/officeDocument/2006/relationships/revisionLog" Target="revisionLog123.xml"/><Relationship Id="rId129" Type="http://schemas.openxmlformats.org/officeDocument/2006/relationships/revisionLog" Target="revisionLog128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116" Type="http://schemas.openxmlformats.org/officeDocument/2006/relationships/revisionLog" Target="revisionLog115.xml"/><Relationship Id="rId137" Type="http://schemas.openxmlformats.org/officeDocument/2006/relationships/revisionLog" Target="revisionLog137.xml"/><Relationship Id="rId54" Type="http://schemas.openxmlformats.org/officeDocument/2006/relationships/revisionLog" Target="revisionLog54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.xml"/><Relationship Id="rId132" Type="http://schemas.openxmlformats.org/officeDocument/2006/relationships/revisionLog" Target="revisionLog132.xml"/><Relationship Id="rId1" Type="http://schemas.openxmlformats.org/officeDocument/2006/relationships/revisionLog" Target="revisionLog13.xml"/><Relationship Id="rId6" Type="http://schemas.openxmlformats.org/officeDocument/2006/relationships/revisionLog" Target="revisionLog6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3.xml"/><Relationship Id="rId119" Type="http://schemas.openxmlformats.org/officeDocument/2006/relationships/revisionLog" Target="revisionLog118.xml"/><Relationship Id="rId15" Type="http://schemas.openxmlformats.org/officeDocument/2006/relationships/revisionLog" Target="revisionLog15.xml"/><Relationship Id="rId36" Type="http://schemas.openxmlformats.org/officeDocument/2006/relationships/revisionLog" Target="revisionLog36.xml"/><Relationship Id="rId57" Type="http://schemas.openxmlformats.org/officeDocument/2006/relationships/revisionLog" Target="revisionLog57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126.xml"/><Relationship Id="rId44" Type="http://schemas.openxmlformats.org/officeDocument/2006/relationships/revisionLog" Target="revisionLog44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130" Type="http://schemas.openxmlformats.org/officeDocument/2006/relationships/revisionLog" Target="revisionLog129.xml"/><Relationship Id="rId135" Type="http://schemas.openxmlformats.org/officeDocument/2006/relationships/revisionLog" Target="revisionLog135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94" Type="http://schemas.openxmlformats.org/officeDocument/2006/relationships/revisionLog" Target="revisionLog94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122" Type="http://schemas.openxmlformats.org/officeDocument/2006/relationships/revisionLog" Target="revisionLog12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1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109" Type="http://schemas.openxmlformats.org/officeDocument/2006/relationships/revisionLog" Target="revisionLog10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04" Type="http://schemas.openxmlformats.org/officeDocument/2006/relationships/revisionLog" Target="revisionLog104.xml"/><Relationship Id="rId120" Type="http://schemas.openxmlformats.org/officeDocument/2006/relationships/revisionLog" Target="revisionLog119.xml"/><Relationship Id="rId125" Type="http://schemas.openxmlformats.org/officeDocument/2006/relationships/revisionLog" Target="revisionLog124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15" Type="http://schemas.openxmlformats.org/officeDocument/2006/relationships/revisionLog" Target="revisionLog114.xml"/><Relationship Id="rId131" Type="http://schemas.openxmlformats.org/officeDocument/2006/relationships/revisionLog" Target="revisionLog130.xml"/><Relationship Id="rId136" Type="http://schemas.openxmlformats.org/officeDocument/2006/relationships/revisionLog" Target="revisionLog136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" Type="http://schemas.openxmlformats.org/officeDocument/2006/relationships/revisionLog" Target="revisionLog1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E5026B8-C859-4A94-8DFA-A833D5706B46}" diskRevisions="1" revisionId="3592" version="41" preserveHistory="360">
  <header guid="{9F73E040-CF40-4A4E-9477-5ED468A852FC}" dateTime="2019-06-03T06:57:53" maxSheetId="20" userName="VVV" r:id="rId1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F6B515BA-BB18-45DE-9F1B-17920DA3949D}" dateTime="2019-06-03T07:18:05" maxSheetId="20" userName="VVV" r:id="rId2" minRId="1" maxRId="18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88E832E2-B0FC-40EA-AFE6-054E5108D3EB}" dateTime="2019-06-03T07:22:51" maxSheetId="20" userName="VVV" r:id="rId3" minRId="19" maxRId="271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0AE30F73-E74C-49E4-9031-26E1FA17C954}" dateTime="2019-06-03T07:27:53" maxSheetId="20" userName="VVV" r:id="rId4" minRId="272" maxRId="281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0F2223DB-F0D4-49DD-AC32-04AEB09B1D37}" dateTime="2019-06-03T07:32:53" maxSheetId="20" userName="VVV" r:id="rId5" minRId="282" maxRId="292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A83E43B7-449E-4A67-B614-03159CA7F889}" dateTime="2019-06-03T07:37:52" maxSheetId="20" userName="VVV" r:id="rId6" minRId="293" maxRId="294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2402C478-F904-4644-9616-DA114D48F75E}" dateTime="2019-06-03T07:42:53" maxSheetId="20" userName="VVV" r:id="rId7" minRId="295" maxRId="298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25341FF1-5541-452A-AF95-FA7D524A06F1}" dateTime="2019-06-03T07:58:53" maxSheetId="20" userName="VVV" r:id="rId8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744DE7CE-0E69-462E-A50C-117FABE60D45}" dateTime="2019-06-03T08:24:15" maxSheetId="20" userName="БыковаВП" r:id="rId9" minRId="299" maxRId="306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1E63406E-9B3B-481D-AF96-51A9918A089E}" dateTime="2019-06-03T08:32:21" maxSheetId="20" userName="БыковаВП" r:id="rId10" minRId="307" maxRId="329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0B546784-EEC2-4F22-A945-1CF4C50A0C18}" dateTime="2019-06-03T08:34:15" maxSheetId="20" userName="БыковаВП" r:id="rId11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6A8720B8-B343-4FAC-AE05-4E0887ACF831}" dateTime="2019-06-03T08:39:15" maxSheetId="20" userName="БыковаВП" r:id="rId12" minRId="351" maxRId="353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6C8BE3E5-4DF2-4B34-9B24-9BE6216F91CC}" dateTime="2019-06-03T08:54:15" maxSheetId="20" userName="БыковаВП" r:id="rId13" minRId="354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5B3AEBC3-436D-40F5-890F-031DD2B1BAEA}" dateTime="2019-06-03T13:27:37" maxSheetId="20" userName="VVV" r:id="rId14" minRId="355" maxRId="382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91D50C96-1D07-4A7A-81DD-3FF2769B38EB}" dateTime="2019-06-03T14:04:16" maxSheetId="20" userName="VVV" r:id="rId15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827D63DE-4E88-4DE2-AB3B-FD21ABE4CBB8}" dateTime="2019-06-03T14:06:47" maxSheetId="20" userName="Бородина" r:id="rId16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D1967E9E-DC05-4671-92AB-CA100A61945C}" dateTime="2019-06-03T15:52:29" maxSheetId="20" userName="БыковаВП" r:id="rId17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32E79514-B5B1-4C29-8D2A-62A5E32B4961}" dateTime="2019-06-04T08:05:22" maxSheetId="20" userName="БыковаВП" r:id="rId18" minRId="450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96D49936-EC0A-404C-9409-91BD1EC124C9}" dateTime="2019-06-04T08:20:00" maxSheetId="20" userName="Бородина" r:id="rId19" minRId="451" maxRId="454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C1476266-FE1D-4383-88DE-F75118317C28}" dateTime="2019-06-04T08:35:00" maxSheetId="20" userName="Бородина" r:id="rId20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00949688-023F-4759-B41E-3244B2BD4C9E}" dateTime="2019-06-04T08:40:00" maxSheetId="20" userName="Бородина" r:id="rId21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B1235C36-70E6-43FA-A4AC-2C60D114F76C}" dateTime="2019-06-04T08:45:00" maxSheetId="20" userName="Бородина" r:id="rId22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7D057950-C95B-4DC5-9974-44C71F99B77E}" dateTime="2019-06-04T08:50:00" maxSheetId="20" userName="Бородина" r:id="rId23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5354AEF5-BBDF-43CA-8AC4-38EC9EE37B89}" dateTime="2019-06-04T08:55:00" maxSheetId="20" userName="Бородина" r:id="rId24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D6C68CA8-EE03-452E-9181-C854D3BACB36}" dateTime="2019-06-04T09:40:00" maxSheetId="20" userName="Бородина" r:id="rId25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FD38B2EA-3C37-4F03-AB41-45CF246B796A}" dateTime="2019-06-04T09:42:50" maxSheetId="20" userName="Бородина" r:id="rId26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7090E64C-6BCA-4F75-A6F7-ED5A888EC563}" dateTime="2019-06-04T09:52:22" maxSheetId="20" userName="БыковаВП" r:id="rId27" minRId="455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347B5A6B-D6E2-4399-89DB-4482C4301CE7}" dateTime="2019-06-04T10:20:00" maxSheetId="20" userName="Бородина" r:id="rId28" minRId="456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AF584E29-DA49-4ECB-A106-2895734D314B}" dateTime="2019-06-04T12:45:00" maxSheetId="20" userName="Бородина" r:id="rId29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97BCE75E-44A3-4BB1-A643-A19116C20FEB}" dateTime="2019-06-04T12:50:00" maxSheetId="20" userName="Бородина" r:id="rId30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64AA54EA-566A-4204-ACAA-F7BB18F091EF}" dateTime="2019-06-04T13:05:00" maxSheetId="20" userName="Бородина" r:id="rId31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F95F6691-9785-4124-B963-A7C73E1185B1}" dateTime="2019-06-04T14:05:00" maxSheetId="20" userName="Бородина" r:id="rId32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2A76402C-FFDA-4370-8A90-3D4047788773}" dateTime="2019-06-04T15:01:36" maxSheetId="20" userName="БыковаВП" r:id="rId33" minRId="457" maxRId="474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22885132-E9A2-4D00-B853-3A350AF7F3CE}" dateTime="2019-06-04T15:03:20" maxSheetId="20" userName="БыковаВП" r:id="rId34" minRId="496" maxRId="522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638D10A3-47CB-4686-8B21-300F30CDBF7A}" dateTime="2019-06-04T15:08:22" maxSheetId="20" userName="БыковаВП" r:id="rId35" minRId="523" maxRId="527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C962CE9F-441E-4BC2-B120-0B0C795D89C0}" dateTime="2019-06-04T15:30:08" maxSheetId="20" userName="VVV" r:id="rId36" minRId="528" maxRId="545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C54666F8-42FA-492D-B100-040089909BDF}" dateTime="2019-06-04T15:45:08" maxSheetId="20" userName="VVV" r:id="rId37" minRId="546" maxRId="563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8B0EE211-1C47-4AB0-813F-8E189330F46A}" dateTime="2019-06-04T15:50:08" maxSheetId="20" userName="VVV" r:id="rId38" minRId="564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A7841493-7F5F-4BCA-9DE9-70E75FD5257A}" dateTime="2019-06-04T16:00:08" maxSheetId="20" userName="VVV" r:id="rId39" minRId="565" maxRId="1168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7565C467-D6F1-4DE1-B96E-596F5BA3352D}" dateTime="2019-06-04T16:01:43" maxSheetId="20" userName="VVV" r:id="rId40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39E3673D-3E1B-43BD-AF67-E4DC3631CF15}" dateTime="2019-06-05T08:12:58" maxSheetId="20" userName="БыковаВП" r:id="rId41" minRId="1191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BE7DF89A-A3DF-4D6B-9C08-8564B673D96B}" dateTime="2019-06-05T09:02:58" maxSheetId="20" userName="БыковаВП" r:id="rId42" minRId="1192" maxRId="1193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DBAD7178-4F7D-4606-8B0D-095BF452ED77}" dateTime="2019-06-05T09:32:58" maxSheetId="20" userName="БыковаВП" r:id="rId43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B42B7CE0-AF5D-40E3-974D-2A9CC79B03DF}" dateTime="2019-06-05T10:22:29" maxSheetId="20" userName="Бородина" r:id="rId44" minRId="1194" maxRId="1197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58F5D40A-D9E6-4020-B136-D0712D3A4644}" dateTime="2019-06-05T10:34:41" maxSheetId="20" userName="Бородина" r:id="rId45" minRId="1223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CDA8FD36-5672-423A-9458-8A123155797D}" dateTime="2019-06-05T10:42:59" maxSheetId="20" userName="БыковаВП" r:id="rId46" minRId="1224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0EECE168-5144-48BF-92A9-6DAA02F699D4}" dateTime="2019-06-05T12:35:42" maxSheetId="20" userName="Бородина" r:id="rId47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1F714C63-910C-4365-A7CF-74CF65F6CF90}" dateTime="2019-06-05T15:11:10" maxSheetId="20" userName="БыковаВП" r:id="rId48" minRId="1225" maxRId="1285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948EE9EE-DD15-40BA-ADFF-69C8B15769F3}" dateTime="2019-06-05T15:15:58" maxSheetId="20" userName="БыковаВП" r:id="rId49" minRId="1286" maxRId="1299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CBF5E2AE-59DE-4590-9861-E84F0C9F51FE}" dateTime="2019-06-05T15:46:59" maxSheetId="20" userName="БыковаВП" r:id="rId50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6031CAD2-69CC-43D4-B3C0-A23CC039C1C3}" dateTime="2019-06-05T15:51:07" maxSheetId="20" userName="Лилия" r:id="rId51" minRId="1321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83FDDEAD-2D3E-43C1-9B9D-81EDC81FC4E3}" dateTime="2019-06-06T07:12:13" maxSheetId="20" userName="БыковаВП" r:id="rId52" minRId="1322" maxRId="1335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9EADE678-805F-4212-85B6-1C63E183D338}" dateTime="2019-06-06T08:08:14" maxSheetId="20" userName="БыковаВП" r:id="rId53" minRId="1336" maxRId="1339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48F778F9-C2D1-4F02-AB8E-4FD9DD2E9B94}" dateTime="2019-06-06T08:18:14" maxSheetId="20" userName="БыковаВП" r:id="rId54" minRId="1340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21B8A1E4-A5BE-435A-A3D5-1C37F1BF1655}" dateTime="2019-06-06T09:58:14" maxSheetId="20" userName="БыковаВП" r:id="rId55" minRId="1341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6E669EAD-8BF4-428B-A300-BB0452920667}" dateTime="2019-06-06T10:33:15" maxSheetId="20" userName="БыковаВП" r:id="rId56" minRId="1342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19D9AE09-25ED-4D8F-80ED-15CDDFC70166}" dateTime="2019-06-06T10:44:01" maxSheetId="20" userName="VVV" r:id="rId57" minRId="1343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276A6AB7-8DFD-45BE-A1F9-34CCBC2A8AB3}" dateTime="2019-06-06T12:26:40" maxSheetId="20" userName="Бородина" r:id="rId58" minRId="1344" maxRId="1349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5B3EBFDE-8C89-4DE3-9CE1-57CC68DA04E3}" dateTime="2019-06-06T14:12:16" maxSheetId="20" userName="Бородина" r:id="rId59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9840AB1C-52B0-4F6B-9AD1-066DB8C6270B}" dateTime="2019-06-06T14:20:27" maxSheetId="20" userName="VVV" r:id="rId60" minRId="1375" maxRId="1392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461DA917-1553-4440-9B6C-A66FBBD6C256}" dateTime="2019-06-06T14:21:55" maxSheetId="20" userName="Бородина" r:id="rId61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5BBED46E-E040-44EB-A820-E61CE80BF767}" dateTime="2019-06-06T15:48:31" maxSheetId="20" userName="Бородина" r:id="rId62" minRId="1393" maxRId="1395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B3758A2E-B445-4AD9-AB4A-6ECA6C5C5879}" dateTime="2019-06-06T16:19:40" maxSheetId="20" userName="Бородина" r:id="rId63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4E0410CB-5953-4EAA-89E2-57DD556ECCD8}" dateTime="2019-06-06T16:24:40" maxSheetId="20" userName="Бородина" r:id="rId64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43368791-7792-4651-8DE6-61ECDC73B74A}" dateTime="2019-06-06T16:29:40" maxSheetId="20" userName="Бородина" r:id="rId65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E12EC195-38A0-46A6-B8DE-049ADB5CE2DD}" dateTime="2019-06-06T16:34:06" maxSheetId="20" userName="Бородина" r:id="rId66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A31146DB-2392-4ABB-86C8-5F23A3D9680E}" dateTime="2019-06-07T08:31:46" maxSheetId="20" userName="БыковаВП" r:id="rId67" minRId="1396" maxRId="1400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19A093CA-6E1E-495F-B691-85310CC11ECE}" dateTime="2019-06-07T09:45:19" maxSheetId="20" userName="Бородина" r:id="rId68" minRId="1401" maxRId="1402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D7458B56-FCD8-4FE6-B623-25B5D88D9BF0}" dateTime="2019-06-07T10:12:50" maxSheetId="20" userName="Бородина" r:id="rId69" minRId="1403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0C1FF4DD-0898-467C-A29C-3400F2945241}" dateTime="2019-06-07T13:47:50" maxSheetId="20" userName="Бородина" r:id="rId70" minRId="1404" maxRId="1407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04DEB4D2-1B25-4C8A-BCC7-0049110C1845}" dateTime="2019-06-07T13:57:46" maxSheetId="20" userName="БыковаВП" r:id="rId71" minRId="1408" maxRId="1443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FC8D2D1F-F71F-4EC7-9AB0-390A4F3E23BF}" dateTime="2019-06-07T14:02:46" maxSheetId="20" userName="БыковаВП" r:id="rId72" minRId="1444" maxRId="2141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CA805754-73FA-424F-B417-3425E27E920A}" dateTime="2019-06-07T14:12:46" maxSheetId="20" userName="БыковаВП" r:id="rId73" minRId="2142" maxRId="2743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C1FB30C5-928A-48DA-8EAD-398182BC5A21}" dateTime="2019-06-07T14:30:55" maxSheetId="20" userName="VVV" r:id="rId74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A9C1A318-1C4B-4A45-98A1-3B4D2E34E340}" dateTime="2019-06-07T14:52:50" maxSheetId="20" userName="Бородина" r:id="rId75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5D655EBB-C6FB-4C40-B0DA-F8BD286BFBAA}" dateTime="2019-06-07T15:02:50" maxSheetId="20" userName="Бородина" r:id="rId76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C703DBDA-EADF-4E2D-9B85-2DBC167A7894}" dateTime="2019-06-07T15:04:31" maxSheetId="20" userName="Бородина" r:id="rId77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27BFA172-F7D3-45F8-A811-8A398CA162B8}" dateTime="2019-06-07T16:00:41" maxSheetId="20" userName="VVV" r:id="rId78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871DBD5D-A2C3-4612-AB47-5000292F99E9}" dateTime="2019-06-10T07:37:16" maxSheetId="20" userName="VVV" r:id="rId79" minRId="2765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A0E57666-0818-4719-9EE0-54AD1A870219}" dateTime="2019-06-10T07:40:09" maxSheetId="20" userName="VVV" r:id="rId80" minRId="2787" maxRId="2829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5B7CEB6C-DFF4-40FA-A24F-8F0A1CEF54D7}" dateTime="2019-06-10T07:46:45" maxSheetId="20" userName="VVV" r:id="rId81" minRId="2830" maxRId="2841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330D4BB9-9708-49EB-8B55-A8B4D06C4743}" dateTime="2019-06-10T08:28:17" maxSheetId="20" userName="БыковаВП" r:id="rId82" minRId="2842" maxRId="2846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C5D05D40-996D-422B-8563-DDAB5A634187}" dateTime="2019-06-10T08:46:43" maxSheetId="20" userName="VVV" r:id="rId83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1DC5C6DC-8755-44D6-85C1-16F0B3CBA446}" dateTime="2019-06-10T08:48:34" maxSheetId="20" userName="VVV" r:id="rId84" minRId="2847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DB93332A-9F28-43A1-B01E-3C993C217A64}" dateTime="2019-06-10T08:51:41" maxSheetId="20" userName="VVV" r:id="rId85" minRId="2848" maxRId="2905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2340042F-F396-45FF-B1BB-2C0B005792FF}" dateTime="2019-06-10T08:56:43" maxSheetId="20" userName="VVV" r:id="rId86" minRId="2906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DA503723-3F88-412B-B795-28A2DF380FE0}" dateTime="2019-06-10T09:11:45" maxSheetId="20" userName="VVV" r:id="rId87" minRId="2907" maxRId="2929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420B6BF0-08E1-4546-A939-B25CCE3E3FEB}" dateTime="2019-06-10T09:24:17" maxSheetId="20" userName="БыковаВП" r:id="rId88" minRId="2930" maxRId="2934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D24A14B8-C850-42DA-8AE6-88041B4955C3}" dateTime="2019-06-10T09:24:31" maxSheetId="20" userName="Бородина" r:id="rId89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D8932818-3063-4179-892B-E9C2A82678CF}" dateTime="2019-06-10T09:24:55" maxSheetId="20" userName="БыковаВП" r:id="rId90" minRId="2960" maxRId="2965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4B16497E-DB74-4400-B24D-8E2A125BCD78}" dateTime="2019-06-10T09:25:26" maxSheetId="20" userName="БыковаВП" r:id="rId91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0BC22D01-A364-4E27-BFDE-95E679AF1FFC}" dateTime="2019-06-10T09:29:17" maxSheetId="20" userName="БыковаВП" r:id="rId92" minRId="2987" maxRId="2994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E59BB486-8BB0-4386-8003-55B9F6D552C7}" dateTime="2019-06-10T09:45:30" maxSheetId="20" userName="Бородина" r:id="rId93" minRId="2995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C1DA89D5-2ADD-45BE-BD2A-4B385A965D35}" dateTime="2019-06-10T10:35:31" maxSheetId="20" userName="Бородина" r:id="rId94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12839991-6F13-4FB7-B0E8-147F408B67ED}" dateTime="2019-06-10T12:29:17" maxSheetId="20" userName="БыковаВП" r:id="rId95" minRId="2996" maxRId="3026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EF7A6956-25B3-400E-9A71-6396FBAFC586}" dateTime="2019-06-10T12:57:52" maxSheetId="20" userName="БыковаВП" r:id="rId96" minRId="3027" maxRId="3028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67A92FE0-AAD6-4508-8768-75FAACB71C09}" dateTime="2019-06-10T13:00:36" maxSheetId="20" userName="Бородина" r:id="rId97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78D9C44C-B224-4B4B-B6F0-14ED323D7213}" dateTime="2019-06-10T13:35:31" maxSheetId="20" userName="Бородина" r:id="rId98" minRId="3054" maxRId="3056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3AB7CF3A-311D-4352-B0B4-A8CA97B769FE}" dateTime="2019-06-10T13:50:31" maxSheetId="20" userName="Бородина" r:id="rId99" minRId="3057" maxRId="3060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B55B8354-B798-4AD9-8CE4-85AE825B94A2}" dateTime="2019-06-10T14:10:26" maxSheetId="20" userName="Бородина" r:id="rId100" minRId="3061" maxRId="3062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A7BC31FB-3AD6-4FEE-A018-B97C8EDEFA8A}" dateTime="2019-06-10T15:19:31" maxSheetId="20" userName="Бородина" r:id="rId101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FB06D98C-72AE-416A-93CD-EFDC85E6F076}" dateTime="2019-06-10T15:24:30" maxSheetId="20" userName="Бородина" r:id="rId102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22E72B3A-D97D-4F16-A889-A30778FA650A}" dateTime="2019-06-10T15:53:42" maxSheetId="20" userName="VVV" r:id="rId103" minRId="3063" maxRId="3068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056B9A89-927F-4F60-AA44-B178CBE80E1A}" dateTime="2019-06-10T15:55:13" maxSheetId="20" userName="БыковаВП" r:id="rId104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8B7634DF-F9F6-4A6C-B0D3-963562394041}" dateTime="2019-06-10T15:56:56" maxSheetId="20" userName="VVV" r:id="rId105" minRId="3090" maxRId="3177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97222307-AC86-4FC8-B899-BF6F04260B7A}" dateTime="2019-06-11T07:25:08" maxSheetId="20" userName="БыковаВП" r:id="rId106" minRId="3200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1C56D87C-A47E-4CF5-BC5F-3ED250A1C80F}" dateTime="2019-06-11T08:15:08" maxSheetId="20" userName="БыковаВП" r:id="rId107" minRId="3201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19684B1F-F83F-4170-9DFD-57F7300D34FB}" dateTime="2019-06-11T08:15:48" maxSheetId="20" userName="БыковаВП" r:id="rId108" minRId="3202" maxRId="3213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124CED44-0E96-47F1-AFB6-10FC2966FAE5}" dateTime="2019-06-11T08:40:08" maxSheetId="20" userName="БыковаВП" r:id="rId109" minRId="3214" maxRId="3220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DFEB8CD9-FB90-4ECF-932B-49F3820ADBAA}" dateTime="2019-06-11T08:45:08" maxSheetId="20" userName="БыковаВП" r:id="rId110" minRId="3221" maxRId="3222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8666C686-97EC-4DA5-A39E-254326C60707}" dateTime="2019-06-11T08:58:05" maxSheetId="20" userName="Microsoft" r:id="rId111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B9A997EB-9637-47FC-B40F-98401F5F6FAD}" dateTime="2019-06-11T09:32:01" maxSheetId="20" userName="VVV" r:id="rId112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220B735B-3C0E-4A03-905F-B15B66022EED}" dateTime="2019-06-11T09:37:01" maxSheetId="20" userName="VVV" r:id="rId113" minRId="3244" maxRId="3257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FD69D5F1-40CC-4061-8488-564440F9AC28}" dateTime="2019-06-11T09:41:32" maxSheetId="20" userName="VVV" r:id="rId114" minRId="3258" maxRId="3261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06B87FF3-3863-4CA3-9E15-A642915BE604}" dateTime="2019-06-11T10:36:49" maxSheetId="20" userName="Бородина" r:id="rId115" minRId="3262" maxRId="3271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8BE1318C-D85F-41CE-9A0D-09BC9B49929A}" dateTime="2019-06-11T12:23:01" maxSheetId="20" userName="VVV" r:id="rId116" minRId="3272" maxRId="3329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F6A96D00-44C4-43EC-AC73-50996ADF4BE1}" dateTime="2019-06-11T13:52:08" maxSheetId="20" userName="Бородина" r:id="rId117" minRId="3330" maxRId="3336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3E70D7CA-1DA2-49F5-BB27-BED4B3E0B4E8}" dateTime="2019-06-11T13:56:49" maxSheetId="20" userName="Бородина" r:id="rId118" minRId="3337" maxRId="3338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93CEC6F9-7659-415D-9312-EABC742F838C}" dateTime="2019-06-11T15:01:48" maxSheetId="20" userName="Бородина" r:id="rId119" minRId="3339" maxRId="3342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D4342D95-240C-4E1C-AAF5-6F337A0EE636}" dateTime="2019-06-13T07:15:13" maxSheetId="20" userName="БыковаВП" r:id="rId120" minRId="3343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758DEEC1-BB8C-4844-BEB9-297EE8287B63}" dateTime="2019-06-13T08:56:25" maxSheetId="20" userName="VVV" r:id="rId121" minRId="3344" maxRId="3361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F3A21AAF-3E6A-4E82-B916-15E25E853B99}" dateTime="2019-06-13T09:36:26" maxSheetId="20" userName="VVV" r:id="rId122" minRId="3362" maxRId="3366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D865D946-5EBE-47FB-B570-EC9EDAB1CF21}" dateTime="2019-06-13T09:40:15" maxSheetId="20" userName="БыковаВП" r:id="rId123" minRId="3367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ED77970A-13B5-4928-8154-810C0E1EEBAF}" dateTime="2019-06-13T09:41:26" maxSheetId="20" userName="VVV" r:id="rId124" minRId="3368" maxRId="3412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4E737AEA-234D-44B1-A133-6BAA6E08A5A8}" dateTime="2019-06-13T09:45:15" maxSheetId="20" userName="БыковаВП" r:id="rId125" minRId="3413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9DECADDA-A848-4DDB-A377-97CD4D82464D}" dateTime="2019-06-13T09:47:25" maxSheetId="20" userName="VVV" r:id="rId126" minRId="3414" maxRId="3426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B6167076-DACD-4309-A028-C7AA69D85290}" dateTime="2019-06-13T09:50:59" maxSheetId="20" userName="VVV" r:id="rId127" minRId="3427" maxRId="3439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162BC59B-0EC4-4740-9436-C28DF9AFD6E8}" dateTime="2019-06-13T09:52:24" maxSheetId="20" userName="VVV" r:id="rId128" minRId="3440" maxRId="3462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8CE6A96E-1254-4716-BE67-62C89119C2B5}" dateTime="2019-06-13T10:08:15" maxSheetId="20" userName="БыковаВП" r:id="rId129" minRId="3463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B2D567FD-E29A-4E5F-BB7B-C31870D230BC}" dateTime="2019-06-13T10:12:43" maxSheetId="20" userName="VVV" r:id="rId130" minRId="3464" maxRId="3474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4212EE82-D8EA-4124-98BD-74408928A7FC}" dateTime="2019-06-13T10:13:29" maxSheetId="20" userName="Бородина" r:id="rId131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FC8DD2FA-BA55-4CB2-85BF-FD480B9C6627}" dateTime="2019-06-13T10:19:40" maxSheetId="20" userName="БыковаВП" r:id="rId132" minRId="3500" maxRId="3539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DEF2EA98-4153-4D5D-B7C1-E907F7B595A9}" dateTime="2019-06-13T13:47:58" maxSheetId="20" userName="Бородина" r:id="rId133" minRId="3561" maxRId="3562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CFC2E59F-846C-4DED-8DEC-AB90FBC14DE8}" dateTime="2019-06-13T14:50:15" maxSheetId="20" userName="БыковаВП" r:id="rId134" minRId="3563" maxRId="3570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7FB0E36C-E30F-4F27-A4FA-F5EFB8936405}" dateTime="2019-06-13T15:45:15" maxSheetId="20" userName="БыковаВП" r:id="rId135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F6A0BD46-A2B6-4EE6-BBD0-0A7910E6FA2D}" dateTime="2019-06-13T15:47:25" maxSheetId="20" userName="VVV" r:id="rId136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C920CCAE-08DD-4AA9-B504-1778A6BF4F61}" dateTime="2019-06-13T15:50:15" maxSheetId="20" userName="БыковаВП" r:id="rId137" minRId="3571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  <header guid="{0E5026B8-C859-4A94-8DFA-A833D5706B46}" dateTime="2019-06-13T15:58:55" maxSheetId="20" userName="БыковаВП" r:id="rId138">
    <sheetIdMap count="1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dn rId="0" localSheetId="3" customView="1" name="Z_D42288F7_1871_4EF6_BC87_1B9EF747C744_.wvu.PrintTitles" hidden="1" oldHidden="1">
    <formula>'январь 2019'!$4:$7</formula>
  </rdn>
  <rdn rId="0" localSheetId="5" customView="1" name="Z_D42288F7_1871_4EF6_BC87_1B9EF747C744_.wvu.PrintTitles" hidden="1" oldHidden="1">
    <formula>'февраль 2019'!$4:$7</formula>
  </rdn>
  <rdn rId="0" localSheetId="6" customView="1" name="Z_D42288F7_1871_4EF6_BC87_1B9EF747C744_.wvu.PrintArea" hidden="1" oldHidden="1">
    <formula>'март 2019 Эпотос-К'!$B$7:$G$93</formula>
  </rdn>
  <rdn rId="0" localSheetId="7" customView="1" name="Z_D42288F7_1871_4EF6_BC87_1B9EF747C744_.wvu.PrintTitles" hidden="1" oldHidden="1">
    <formula>'март 2019'!$4:$7</formula>
  </rdn>
  <rdn rId="0" localSheetId="8" customView="1" name="Z_D42288F7_1871_4EF6_BC87_1B9EF747C744_.wvu.PrintArea" hidden="1" oldHidden="1">
    <formula>'апрель 2019 Эпотос-К'!$B$7:$G$93</formula>
  </rdn>
  <rdn rId="0" localSheetId="9" customView="1" name="Z_D42288F7_1871_4EF6_BC87_1B9EF747C744_.wvu.PrintTitles" hidden="1" oldHidden="1">
    <formula>'апрель 2019'!$4:$7</formula>
  </rdn>
  <rdn rId="0" localSheetId="10" customView="1" name="Z_D42288F7_1871_4EF6_BC87_1B9EF747C744_.wvu.PrintArea" hidden="1" oldHidden="1">
    <formula>'май 2019 Эпотос-К'!$A$7:$B$82</formula>
  </rdn>
  <rdn rId="0" localSheetId="10" customView="1" name="Z_D42288F7_1871_4EF6_BC87_1B9EF747C744_.wvu.Cols" hidden="1" oldHidden="1">
    <formula>'май 2019 Эпотос-К'!$S:$V</formula>
  </rdn>
  <rdn rId="0" localSheetId="11" customView="1" name="Z_D42288F7_1871_4EF6_BC87_1B9EF747C744_.wvu.PrintTitles" hidden="1" oldHidden="1">
    <formula>'май 2019'!$4:$7</formula>
  </rdn>
  <rdn rId="0" localSheetId="11" customView="1" name="Z_D42288F7_1871_4EF6_BC87_1B9EF747C744_.wvu.Cols" hidden="1" oldHidden="1">
    <formula>'май 2019'!$S:$V</formula>
  </rdn>
  <rdn rId="0" localSheetId="12" customView="1" name="Z_D42288F7_1871_4EF6_BC87_1B9EF747C744_.wvu.PrintArea" hidden="1" oldHidden="1">
    <formula>'июнь 2019 Эпотос-К'!$B$47:$D$56</formula>
  </rdn>
  <rdn rId="0" localSheetId="12" customView="1" name="Z_D42288F7_1871_4EF6_BC87_1B9EF747C744_.wvu.Cols" hidden="1" oldHidden="1">
    <formula>'июнь 2019 Эпотос-К'!$S:$V</formula>
  </rdn>
  <rdn rId="0" localSheetId="13" customView="1" name="Z_D42288F7_1871_4EF6_BC87_1B9EF747C744_.wvu.PrintTitles" hidden="1" oldHidden="1">
    <formula>'июнь 2019'!$4:$7</formula>
  </rdn>
  <rdn rId="0" localSheetId="13" customView="1" name="Z_D42288F7_1871_4EF6_BC87_1B9EF747C744_.wvu.Cols" hidden="1" oldHidden="1">
    <formula>'июнь 2019'!$S:$V</formula>
  </rdn>
  <rdn rId="0" localSheetId="14" customView="1" name="Z_D42288F7_1871_4EF6_BC87_1B9EF747C744_.wvu.PrintArea" hidden="1" oldHidden="1">
    <formula>'обзор 2019'!$B$3:$M$18</formula>
  </rdn>
  <rdn rId="0" localSheetId="15" customView="1" name="Z_D42288F7_1871_4EF6_BC87_1B9EF747C744_.wvu.PrintArea" hidden="1" oldHidden="1">
    <formula>'обзор 2018'!$B$3:$M$18</formula>
  </rdn>
  <rdn rId="0" localSheetId="16" customView="1" name="Z_D42288F7_1871_4EF6_BC87_1B9EF747C744_.wvu.PrintArea" hidden="1" oldHidden="1">
    <formula>'обзор 2017'!$B$3:$M$18</formula>
  </rdn>
  <rdn rId="0" localSheetId="17" customView="1" name="Z_D42288F7_1871_4EF6_BC87_1B9EF747C744_.wvu.PrintArea" hidden="1" oldHidden="1">
    <formula>'обзор 2016'!$B$3:$Q$19</formula>
  </rdn>
  <rdn rId="0" localSheetId="17" customView="1" name="Z_D42288F7_1871_4EF6_BC87_1B9EF747C744_.wvu.Cols" hidden="1" oldHidden="1">
    <formula>'обзор 2016'!$A:$A</formula>
  </rdn>
  <rdn rId="0" localSheetId="18" customView="1" name="Z_D42288F7_1871_4EF6_BC87_1B9EF747C744_.wvu.PrintArea" hidden="1" oldHidden="1">
    <formula>'объёмы 2019'!$A$3:$U$98</formula>
  </rdn>
  <rdn rId="0" localSheetId="18" customView="1" name="Z_D42288F7_1871_4EF6_BC87_1B9EF747C744_.wvu.PrintTitles" hidden="1" oldHidden="1">
    <formula>'объёмы 2019'!$5:$6</formula>
  </rdn>
  <rcv guid="{D42288F7-1871-4EF6-BC87-1B9EF747C744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" sId="12">
    <oc r="E35">
      <f>D35*C35</f>
    </oc>
    <nc r="E35">
      <f>D35*C35</f>
    </nc>
  </rcc>
  <rcc rId="308" sId="12">
    <oc r="K35">
      <f>G35+H35+I35+J35</f>
    </oc>
    <nc r="K35">
      <f>G35+H35+I35+J35</f>
    </nc>
  </rcc>
  <rcc rId="309" sId="12">
    <oc r="L35">
      <f>D35*K35</f>
    </oc>
    <nc r="L35">
      <f>D35*K35</f>
    </nc>
  </rcc>
  <rcc rId="310" sId="12">
    <oc r="M35">
      <f>F35-K35</f>
    </oc>
    <nc r="M35">
      <f>F35-K35</f>
    </nc>
  </rcc>
  <rcc rId="311" sId="12">
    <oc r="N35">
      <f>K35/C35</f>
    </oc>
    <nc r="N35">
      <f>K35/C35</f>
    </nc>
  </rcc>
  <rcc rId="312" sId="12">
    <oc r="S35">
      <f>G35*D35</f>
    </oc>
    <nc r="S35">
      <f>G35*D35</f>
    </nc>
  </rcc>
  <rcc rId="313" sId="12">
    <oc r="T35">
      <f>H35*D35</f>
    </oc>
    <nc r="T35">
      <f>H35*D35</f>
    </nc>
  </rcc>
  <rcc rId="314" sId="12">
    <oc r="U35">
      <f>I35*D35</f>
    </oc>
    <nc r="U35">
      <f>I35*D35</f>
    </nc>
  </rcc>
  <rcc rId="315" sId="12">
    <oc r="V35">
      <f>J35*D35</f>
    </oc>
    <nc r="V35">
      <f>J35*D35</f>
    </nc>
  </rcc>
  <rcc rId="316" sId="12">
    <oc r="C37">
      <f>84+50+144+70</f>
    </oc>
    <nc r="C37">
      <f>84+50+144+70</f>
    </nc>
  </rcc>
  <rcc rId="317" sId="12">
    <oc r="E37">
      <f>D37*C37</f>
    </oc>
    <nc r="E37">
      <f>D37*C37</f>
    </nc>
  </rcc>
  <rfmt sheetId="12" sqref="G37" start="0" length="0">
    <dxf>
      <font>
        <sz val="12"/>
        <color theme="1"/>
      </font>
    </dxf>
  </rfmt>
  <rcc rId="318" sId="12">
    <oc r="K37">
      <f>G37+H37+I37+J37</f>
    </oc>
    <nc r="K37">
      <f>G37+H37+I37+J37</f>
    </nc>
  </rcc>
  <rcc rId="319" sId="12">
    <oc r="L37">
      <f>D37*K37</f>
    </oc>
    <nc r="L37">
      <f>D37*K37</f>
    </nc>
  </rcc>
  <rcc rId="320" sId="12">
    <oc r="M37">
      <f>F37-K37</f>
    </oc>
    <nc r="M37">
      <f>F37-K37</f>
    </nc>
  </rcc>
  <rcc rId="321" sId="12">
    <oc r="N37">
      <f>K37/C37</f>
    </oc>
    <nc r="N37">
      <f>K37/C37</f>
    </nc>
  </rcc>
  <rcc rId="322" sId="12">
    <oc r="S37">
      <f>G37*D37</f>
    </oc>
    <nc r="S37">
      <f>G37*D37</f>
    </nc>
  </rcc>
  <rcc rId="323" sId="12">
    <oc r="T37">
      <f>H37*D37</f>
    </oc>
    <nc r="T37">
      <f>H37*D37</f>
    </nc>
  </rcc>
  <rcc rId="324" sId="12">
    <oc r="U37">
      <f>I37*D37</f>
    </oc>
    <nc r="U37">
      <f>I37*D37</f>
    </nc>
  </rcc>
  <rcc rId="325" sId="12">
    <oc r="V37">
      <f>J37*D37</f>
    </oc>
    <nc r="V37">
      <f>J37*D37</f>
    </nc>
  </rcc>
  <rfmt sheetId="12" sqref="A36" start="0" length="0">
    <dxf>
      <font>
        <sz val="14"/>
        <color indexed="8"/>
        <name val="Times New Roman"/>
        <scheme val="none"/>
      </font>
      <numFmt numFmtId="0" formatCode="General"/>
      <alignment horizontal="general" readingOrder="0"/>
    </dxf>
  </rfmt>
  <rfmt sheetId="12" sqref="B36" start="0" length="0">
    <dxf>
      <alignment vertical="top" readingOrder="0"/>
      <border outline="0">
        <bottom style="thin">
          <color indexed="64"/>
        </bottom>
      </border>
    </dxf>
  </rfmt>
  <rfmt sheetId="12" sqref="C36" start="0" length="0">
    <dxf>
      <border outline="0">
        <left/>
        <bottom style="thin">
          <color indexed="64"/>
        </bottom>
      </border>
    </dxf>
  </rfmt>
  <rfmt sheetId="12" sqref="D36" start="0" length="0">
    <dxf>
      <border outline="0">
        <bottom style="thin">
          <color indexed="64"/>
        </bottom>
      </border>
    </dxf>
  </rfmt>
  <rfmt sheetId="12" sqref="E36" start="0" length="0">
    <dxf>
      <numFmt numFmtId="166" formatCode="#,##0&quot;р.&quot;"/>
    </dxf>
  </rfmt>
  <rfmt sheetId="12" sqref="G36" start="0" length="0">
    <dxf>
      <border outline="0">
        <bottom style="thin">
          <color indexed="64"/>
        </bottom>
      </border>
    </dxf>
  </rfmt>
  <rfmt sheetId="12" sqref="H36" start="0" length="0">
    <dxf>
      <border outline="0">
        <bottom style="thin">
          <color indexed="64"/>
        </bottom>
      </border>
    </dxf>
  </rfmt>
  <rfmt sheetId="12" sqref="I36" start="0" length="0">
    <dxf>
      <border outline="0">
        <bottom style="thin">
          <color indexed="64"/>
        </bottom>
      </border>
    </dxf>
  </rfmt>
  <rfmt sheetId="12" sqref="J36" start="0" length="0">
    <dxf>
      <border outline="0">
        <bottom style="thin">
          <color indexed="64"/>
        </bottom>
      </border>
    </dxf>
  </rfmt>
  <rfmt sheetId="12" sqref="L36" start="0" length="0">
    <dxf>
      <font>
        <sz val="10"/>
        <color auto="1"/>
        <name val="Arial Cyr"/>
        <scheme val="none"/>
      </font>
      <border outline="0">
        <top style="thin">
          <color indexed="64"/>
        </top>
      </border>
    </dxf>
  </rfmt>
  <rfmt sheetId="12" sqref="M36" start="0" length="0">
    <dxf>
      <font>
        <sz val="10"/>
        <color auto="1"/>
        <name val="Arial Cyr"/>
        <scheme val="none"/>
      </font>
      <numFmt numFmtId="165" formatCode="_-* #,##0.0&quot;р.&quot;_-;\-* #,##0.0&quot;р.&quot;_-;_-* &quot;-&quot;??&quot;р.&quot;_-;_-@_-"/>
    </dxf>
  </rfmt>
  <rcc rId="326" sId="12">
    <oc r="S36">
      <f>G36*D36</f>
    </oc>
    <nc r="S36">
      <f>G36*D36</f>
    </nc>
  </rcc>
  <rcc rId="327" sId="12">
    <oc r="T36">
      <f>H36*D36</f>
    </oc>
    <nc r="T36">
      <f>H36*D36</f>
    </nc>
  </rcc>
  <rcc rId="328" sId="12">
    <oc r="U36">
      <f>I36*D36</f>
    </oc>
    <nc r="U36">
      <f>I36*D36</f>
    </nc>
  </rcc>
  <rcc rId="329" sId="12">
    <oc r="V36">
      <f>J36*D36</f>
    </oc>
    <nc r="V36">
      <f>J36*D36</f>
    </nc>
  </rcc>
  <rcv guid="{06317133-151B-4DBC-8EB3-9345BA061F91}" action="delete"/>
  <rdn rId="0" localSheetId="3" customView="1" name="Z_06317133_151B_4DBC_8EB3_9345BA061F91_.wvu.PrintTitles" hidden="1" oldHidden="1">
    <formula>'январь 2019'!$4:$7</formula>
    <oldFormula>'январь 2019'!$4:$7</oldFormula>
  </rdn>
  <rdn rId="0" localSheetId="5" customView="1" name="Z_06317133_151B_4DBC_8EB3_9345BA061F91_.wvu.PrintTitles" hidden="1" oldHidden="1">
    <formula>'февраль 2019'!$4:$7</formula>
    <oldFormula>'февраль 2019'!$4:$7</oldFormula>
  </rdn>
  <rdn rId="0" localSheetId="6" customView="1" name="Z_06317133_151B_4DBC_8EB3_9345BA061F91_.wvu.PrintArea" hidden="1" oldHidden="1">
    <formula>'март 2019 Эпотос-К'!$B$7:$G$93</formula>
    <oldFormula>'март 2019 Эпотос-К'!$B$7:$G$93</oldFormula>
  </rdn>
  <rdn rId="0" localSheetId="7" customView="1" name="Z_06317133_151B_4DBC_8EB3_9345BA061F91_.wvu.PrintTitles" hidden="1" oldHidden="1">
    <formula>'март 2019'!$4:$7</formula>
    <oldFormula>'март 2019'!$4:$7</oldFormula>
  </rdn>
  <rdn rId="0" localSheetId="8" customView="1" name="Z_06317133_151B_4DBC_8EB3_9345BA061F91_.wvu.PrintArea" hidden="1" oldHidden="1">
    <formula>'апрель 2019 Эпотос-К'!$B$7:$G$93</formula>
    <oldFormula>'апрель 2019 Эпотос-К'!$B$7:$G$93</oldFormula>
  </rdn>
  <rdn rId="0" localSheetId="9" customView="1" name="Z_06317133_151B_4DBC_8EB3_9345BA061F91_.wvu.PrintTitles" hidden="1" oldHidden="1">
    <formula>'апрель 2019'!$4:$7</formula>
    <oldFormula>'апрель 2019'!$4:$7</oldFormula>
  </rdn>
  <rdn rId="0" localSheetId="10" customView="1" name="Z_06317133_151B_4DBC_8EB3_9345BA061F91_.wvu.PrintArea" hidden="1" oldHidden="1">
    <formula>'май 2019 Эпотос-К'!$A$7:$B$82</formula>
    <oldFormula>'май 2019 Эпотос-К'!$A$7:$B$82</oldFormula>
  </rdn>
  <rdn rId="0" localSheetId="10" customView="1" name="Z_06317133_151B_4DBC_8EB3_9345BA061F91_.wvu.Cols" hidden="1" oldHidden="1">
    <formula>'май 2019 Эпотос-К'!$S:$V</formula>
    <oldFormula>'май 2019 Эпотос-К'!$S:$V</oldFormula>
  </rdn>
  <rdn rId="0" localSheetId="11" customView="1" name="Z_06317133_151B_4DBC_8EB3_9345BA061F91_.wvu.PrintTitles" hidden="1" oldHidden="1">
    <formula>'май 2019'!$4:$7</formula>
    <oldFormula>'май 2019'!$4:$7</oldFormula>
  </rdn>
  <rdn rId="0" localSheetId="11" customView="1" name="Z_06317133_151B_4DBC_8EB3_9345BA061F91_.wvu.Cols" hidden="1" oldHidden="1">
    <formula>'май 2019'!$S:$V</formula>
    <oldFormula>'май 2019'!$S:$V</oldFormula>
  </rdn>
  <rdn rId="0" localSheetId="12" customView="1" name="Z_06317133_151B_4DBC_8EB3_9345BA061F91_.wvu.PrintArea" hidden="1" oldHidden="1">
    <formula>'июнь 2019 Эпотос-К'!$B$47:$D$56</formula>
    <oldFormula>'июнь 2019 Эпотос-К'!$B$47:$D$56</oldFormula>
  </rdn>
  <rdn rId="0" localSheetId="12" customView="1" name="Z_06317133_151B_4DBC_8EB3_9345BA061F91_.wvu.Cols" hidden="1" oldHidden="1">
    <formula>'июнь 2019 Эпотос-К'!$S:$V</formula>
    <oldFormula>'июнь 2019 Эпотос-К'!$S:$V</oldFormula>
  </rdn>
  <rdn rId="0" localSheetId="13" customView="1" name="Z_06317133_151B_4DBC_8EB3_9345BA061F91_.wvu.PrintTitles" hidden="1" oldHidden="1">
    <formula>'июнь 2019'!$4:$7</formula>
    <oldFormula>'июнь 2019'!$4:$7</oldFormula>
  </rdn>
  <rdn rId="0" localSheetId="13" customView="1" name="Z_06317133_151B_4DBC_8EB3_9345BA061F91_.wvu.Cols" hidden="1" oldHidden="1">
    <formula>'июнь 2019'!$S:$V</formula>
    <oldFormula>'июнь 2019'!$S:$V</oldFormula>
  </rdn>
  <rdn rId="0" localSheetId="14" customView="1" name="Z_06317133_151B_4DBC_8EB3_9345BA061F91_.wvu.PrintArea" hidden="1" oldHidden="1">
    <formula>'обзор 2019'!$B$3:$M$18</formula>
    <oldFormula>'обзор 2019'!$B$3:$M$18</oldFormula>
  </rdn>
  <rdn rId="0" localSheetId="15" customView="1" name="Z_06317133_151B_4DBC_8EB3_9345BA061F91_.wvu.PrintArea" hidden="1" oldHidden="1">
    <formula>'обзор 2018'!$B$3:$M$18</formula>
    <oldFormula>'обзор 2018'!$B$3:$M$18</oldFormula>
  </rdn>
  <rdn rId="0" localSheetId="16" customView="1" name="Z_06317133_151B_4DBC_8EB3_9345BA061F91_.wvu.PrintArea" hidden="1" oldHidden="1">
    <formula>'обзор 2017'!$B$3:$M$18</formula>
    <oldFormula>'обзор 2017'!$B$3:$M$18</oldFormula>
  </rdn>
  <rdn rId="0" localSheetId="17" customView="1" name="Z_06317133_151B_4DBC_8EB3_9345BA061F91_.wvu.PrintArea" hidden="1" oldHidden="1">
    <formula>'обзор 2016'!$B$3:$Q$19</formula>
    <oldFormula>'обзор 2016'!$B$3:$Q$19</oldFormula>
  </rdn>
  <rdn rId="0" localSheetId="17" customView="1" name="Z_06317133_151B_4DBC_8EB3_9345BA061F91_.wvu.Cols" hidden="1" oldHidden="1">
    <formula>'обзор 2016'!$A:$A</formula>
    <oldFormula>'обзор 2016'!$A:$A</oldFormula>
  </rdn>
  <rdn rId="0" localSheetId="18" customView="1" name="Z_06317133_151B_4DBC_8EB3_9345BA061F91_.wvu.PrintArea" hidden="1" oldHidden="1">
    <formula>'объёмы 2019'!$A$3:$U$98</formula>
    <oldFormula>'объёмы 2019'!$A$3:$U$98</oldFormula>
  </rdn>
  <rdn rId="0" localSheetId="18" customView="1" name="Z_06317133_151B_4DBC_8EB3_9345BA061F91_.wvu.PrintTitles" hidden="1" oldHidden="1">
    <formula>'объёмы 2019'!$5:$6</formula>
    <oldFormula>'объёмы 2019'!$5:$6</oldFormula>
  </rdn>
  <rcv guid="{06317133-151B-4DBC-8EB3-9345BA061F91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1" sId="12">
    <oc r="G7">
      <f>300+300+300+300</f>
    </oc>
    <nc r="G7">
      <f>300+300+300+300+420</f>
    </nc>
  </rcc>
  <rcc rId="3062" sId="12">
    <nc r="H90">
      <v>1</v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K31">
    <dxf>
      <fill>
        <patternFill patternType="solid">
          <bgColor rgb="FFFFFF00"/>
        </patternFill>
      </fill>
    </dxf>
  </rfmt>
  <rfmt sheetId="10" sqref="K84">
    <dxf>
      <fill>
        <patternFill patternType="solid">
          <bgColor rgb="FFFFFF00"/>
        </patternFill>
      </fill>
    </dxf>
  </rfmt>
  <rfmt sheetId="10" sqref="K23">
    <dxf>
      <fill>
        <patternFill patternType="solid">
          <bgColor rgb="FFFFFF00"/>
        </patternFill>
      </fill>
    </dxf>
  </rfmt>
  <rfmt sheetId="10" sqref="K22">
    <dxf>
      <fill>
        <patternFill patternType="solid">
          <bgColor rgb="FFFFFF00"/>
        </patternFill>
      </fill>
    </dxf>
  </rfmt>
  <rfmt sheetId="10" sqref="K32">
    <dxf>
      <fill>
        <patternFill patternType="solid">
          <bgColor rgb="FFFFFF00"/>
        </patternFill>
      </fill>
    </dxf>
  </rfmt>
  <rfmt sheetId="10" sqref="K26">
    <dxf>
      <fill>
        <patternFill patternType="solid">
          <bgColor rgb="FFFFFF00"/>
        </patternFill>
      </fill>
    </dxf>
  </rfmt>
  <rfmt sheetId="10" sqref="K37">
    <dxf>
      <fill>
        <patternFill patternType="solid">
          <bgColor rgb="FFFFFF00"/>
        </patternFill>
      </fill>
    </dxf>
  </rfmt>
  <rfmt sheetId="10" sqref="K33">
    <dxf>
      <fill>
        <patternFill patternType="solid">
          <bgColor rgb="FFFFFF00"/>
        </patternFill>
      </fill>
    </dxf>
  </rfmt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K25">
    <dxf>
      <fill>
        <patternFill patternType="solid">
          <bgColor rgb="FFFFFF00"/>
        </patternFill>
      </fill>
    </dxf>
  </rfmt>
  <rfmt sheetId="10" sqref="K35">
    <dxf>
      <fill>
        <patternFill patternType="solid">
          <bgColor rgb="FFFFFF00"/>
        </patternFill>
      </fill>
    </dxf>
  </rfmt>
  <rfmt sheetId="10" sqref="K24">
    <dxf>
      <fill>
        <patternFill patternType="solid">
          <bgColor rgb="FFFFFF00"/>
        </patternFill>
      </fill>
    </dxf>
  </rfmt>
  <rfmt sheetId="10" sqref="K83">
    <dxf>
      <fill>
        <patternFill patternType="solid">
          <bgColor rgb="FF00B0F0"/>
        </patternFill>
      </fill>
    </dxf>
  </rfmt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D149" start="0" length="0">
    <dxf>
      <font>
        <sz val="10"/>
        <color indexed="8"/>
        <name val="Arial"/>
        <scheme val="none"/>
      </font>
      <alignment horizontal="center" vertical="center" readingOrder="0"/>
    </dxf>
  </rfmt>
  <rfmt sheetId="13" sqref="D31" start="0" length="0">
    <dxf>
      <alignment horizontal="center" vertical="center" readingOrder="0"/>
      <border outline="0">
        <top style="thin">
          <color indexed="64"/>
        </top>
        <bottom style="thin">
          <color indexed="64"/>
        </bottom>
      </border>
    </dxf>
  </rfmt>
  <rfmt sheetId="13" sqref="D32" start="0" length="0">
    <dxf>
      <alignment horizontal="center" vertical="center" readingOrder="0"/>
    </dxf>
  </rfmt>
  <rfmt sheetId="13" sqref="D33" start="0" length="0">
    <dxf>
      <alignment horizontal="center" vertical="center" readingOrder="0"/>
    </dxf>
  </rfmt>
  <rfmt sheetId="13" sqref="D34" start="0" length="0">
    <dxf>
      <alignment horizontal="center" vertical="center" readingOrder="0"/>
    </dxf>
  </rfmt>
  <rfmt sheetId="13" sqref="A31" start="0" length="0">
    <dxf>
      <font>
        <sz val="10"/>
        <color indexed="8"/>
        <name val="Arial"/>
        <scheme val="none"/>
      </font>
      <alignment horizontal="right" vertical="center" readingOrder="0"/>
      <border outline="0">
        <bottom style="thin">
          <color indexed="64"/>
        </bottom>
      </border>
    </dxf>
  </rfmt>
  <rfmt sheetId="13" sqref="A32" start="0" length="0">
    <dxf>
      <font>
        <sz val="10"/>
        <color indexed="8"/>
        <name val="Arial"/>
        <scheme val="none"/>
      </font>
      <alignment horizontal="right" vertical="center" readingOrder="0"/>
      <border outline="0">
        <bottom style="thin">
          <color indexed="64"/>
        </bottom>
      </border>
    </dxf>
  </rfmt>
  <rfmt sheetId="13" sqref="A33" start="0" length="0">
    <dxf>
      <font>
        <sz val="10"/>
        <color indexed="8"/>
        <name val="Arial"/>
        <scheme val="none"/>
      </font>
      <alignment horizontal="right" vertical="center" readingOrder="0"/>
      <border outline="0">
        <bottom style="thin">
          <color indexed="64"/>
        </bottom>
      </border>
    </dxf>
  </rfmt>
  <rfmt sheetId="13" sqref="A34" start="0" length="0">
    <dxf>
      <font>
        <sz val="10"/>
        <color indexed="8"/>
        <name val="Arial"/>
        <scheme val="none"/>
      </font>
      <alignment horizontal="right" vertical="center" readingOrder="0"/>
      <border outline="0">
        <bottom style="thin">
          <color indexed="64"/>
        </bottom>
      </border>
    </dxf>
  </rfmt>
  <rfmt sheetId="13" sqref="A149" start="0" length="0">
    <dxf>
      <font>
        <sz val="10"/>
        <color indexed="8"/>
        <name val="Arial"/>
        <scheme val="none"/>
      </font>
    </dxf>
  </rfmt>
  <rfmt sheetId="13" sqref="B149" start="0" length="0">
    <dxf>
      <font>
        <sz val="10"/>
        <color indexed="8"/>
        <name val="Arial"/>
        <scheme val="none"/>
      </font>
      <alignment vertical="center" readingOrder="0"/>
      <border outline="0">
        <top style="thin">
          <color indexed="64"/>
        </top>
        <bottom style="thin">
          <color indexed="64"/>
        </bottom>
      </border>
      <protection locked="0"/>
    </dxf>
  </rfmt>
  <rfmt sheetId="13" sqref="C149" start="0" length="0">
    <dxf>
      <font>
        <sz val="10"/>
        <color indexed="8"/>
        <name val="Arial"/>
        <scheme val="none"/>
      </font>
      <alignment horizontal="left" vertical="center" readingOrder="0"/>
      <border outline="0">
        <top style="thin">
          <color indexed="64"/>
        </top>
        <bottom style="thin">
          <color indexed="64"/>
        </bottom>
      </border>
      <protection locked="0"/>
    </dxf>
  </rfmt>
  <rcc rId="3063" sId="13">
    <oc r="F149">
      <f>E149*D149</f>
    </oc>
    <nc r="F149">
      <f>E149*D149</f>
    </nc>
  </rcc>
  <rcc rId="3064" sId="13">
    <oc r="L149">
      <f>E149*(H149+I149+J149+K149)</f>
    </oc>
    <nc r="L149">
      <f>E149*(H149+I149+J149+K149)</f>
    </nc>
  </rcc>
  <rcc rId="3065" sId="13">
    <oc r="S149">
      <f>H149*E149</f>
    </oc>
    <nc r="S149">
      <f>H149*E149</f>
    </nc>
  </rcc>
  <rcc rId="3066" sId="13">
    <oc r="T149">
      <f>I149*E149</f>
    </oc>
    <nc r="T149">
      <f>I149*E149</f>
    </nc>
  </rcc>
  <rcc rId="3067" sId="13">
    <oc r="U149">
      <f>J149*E149</f>
    </oc>
    <nc r="U149">
      <f>J149*E149</f>
    </nc>
  </rcc>
  <rcc rId="3068" sId="13">
    <oc r="V149">
      <f>K149*E149</f>
    </oc>
    <nc r="V149">
      <f>K149*E149</f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6317133-151B-4DBC-8EB3-9345BA061F91}" action="delete"/>
  <rdn rId="0" localSheetId="3" customView="1" name="Z_06317133_151B_4DBC_8EB3_9345BA061F91_.wvu.PrintTitles" hidden="1" oldHidden="1">
    <formula>'январь 2019'!$4:$7</formula>
    <oldFormula>'январь 2019'!$4:$7</oldFormula>
  </rdn>
  <rdn rId="0" localSheetId="5" customView="1" name="Z_06317133_151B_4DBC_8EB3_9345BA061F91_.wvu.PrintTitles" hidden="1" oldHidden="1">
    <formula>'февраль 2019'!$4:$7</formula>
    <oldFormula>'февраль 2019'!$4:$7</oldFormula>
  </rdn>
  <rdn rId="0" localSheetId="6" customView="1" name="Z_06317133_151B_4DBC_8EB3_9345BA061F91_.wvu.PrintArea" hidden="1" oldHidden="1">
    <formula>'март 2019 Эпотос-К'!$B$7:$G$93</formula>
    <oldFormula>'март 2019 Эпотос-К'!$B$7:$G$93</oldFormula>
  </rdn>
  <rdn rId="0" localSheetId="7" customView="1" name="Z_06317133_151B_4DBC_8EB3_9345BA061F91_.wvu.PrintTitles" hidden="1" oldHidden="1">
    <formula>'март 2019'!$4:$7</formula>
    <oldFormula>'март 2019'!$4:$7</oldFormula>
  </rdn>
  <rdn rId="0" localSheetId="8" customView="1" name="Z_06317133_151B_4DBC_8EB3_9345BA061F91_.wvu.PrintArea" hidden="1" oldHidden="1">
    <formula>'апрель 2019 Эпотос-К'!$B$7:$G$93</formula>
    <oldFormula>'апрель 2019 Эпотос-К'!$B$7:$G$93</oldFormula>
  </rdn>
  <rdn rId="0" localSheetId="9" customView="1" name="Z_06317133_151B_4DBC_8EB3_9345BA061F91_.wvu.PrintTitles" hidden="1" oldHidden="1">
    <formula>'апрель 2019'!$4:$7</formula>
    <oldFormula>'апрель 2019'!$4:$7</oldFormula>
  </rdn>
  <rdn rId="0" localSheetId="10" customView="1" name="Z_06317133_151B_4DBC_8EB3_9345BA061F91_.wvu.PrintArea" hidden="1" oldHidden="1">
    <formula>'май 2019 Эпотос-К'!$A$7:$B$82</formula>
    <oldFormula>'май 2019 Эпотос-К'!$A$7:$B$82</oldFormula>
  </rdn>
  <rdn rId="0" localSheetId="10" customView="1" name="Z_06317133_151B_4DBC_8EB3_9345BA061F91_.wvu.Cols" hidden="1" oldHidden="1">
    <formula>'май 2019 Эпотос-К'!$S:$V</formula>
    <oldFormula>'май 2019 Эпотос-К'!$S:$V</oldFormula>
  </rdn>
  <rdn rId="0" localSheetId="11" customView="1" name="Z_06317133_151B_4DBC_8EB3_9345BA061F91_.wvu.PrintTitles" hidden="1" oldHidden="1">
    <formula>'май 2019'!$4:$7</formula>
    <oldFormula>'май 2019'!$4:$7</oldFormula>
  </rdn>
  <rdn rId="0" localSheetId="11" customView="1" name="Z_06317133_151B_4DBC_8EB3_9345BA061F91_.wvu.Cols" hidden="1" oldHidden="1">
    <formula>'май 2019'!$S:$V</formula>
    <oldFormula>'май 2019'!$S:$V</oldFormula>
  </rdn>
  <rdn rId="0" localSheetId="12" customView="1" name="Z_06317133_151B_4DBC_8EB3_9345BA061F91_.wvu.PrintArea" hidden="1" oldHidden="1">
    <formula>'июнь 2019 Эпотос-К'!$B$47:$D$56</formula>
    <oldFormula>'июнь 2019 Эпотос-К'!$B$47:$D$56</oldFormula>
  </rdn>
  <rdn rId="0" localSheetId="12" customView="1" name="Z_06317133_151B_4DBC_8EB3_9345BA061F91_.wvu.Cols" hidden="1" oldHidden="1">
    <formula>'июнь 2019 Эпотос-К'!$S:$V</formula>
    <oldFormula>'июнь 2019 Эпотос-К'!$S:$V</oldFormula>
  </rdn>
  <rdn rId="0" localSheetId="13" customView="1" name="Z_06317133_151B_4DBC_8EB3_9345BA061F91_.wvu.PrintTitles" hidden="1" oldHidden="1">
    <formula>'июнь 2019'!$4:$7</formula>
    <oldFormula>'июнь 2019'!$4:$7</oldFormula>
  </rdn>
  <rdn rId="0" localSheetId="13" customView="1" name="Z_06317133_151B_4DBC_8EB3_9345BA061F91_.wvu.Cols" hidden="1" oldHidden="1">
    <formula>'июнь 2019'!$S:$V</formula>
    <oldFormula>'июнь 2019'!$S:$V</oldFormula>
  </rdn>
  <rdn rId="0" localSheetId="14" customView="1" name="Z_06317133_151B_4DBC_8EB3_9345BA061F91_.wvu.PrintArea" hidden="1" oldHidden="1">
    <formula>'обзор 2019'!$B$3:$M$18</formula>
    <oldFormula>'обзор 2019'!$B$3:$M$18</oldFormula>
  </rdn>
  <rdn rId="0" localSheetId="15" customView="1" name="Z_06317133_151B_4DBC_8EB3_9345BA061F91_.wvu.PrintArea" hidden="1" oldHidden="1">
    <formula>'обзор 2018'!$B$3:$M$18</formula>
    <oldFormula>'обзор 2018'!$B$3:$M$18</oldFormula>
  </rdn>
  <rdn rId="0" localSheetId="16" customView="1" name="Z_06317133_151B_4DBC_8EB3_9345BA061F91_.wvu.PrintArea" hidden="1" oldHidden="1">
    <formula>'обзор 2017'!$B$3:$M$18</formula>
    <oldFormula>'обзор 2017'!$B$3:$M$18</oldFormula>
  </rdn>
  <rdn rId="0" localSheetId="17" customView="1" name="Z_06317133_151B_4DBC_8EB3_9345BA061F91_.wvu.PrintArea" hidden="1" oldHidden="1">
    <formula>'обзор 2016'!$B$3:$Q$19</formula>
    <oldFormula>'обзор 2016'!$B$3:$Q$19</oldFormula>
  </rdn>
  <rdn rId="0" localSheetId="17" customView="1" name="Z_06317133_151B_4DBC_8EB3_9345BA061F91_.wvu.Cols" hidden="1" oldHidden="1">
    <formula>'обзор 2016'!$A:$A</formula>
    <oldFormula>'обзор 2016'!$A:$A</oldFormula>
  </rdn>
  <rdn rId="0" localSheetId="18" customView="1" name="Z_06317133_151B_4DBC_8EB3_9345BA061F91_.wvu.PrintArea" hidden="1" oldHidden="1">
    <formula>'объёмы 2019'!$A$3:$U$98</formula>
    <oldFormula>'объёмы 2019'!$A$3:$U$98</oldFormula>
  </rdn>
  <rdn rId="0" localSheetId="18" customView="1" name="Z_06317133_151B_4DBC_8EB3_9345BA061F91_.wvu.PrintTitles" hidden="1" oldHidden="1">
    <formula>'объёмы 2019'!$5:$6</formula>
    <oldFormula>'объёмы 2019'!$5:$6</oldFormula>
  </rdn>
  <rcv guid="{06317133-151B-4DBC-8EB3-9345BA061F91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90" sId="13">
    <nc r="S31">
      <f>H31*E31</f>
    </nc>
  </rcc>
  <rcc rId="3091" sId="13">
    <nc r="T31">
      <f>I31*E31</f>
    </nc>
  </rcc>
  <rcc rId="3092" sId="13">
    <nc r="U31">
      <f>J31*E31</f>
    </nc>
  </rcc>
  <rcc rId="3093" sId="13">
    <nc r="V31">
      <f>K31*E31</f>
    </nc>
  </rcc>
  <rcc rId="3094" sId="13">
    <nc r="S32">
      <f>H32*E32</f>
    </nc>
  </rcc>
  <rcc rId="3095" sId="13">
    <nc r="T32">
      <f>I32*E32</f>
    </nc>
  </rcc>
  <rcc rId="3096" sId="13">
    <nc r="U32">
      <f>J32*E32</f>
    </nc>
  </rcc>
  <rcc rId="3097" sId="13">
    <nc r="V32">
      <f>K32*E32</f>
    </nc>
  </rcc>
  <rcc rId="3098" sId="13">
    <nc r="S33">
      <f>H33*E33</f>
    </nc>
  </rcc>
  <rcc rId="3099" sId="13">
    <nc r="T33">
      <f>I33*E33</f>
    </nc>
  </rcc>
  <rcc rId="3100" sId="13">
    <nc r="U33">
      <f>J33*E33</f>
    </nc>
  </rcc>
  <rcc rId="3101" sId="13">
    <nc r="V33">
      <f>K33*E33</f>
    </nc>
  </rcc>
  <rcc rId="3102" sId="13">
    <nc r="S34">
      <f>H34*E34</f>
    </nc>
  </rcc>
  <rcc rId="3103" sId="13">
    <nc r="T34">
      <f>I34*E34</f>
    </nc>
  </rcc>
  <rcc rId="3104" sId="13">
    <nc r="U34">
      <f>J34*E34</f>
    </nc>
  </rcc>
  <rcc rId="3105" sId="13">
    <nc r="V34">
      <f>K34*E34</f>
    </nc>
  </rcc>
  <rcc rId="3106" sId="13">
    <nc r="S63">
      <f>H63*E63</f>
    </nc>
  </rcc>
  <rcc rId="3107" sId="13">
    <nc r="T63">
      <f>I63*E63</f>
    </nc>
  </rcc>
  <rcc rId="3108" sId="13">
    <nc r="U63">
      <f>J63*E63</f>
    </nc>
  </rcc>
  <rcc rId="3109" sId="13">
    <nc r="V63">
      <f>K63*E63</f>
    </nc>
  </rcc>
  <rcc rId="3110" sId="13">
    <nc r="S64">
      <f>H64*E64</f>
    </nc>
  </rcc>
  <rcc rId="3111" sId="13">
    <nc r="T64">
      <f>I64*E64</f>
    </nc>
  </rcc>
  <rcc rId="3112" sId="13">
    <nc r="U64">
      <f>J64*E64</f>
    </nc>
  </rcc>
  <rcc rId="3113" sId="13">
    <nc r="V64">
      <f>K64*E64</f>
    </nc>
  </rcc>
  <rcc rId="3114" sId="13">
    <nc r="S65">
      <f>H65*E65</f>
    </nc>
  </rcc>
  <rcc rId="3115" sId="13">
    <nc r="T65">
      <f>I65*E65</f>
    </nc>
  </rcc>
  <rcc rId="3116" sId="13">
    <nc r="U65">
      <f>J65*E65</f>
    </nc>
  </rcc>
  <rcc rId="3117" sId="13">
    <nc r="V65">
      <f>K65*E65</f>
    </nc>
  </rcc>
  <rcc rId="3118" sId="13">
    <nc r="S66">
      <f>H66*E66</f>
    </nc>
  </rcc>
  <rcc rId="3119" sId="13">
    <nc r="T66">
      <f>I66*E66</f>
    </nc>
  </rcc>
  <rcc rId="3120" sId="13">
    <nc r="U66">
      <f>J66*E66</f>
    </nc>
  </rcc>
  <rcc rId="3121" sId="13">
    <nc r="V66">
      <f>K66*E66</f>
    </nc>
  </rcc>
  <rcc rId="3122" sId="13">
    <nc r="S67">
      <f>H67*E67</f>
    </nc>
  </rcc>
  <rcc rId="3123" sId="13">
    <nc r="T67">
      <f>I67*E67</f>
    </nc>
  </rcc>
  <rcc rId="3124" sId="13">
    <nc r="U67">
      <f>J67*E67</f>
    </nc>
  </rcc>
  <rcc rId="3125" sId="13">
    <nc r="V67">
      <f>K67*E67</f>
    </nc>
  </rcc>
  <rcc rId="3126" sId="13">
    <oc r="S68">
      <f>H68*E68</f>
    </oc>
    <nc r="S68">
      <f>H68*E68</f>
    </nc>
  </rcc>
  <rcc rId="3127" sId="13">
    <oc r="T68">
      <f>I68*E68</f>
    </oc>
    <nc r="T68">
      <f>I68*E68</f>
    </nc>
  </rcc>
  <rcc rId="3128" sId="13">
    <oc r="U68">
      <f>J68*E68</f>
    </oc>
    <nc r="U68">
      <f>J68*E68</f>
    </nc>
  </rcc>
  <rcc rId="3129" sId="13">
    <oc r="V68">
      <f>K68*E68</f>
    </oc>
    <nc r="V68">
      <f>K68*E68</f>
    </nc>
  </rcc>
  <rcc rId="3130" sId="13">
    <oc r="S69">
      <f>H69*E69</f>
    </oc>
    <nc r="S69">
      <f>H69*E69</f>
    </nc>
  </rcc>
  <rcc rId="3131" sId="13">
    <oc r="T69">
      <f>I69*E69</f>
    </oc>
    <nc r="T69">
      <f>I69*E69</f>
    </nc>
  </rcc>
  <rcc rId="3132" sId="13">
    <oc r="U69">
      <f>J69*E69</f>
    </oc>
    <nc r="U69">
      <f>J69*E69</f>
    </nc>
  </rcc>
  <rcc rId="3133" sId="13">
    <oc r="V69">
      <f>K69*E69</f>
    </oc>
    <nc r="V69">
      <f>K69*E69</f>
    </nc>
  </rcc>
  <rcc rId="3134" sId="13">
    <nc r="S70">
      <f>H70*E70</f>
    </nc>
  </rcc>
  <rcc rId="3135" sId="13">
    <nc r="T70">
      <f>I70*E70</f>
    </nc>
  </rcc>
  <rcc rId="3136" sId="13">
    <nc r="U70">
      <f>J70*E70</f>
    </nc>
  </rcc>
  <rcc rId="3137" sId="13">
    <nc r="V70">
      <f>K70*E70</f>
    </nc>
  </rcc>
  <rcc rId="3138" sId="13">
    <nc r="S117">
      <f>H117*E117</f>
    </nc>
  </rcc>
  <rcc rId="3139" sId="13">
    <nc r="T117">
      <f>I117*E117</f>
    </nc>
  </rcc>
  <rcc rId="3140" sId="13">
    <nc r="U117">
      <f>J117*E117</f>
    </nc>
  </rcc>
  <rcc rId="3141" sId="13">
    <nc r="V117">
      <f>K117*E117</f>
    </nc>
  </rcc>
  <rcc rId="3142" sId="13">
    <nc r="S118">
      <f>H118*E118</f>
    </nc>
  </rcc>
  <rcc rId="3143" sId="13">
    <nc r="T118">
      <f>I118*E118</f>
    </nc>
  </rcc>
  <rcc rId="3144" sId="13">
    <nc r="U118">
      <f>J118*E118</f>
    </nc>
  </rcc>
  <rcc rId="3145" sId="13">
    <nc r="V118">
      <f>K118*E118</f>
    </nc>
  </rcc>
  <rcc rId="3146" sId="13">
    <nc r="S119">
      <f>H119*E119</f>
    </nc>
  </rcc>
  <rcc rId="3147" sId="13">
    <nc r="T119">
      <f>I119*E119</f>
    </nc>
  </rcc>
  <rcc rId="3148" sId="13">
    <nc r="U119">
      <f>J119*E119</f>
    </nc>
  </rcc>
  <rcc rId="3149" sId="13">
    <nc r="V119">
      <f>K119*E119</f>
    </nc>
  </rcc>
  <rcc rId="3150" sId="13">
    <nc r="S120">
      <f>H120*E120</f>
    </nc>
  </rcc>
  <rcc rId="3151" sId="13">
    <nc r="T120">
      <f>I120*E120</f>
    </nc>
  </rcc>
  <rcc rId="3152" sId="13">
    <nc r="U120">
      <f>J120*E120</f>
    </nc>
  </rcc>
  <rcc rId="3153" sId="13">
    <nc r="V120">
      <f>K120*E120</f>
    </nc>
  </rcc>
  <rcc rId="3154" sId="13">
    <nc r="S121">
      <f>H121*E121</f>
    </nc>
  </rcc>
  <rcc rId="3155" sId="13">
    <nc r="T121">
      <f>I121*E121</f>
    </nc>
  </rcc>
  <rcc rId="3156" sId="13">
    <nc r="U121">
      <f>J121*E121</f>
    </nc>
  </rcc>
  <rcc rId="3157" sId="13">
    <nc r="V121">
      <f>K121*E121</f>
    </nc>
  </rcc>
  <rcc rId="3158" sId="13">
    <nc r="S122">
      <f>H122*E122</f>
    </nc>
  </rcc>
  <rcc rId="3159" sId="13">
    <nc r="T122">
      <f>I122*E122</f>
    </nc>
  </rcc>
  <rcc rId="3160" sId="13">
    <nc r="U122">
      <f>J122*E122</f>
    </nc>
  </rcc>
  <rcc rId="3161" sId="13">
    <nc r="V122">
      <f>K122*E122</f>
    </nc>
  </rcc>
  <rcc rId="3162" sId="13">
    <nc r="S123">
      <f>H123*E123</f>
    </nc>
  </rcc>
  <rcc rId="3163" sId="13">
    <nc r="T123">
      <f>I123*E123</f>
    </nc>
  </rcc>
  <rcc rId="3164" sId="13">
    <nc r="U123">
      <f>J123*E123</f>
    </nc>
  </rcc>
  <rcc rId="3165" sId="13">
    <nc r="V123">
      <f>K123*E123</f>
    </nc>
  </rcc>
  <rcc rId="3166" sId="13">
    <nc r="S124">
      <f>H124*E124</f>
    </nc>
  </rcc>
  <rcc rId="3167" sId="13">
    <nc r="T124">
      <f>I124*E124</f>
    </nc>
  </rcc>
  <rcc rId="3168" sId="13">
    <nc r="U124">
      <f>J124*E124</f>
    </nc>
  </rcc>
  <rcc rId="3169" sId="13">
    <nc r="V124">
      <f>K124*E124</f>
    </nc>
  </rcc>
  <rcc rId="3170" sId="13">
    <nc r="S125">
      <f>H125*E125</f>
    </nc>
  </rcc>
  <rcc rId="3171" sId="13">
    <nc r="T125">
      <f>I125*E125</f>
    </nc>
  </rcc>
  <rcc rId="3172" sId="13">
    <nc r="U125">
      <f>J125*E125</f>
    </nc>
  </rcc>
  <rcc rId="3173" sId="13">
    <nc r="V125">
      <f>K125*E125</f>
    </nc>
  </rcc>
  <rcc rId="3174" sId="13">
    <oc r="S126">
      <f>H126*E126</f>
    </oc>
    <nc r="S126">
      <f>H126*E126</f>
    </nc>
  </rcc>
  <rcc rId="3175" sId="13">
    <oc r="T126">
      <f>I126*E126</f>
    </oc>
    <nc r="T126">
      <f>I126*E126</f>
    </nc>
  </rcc>
  <rcc rId="3176" sId="13">
    <oc r="U126">
      <f>J126*E126</f>
    </oc>
    <nc r="U126">
      <f>J126*E126</f>
    </nc>
  </rcc>
  <rcc rId="3177" sId="13">
    <oc r="V126">
      <f>K126*E126</f>
    </oc>
    <nc r="V126">
      <f>K126*E126</f>
    </nc>
  </rcc>
  <rcv guid="{A1BD6C0C-B1B9-4F48-A6B1-3BFD273F4CD7}" action="delete"/>
  <rdn rId="0" localSheetId="3" customView="1" name="Z_A1BD6C0C_B1B9_4F48_A6B1_3BFD273F4CD7_.wvu.PrintTitles" hidden="1" oldHidden="1">
    <formula>'январь 2019'!$4:$7</formula>
    <oldFormula>'январь 2019'!$4:$7</oldFormula>
  </rdn>
  <rdn rId="0" localSheetId="4" customView="1" name="Z_A1BD6C0C_B1B9_4F48_A6B1_3BFD273F4CD7_.wvu.PrintArea" hidden="1" oldHidden="1">
    <formula>'февраль 2019 Эпотос-К'!$B$7:$G$96</formula>
    <oldFormula>'февраль 2019 Эпотос-К'!$B$7:$G$96</oldFormula>
  </rdn>
  <rdn rId="0" localSheetId="5" customView="1" name="Z_A1BD6C0C_B1B9_4F48_A6B1_3BFD273F4CD7_.wvu.PrintTitles" hidden="1" oldHidden="1">
    <formula>'февраль 2019'!$4:$7</formula>
    <oldFormula>'февраль 2019'!$4:$7</oldFormula>
  </rdn>
  <rdn rId="0" localSheetId="6" customView="1" name="Z_A1BD6C0C_B1B9_4F48_A6B1_3BFD273F4CD7_.wvu.PrintArea" hidden="1" oldHidden="1">
    <formula>'март 2019 Эпотос-К'!$B$7:$G$93</formula>
    <oldFormula>'март 2019 Эпотос-К'!$B$7:$G$93</oldFormula>
  </rdn>
  <rdn rId="0" localSheetId="7" customView="1" name="Z_A1BD6C0C_B1B9_4F48_A6B1_3BFD273F4CD7_.wvu.PrintTitles" hidden="1" oldHidden="1">
    <formula>'март 2019'!$4:$7</formula>
    <oldFormula>'март 2019'!$4:$7</oldFormula>
  </rdn>
  <rdn rId="0" localSheetId="8" customView="1" name="Z_A1BD6C0C_B1B9_4F48_A6B1_3BFD273F4CD7_.wvu.PrintArea" hidden="1" oldHidden="1">
    <formula>'апрель 2019 Эпотос-К'!$A$7:$B$82</formula>
    <oldFormula>'апрель 2019 Эпотос-К'!$A$7:$B$82</oldFormula>
  </rdn>
  <rdn rId="0" localSheetId="8" customView="1" name="Z_A1BD6C0C_B1B9_4F48_A6B1_3BFD273F4CD7_.wvu.Cols" hidden="1" oldHidden="1">
    <formula>'апрель 2019 Эпотос-К'!$S:$V</formula>
    <oldFormula>'апрель 2019 Эпотос-К'!$S:$V</oldFormula>
  </rdn>
  <rdn rId="0" localSheetId="9" customView="1" name="Z_A1BD6C0C_B1B9_4F48_A6B1_3BFD273F4CD7_.wvu.PrintTitles" hidden="1" oldHidden="1">
    <formula>'апрель 2019'!$4:$7</formula>
    <oldFormula>'апрель 2019'!$4:$7</oldFormula>
  </rdn>
  <rdn rId="0" localSheetId="9" customView="1" name="Z_A1BD6C0C_B1B9_4F48_A6B1_3BFD273F4CD7_.wvu.Cols" hidden="1" oldHidden="1">
    <formula>'апрель 2019'!$S:$V</formula>
    <oldFormula>'апрель 2019'!$S:$V</oldFormula>
  </rdn>
  <rdn rId="0" localSheetId="10" customView="1" name="Z_A1BD6C0C_B1B9_4F48_A6B1_3BFD273F4CD7_.wvu.PrintArea" hidden="1" oldHidden="1">
    <formula>'май 2019 Эпотос-К'!$B$47:$D$56</formula>
    <oldFormula>'май 2019 Эпотос-К'!$B$47:$D$56</oldFormula>
  </rdn>
  <rdn rId="0" localSheetId="10" customView="1" name="Z_A1BD6C0C_B1B9_4F48_A6B1_3BFD273F4CD7_.wvu.Cols" hidden="1" oldHidden="1">
    <formula>'май 2019 Эпотос-К'!$S:$V</formula>
    <oldFormula>'май 2019 Эпотос-К'!$S:$V</oldFormula>
  </rdn>
  <rdn rId="0" localSheetId="11" customView="1" name="Z_A1BD6C0C_B1B9_4F48_A6B1_3BFD273F4CD7_.wvu.PrintTitles" hidden="1" oldHidden="1">
    <formula>'май 2019'!$4:$7</formula>
    <oldFormula>'май 2019'!$4:$7</oldFormula>
  </rdn>
  <rdn rId="0" localSheetId="11" customView="1" name="Z_A1BD6C0C_B1B9_4F48_A6B1_3BFD273F4CD7_.wvu.Cols" hidden="1" oldHidden="1">
    <formula>'май 2019'!$S:$V</formula>
    <oldFormula>'май 2019'!$S:$V</oldFormula>
  </rdn>
  <rdn rId="0" localSheetId="12" customView="1" name="Z_A1BD6C0C_B1B9_4F48_A6B1_3BFD273F4CD7_.wvu.PrintArea" hidden="1" oldHidden="1">
    <formula>'июнь 2019 Эпотос-К'!$B$47:$D$56</formula>
    <oldFormula>'июнь 2019 Эпотос-К'!$B$47:$D$56</oldFormula>
  </rdn>
  <rdn rId="0" localSheetId="12" customView="1" name="Z_A1BD6C0C_B1B9_4F48_A6B1_3BFD273F4CD7_.wvu.Cols" hidden="1" oldHidden="1">
    <formula>'июнь 2019 Эпотос-К'!$S:$V</formula>
  </rdn>
  <rdn rId="0" localSheetId="13" customView="1" name="Z_A1BD6C0C_B1B9_4F48_A6B1_3BFD273F4CD7_.wvu.PrintTitles" hidden="1" oldHidden="1">
    <formula>'июнь 2019'!$4:$7</formula>
    <oldFormula>'июнь 2019'!$4:$7</oldFormula>
  </rdn>
  <rdn rId="0" localSheetId="13" customView="1" name="Z_A1BD6C0C_B1B9_4F48_A6B1_3BFD273F4CD7_.wvu.Cols" hidden="1" oldHidden="1">
    <formula>'июнь 2019'!$S:$V</formula>
    <oldFormula>'июнь 2019'!$S:$V</oldFormula>
  </rdn>
  <rdn rId="0" localSheetId="17" customView="1" name="Z_A1BD6C0C_B1B9_4F48_A6B1_3BFD273F4CD7_.wvu.PrintArea" hidden="1" oldHidden="1">
    <formula>'обзор 2016'!$B$3:$Q$19</formula>
    <oldFormula>'обзор 2016'!$B$3:$Q$19</oldFormula>
  </rdn>
  <rdn rId="0" localSheetId="17" customView="1" name="Z_A1BD6C0C_B1B9_4F48_A6B1_3BFD273F4CD7_.wvu.Cols" hidden="1" oldHidden="1">
    <formula>'обзор 2016'!$A:$A</formula>
    <oldFormula>'обзор 2016'!$A:$A</oldFormula>
  </rdn>
  <rdn rId="0" localSheetId="18" customView="1" name="Z_A1BD6C0C_B1B9_4F48_A6B1_3BFD273F4CD7_.wvu.PrintArea" hidden="1" oldHidden="1">
    <formula>'объёмы 2019'!$A$3:$U$38</formula>
    <oldFormula>'объёмы 2019'!$A$3:$U$38</oldFormula>
  </rdn>
  <rdn rId="0" localSheetId="18" customView="1" name="Z_A1BD6C0C_B1B9_4F48_A6B1_3BFD273F4CD7_.wvu.PrintTitles" hidden="1" oldHidden="1">
    <formula>'объёмы 2019'!$5:$6</formula>
    <oldFormula>'объёмы 2019'!$5:$6</oldFormula>
  </rdn>
  <rdn rId="0" localSheetId="18" customView="1" name="Z_A1BD6C0C_B1B9_4F48_A6B1_3BFD273F4CD7_.wvu.Cols" hidden="1" oldHidden="1">
    <formula>'объёмы 2019'!$V:$V</formula>
    <oldFormula>'объёмы 2019'!$V:$V</oldFormula>
  </rdn>
  <rcv guid="{A1BD6C0C-B1B9-4F48-A6B1-3BFD273F4CD7}" action="add"/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0" sId="13">
    <nc r="G47">
      <v>2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1" sId="13">
    <oc r="D53">
      <v>1</v>
    </oc>
    <nc r="D53"/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02" sId="13" ref="A105:XFD105" action="deleteRow">
    <undo index="0" exp="area" ref3D="1" dr="$S$1:$V$1048576" dn="Z_06317133_151B_4DBC_8EB3_9345BA061F91_.wvu.Cols" sId="13"/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105:XFD105" start="0" length="0">
      <dxf>
        <font>
          <sz val="10"/>
          <color indexed="8"/>
          <name val="Arial"/>
          <scheme val="none"/>
        </font>
      </dxf>
    </rfmt>
    <rcc rId="0" sId="13" dxf="1" numFmtId="30">
      <nc r="A105">
        <v>5521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105" t="inlineStr">
        <is>
          <t>Квадрат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105" t="inlineStr">
        <is>
          <t>Пуансон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105">
        <v>5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105">
        <v>1020</v>
      </nc>
      <ndxf>
        <font>
          <sz val="10"/>
          <color indexed="8"/>
          <name val="Arial"/>
          <scheme val="none"/>
        </font>
        <numFmt numFmtId="176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105">
        <f>E105*D105</f>
      </nc>
      <ndxf>
        <numFmt numFmtId="168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105">
        <f>E105*(H105+I105+J105+K105)</f>
      </nc>
      <ndxf>
        <numFmt numFmtId="3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105">
        <v>43608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105">
        <v>43633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105" start="0" length="0">
      <dxf>
        <font>
          <sz val="10"/>
          <color indexed="8"/>
          <name val="Arial"/>
          <scheme val="none"/>
        </font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105" start="0" length="0">
      <dxf/>
    </rfmt>
    <rcc rId="0" sId="13">
      <nc r="S105">
        <f>H105*E105</f>
      </nc>
    </rcc>
    <rcc rId="0" sId="13">
      <nc r="T105">
        <f>I105*E105</f>
      </nc>
    </rcc>
    <rcc rId="0" sId="13">
      <nc r="U105">
        <f>J105*E105</f>
      </nc>
    </rcc>
    <rcc rId="0" sId="13">
      <nc r="V105">
        <f>K105*E105</f>
      </nc>
    </rcc>
  </rrc>
  <rrc rId="3203" sId="13" ref="A105:XFD105" action="deleteRow">
    <undo index="0" exp="area" ref3D="1" dr="$S$1:$V$1048576" dn="Z_06317133_151B_4DBC_8EB3_9345BA061F91_.wvu.Cols" sId="13"/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105:XFD105" start="0" length="0">
      <dxf>
        <font>
          <sz val="10"/>
          <color indexed="8"/>
          <name val="Arial"/>
          <scheme val="none"/>
        </font>
      </dxf>
    </rfmt>
    <rcc rId="0" sId="13" dxf="1" numFmtId="30">
      <nc r="A105">
        <v>5522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105" t="inlineStr">
        <is>
          <t>Квадрат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105" t="inlineStr">
        <is>
          <t>Втулка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105">
        <v>1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105">
        <v>1150</v>
      </nc>
      <ndxf>
        <font>
          <sz val="10"/>
          <color indexed="8"/>
          <name val="Arial"/>
          <scheme val="none"/>
        </font>
        <numFmt numFmtId="176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105">
        <f>E105*D105</f>
      </nc>
      <ndxf>
        <numFmt numFmtId="168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105">
        <f>E105*(H105+I105+J105+K105)</f>
      </nc>
      <ndxf>
        <numFmt numFmtId="3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105">
        <v>43608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105">
        <v>43633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105" start="0" length="0">
      <dxf>
        <font>
          <sz val="10"/>
          <color indexed="8"/>
          <name val="Arial"/>
          <scheme val="none"/>
        </font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105" start="0" length="0">
      <dxf/>
    </rfmt>
    <rcc rId="0" sId="13">
      <nc r="S105">
        <f>H105*E105</f>
      </nc>
    </rcc>
    <rcc rId="0" sId="13">
      <nc r="T105">
        <f>I105*E105</f>
      </nc>
    </rcc>
    <rcc rId="0" sId="13">
      <nc r="U105">
        <f>J105*E105</f>
      </nc>
    </rcc>
    <rcc rId="0" sId="13">
      <nc r="V105">
        <f>K105*E105</f>
      </nc>
    </rcc>
  </rrc>
  <rrc rId="3204" sId="13" ref="A105:XFD105" action="deleteRow">
    <undo index="0" exp="area" ref3D="1" dr="$S$1:$V$1048576" dn="Z_06317133_151B_4DBC_8EB3_9345BA061F91_.wvu.Cols" sId="13"/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105:XFD105" start="0" length="0">
      <dxf>
        <font>
          <sz val="10"/>
          <color indexed="8"/>
          <name val="Arial"/>
          <scheme val="none"/>
        </font>
      </dxf>
    </rfmt>
    <rcc rId="0" sId="13" dxf="1" numFmtId="30">
      <nc r="A105">
        <v>5523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105" t="inlineStr">
        <is>
          <t>Квадрат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105" t="inlineStr">
        <is>
          <t>Держатель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105">
        <v>1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105">
        <v>4600</v>
      </nc>
      <ndxf>
        <font>
          <sz val="10"/>
          <color indexed="8"/>
          <name val="Arial"/>
          <scheme val="none"/>
        </font>
        <numFmt numFmtId="176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105">
        <f>E105*D105</f>
      </nc>
      <ndxf>
        <numFmt numFmtId="168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105">
        <f>E105*(H105+I105+J105+K105)</f>
      </nc>
      <ndxf>
        <numFmt numFmtId="3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105">
        <v>43608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105">
        <v>43633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105" start="0" length="0">
      <dxf>
        <font>
          <sz val="10"/>
          <color indexed="8"/>
          <name val="Arial"/>
          <scheme val="none"/>
        </font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105" start="0" length="0">
      <dxf/>
    </rfmt>
    <rcc rId="0" sId="13">
      <nc r="S105">
        <f>H105*E105</f>
      </nc>
    </rcc>
    <rcc rId="0" sId="13">
      <nc r="T105">
        <f>I105*E105</f>
      </nc>
    </rcc>
    <rcc rId="0" sId="13">
      <nc r="U105">
        <f>J105*E105</f>
      </nc>
    </rcc>
    <rcc rId="0" sId="13">
      <nc r="V105">
        <f>K105*E105</f>
      </nc>
    </rcc>
  </rrc>
  <rrc rId="3205" sId="13" ref="A105:XFD105" action="deleteRow">
    <undo index="0" exp="area" ref3D="1" dr="$S$1:$V$1048576" dn="Z_06317133_151B_4DBC_8EB3_9345BA061F91_.wvu.Cols" sId="13"/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105:XFD105" start="0" length="0">
      <dxf>
        <font>
          <sz val="10"/>
          <color indexed="8"/>
          <name val="Arial"/>
          <scheme val="none"/>
        </font>
      </dxf>
    </rfmt>
    <rcc rId="0" sId="13" dxf="1" numFmtId="30">
      <nc r="A105">
        <v>5524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105" t="inlineStr">
        <is>
          <t>Квадрат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105" t="inlineStr">
        <is>
          <t>Пуансон S13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105">
        <v>2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105">
        <v>1600</v>
      </nc>
      <ndxf>
        <font>
          <sz val="10"/>
          <color indexed="8"/>
          <name val="Arial"/>
          <scheme val="none"/>
        </font>
        <numFmt numFmtId="176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105">
        <f>E105*D105</f>
      </nc>
      <ndxf>
        <numFmt numFmtId="168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105">
        <f>E105*(H105+I105+J105+K105)</f>
      </nc>
      <ndxf>
        <numFmt numFmtId="3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105">
        <v>43608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105">
        <v>43633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105" start="0" length="0">
      <dxf>
        <font>
          <sz val="10"/>
          <color indexed="8"/>
          <name val="Arial"/>
          <scheme val="none"/>
        </font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105" start="0" length="0">
      <dxf/>
    </rfmt>
    <rcc rId="0" sId="13">
      <nc r="S105">
        <f>H105*E105</f>
      </nc>
    </rcc>
    <rcc rId="0" sId="13">
      <nc r="T105">
        <f>I105*E105</f>
      </nc>
    </rcc>
    <rcc rId="0" sId="13">
      <nc r="U105">
        <f>J105*E105</f>
      </nc>
    </rcc>
    <rcc rId="0" sId="13">
      <nc r="V105">
        <f>K105*E105</f>
      </nc>
    </rcc>
  </rrc>
  <rrc rId="3206" sId="13" ref="A105:XFD105" action="deleteRow">
    <undo index="0" exp="area" ref3D="1" dr="$S$1:$V$1048576" dn="Z_06317133_151B_4DBC_8EB3_9345BA061F91_.wvu.Cols" sId="13"/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105:XFD105" start="0" length="0">
      <dxf>
        <font>
          <sz val="10"/>
          <color indexed="8"/>
          <name val="Arial"/>
          <scheme val="none"/>
        </font>
      </dxf>
    </rfmt>
    <rcc rId="0" sId="13" dxf="1" numFmtId="30">
      <nc r="A105">
        <v>5525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105" t="inlineStr">
        <is>
          <t>Квадрат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105" t="inlineStr">
        <is>
          <t>Пуансон круглый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105">
        <v>2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105">
        <v>1020</v>
      </nc>
      <ndxf>
        <font>
          <sz val="10"/>
          <color indexed="8"/>
          <name val="Arial"/>
          <scheme val="none"/>
        </font>
        <numFmt numFmtId="176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105">
        <f>E105*D105</f>
      </nc>
      <ndxf>
        <numFmt numFmtId="168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105">
        <f>E105*(H105+I105+J105+K105)</f>
      </nc>
      <ndxf>
        <numFmt numFmtId="3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105">
        <v>43608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105">
        <v>43633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105" start="0" length="0">
      <dxf>
        <font>
          <sz val="10"/>
          <color indexed="8"/>
          <name val="Arial"/>
          <scheme val="none"/>
        </font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105" start="0" length="0">
      <dxf/>
    </rfmt>
    <rcc rId="0" sId="13">
      <nc r="S105">
        <f>H105*E105</f>
      </nc>
    </rcc>
    <rcc rId="0" sId="13">
      <nc r="T105">
        <f>I105*E105</f>
      </nc>
    </rcc>
    <rcc rId="0" sId="13">
      <nc r="U105">
        <f>J105*E105</f>
      </nc>
    </rcc>
    <rcc rId="0" sId="13">
      <nc r="V105">
        <f>K105*E105</f>
      </nc>
    </rcc>
  </rrc>
  <rrc rId="3207" sId="13" ref="A105:XFD105" action="deleteRow">
    <undo index="0" exp="area" ref3D="1" dr="$S$1:$V$1048576" dn="Z_06317133_151B_4DBC_8EB3_9345BA061F91_.wvu.Cols" sId="13"/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105:XFD105" start="0" length="0">
      <dxf>
        <font>
          <sz val="10"/>
          <color indexed="8"/>
          <name val="Arial"/>
          <scheme val="none"/>
        </font>
      </dxf>
    </rfmt>
    <rcc rId="0" sId="13" dxf="1" numFmtId="30">
      <nc r="A105">
        <v>5526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105" t="inlineStr">
        <is>
          <t>Квадрат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105" t="inlineStr">
        <is>
          <t>Матрица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105">
        <v>2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105">
        <v>4100</v>
      </nc>
      <ndxf>
        <font>
          <sz val="10"/>
          <color indexed="8"/>
          <name val="Arial"/>
          <scheme val="none"/>
        </font>
        <numFmt numFmtId="176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105">
        <f>E105*D105</f>
      </nc>
      <ndxf>
        <numFmt numFmtId="168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105">
        <f>E105*(H105+I105+J105+K105)</f>
      </nc>
      <ndxf>
        <numFmt numFmtId="3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105">
        <v>43608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105">
        <v>43633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105" start="0" length="0">
      <dxf>
        <font>
          <sz val="10"/>
          <color indexed="8"/>
          <name val="Arial"/>
          <scheme val="none"/>
        </font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105" start="0" length="0">
      <dxf/>
    </rfmt>
    <rcc rId="0" sId="13">
      <nc r="S105">
        <f>H105*E105</f>
      </nc>
    </rcc>
    <rcc rId="0" sId="13">
      <nc r="T105">
        <f>I105*E105</f>
      </nc>
    </rcc>
    <rcc rId="0" sId="13">
      <nc r="U105">
        <f>J105*E105</f>
      </nc>
    </rcc>
    <rcc rId="0" sId="13">
      <nc r="V105">
        <f>K105*E105</f>
      </nc>
    </rcc>
  </rrc>
  <rrc rId="3208" sId="13" ref="A105:XFD105" action="deleteRow">
    <undo index="0" exp="area" ref3D="1" dr="$S$1:$V$1048576" dn="Z_06317133_151B_4DBC_8EB3_9345BA061F91_.wvu.Cols" sId="13"/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105:XFD105" start="0" length="0">
      <dxf>
        <font>
          <sz val="10"/>
          <color indexed="8"/>
          <name val="Arial"/>
          <scheme val="none"/>
        </font>
      </dxf>
    </rfmt>
    <rcc rId="0" sId="13" dxf="1" numFmtId="30">
      <nc r="A105">
        <v>5527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105" t="inlineStr">
        <is>
          <t>Квадрат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105" t="inlineStr">
        <is>
          <t>Пуансон проколки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105">
        <v>2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105">
        <v>1480</v>
      </nc>
      <ndxf>
        <font>
          <sz val="10"/>
          <color indexed="8"/>
          <name val="Arial"/>
          <scheme val="none"/>
        </font>
        <numFmt numFmtId="176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105">
        <f>E105*D105</f>
      </nc>
      <ndxf>
        <numFmt numFmtId="168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105">
        <f>E105*(H105+I105+J105+K105)</f>
      </nc>
      <ndxf>
        <numFmt numFmtId="3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105">
        <v>43608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105">
        <v>43633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105" start="0" length="0">
      <dxf>
        <font>
          <sz val="10"/>
          <color indexed="8"/>
          <name val="Arial"/>
          <scheme val="none"/>
        </font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105" start="0" length="0">
      <dxf/>
    </rfmt>
    <rcc rId="0" sId="13">
      <nc r="S105">
        <f>H105*E105</f>
      </nc>
    </rcc>
    <rcc rId="0" sId="13">
      <nc r="T105">
        <f>I105*E105</f>
      </nc>
    </rcc>
    <rcc rId="0" sId="13">
      <nc r="U105">
        <f>J105*E105</f>
      </nc>
    </rcc>
    <rcc rId="0" sId="13">
      <nc r="V105">
        <f>K105*E105</f>
      </nc>
    </rcc>
  </rrc>
  <rrc rId="3209" sId="13" ref="A105:XFD105" action="deleteRow">
    <undo index="0" exp="area" ref3D="1" dr="$S$1:$V$1048576" dn="Z_06317133_151B_4DBC_8EB3_9345BA061F91_.wvu.Cols" sId="13"/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105:XFD105" start="0" length="0">
      <dxf>
        <font>
          <sz val="10"/>
          <color indexed="8"/>
          <name val="Arial"/>
          <scheme val="none"/>
        </font>
      </dxf>
    </rfmt>
    <rcc rId="0" sId="13" dxf="1" numFmtId="30">
      <nc r="A105">
        <v>5528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105" t="inlineStr">
        <is>
          <t>Квадрат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105" t="inlineStr">
        <is>
          <t>Ползун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105">
        <v>1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105">
        <v>3180</v>
      </nc>
      <ndxf>
        <font>
          <sz val="10"/>
          <color indexed="8"/>
          <name val="Arial"/>
          <scheme val="none"/>
        </font>
        <numFmt numFmtId="176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105">
        <f>E105*D105</f>
      </nc>
      <ndxf>
        <numFmt numFmtId="168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105">
        <f>E105*(H105+I105+J105+K105)</f>
      </nc>
      <ndxf>
        <numFmt numFmtId="3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105">
        <v>43608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105">
        <v>43633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105" start="0" length="0">
      <dxf>
        <font>
          <sz val="10"/>
          <color indexed="8"/>
          <name val="Arial"/>
          <scheme val="none"/>
        </font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105" start="0" length="0">
      <dxf/>
    </rfmt>
    <rcc rId="0" sId="13">
      <nc r="S105">
        <f>H105*E105</f>
      </nc>
    </rcc>
    <rcc rId="0" sId="13">
      <nc r="T105">
        <f>I105*E105</f>
      </nc>
    </rcc>
    <rcc rId="0" sId="13">
      <nc r="U105">
        <f>J105*E105</f>
      </nc>
    </rcc>
    <rcc rId="0" sId="13">
      <nc r="V105">
        <f>K105*E105</f>
      </nc>
    </rcc>
  </rrc>
  <rrc rId="3210" sId="13" ref="A105:XFD105" action="deleteRow">
    <undo index="0" exp="area" ref3D="1" dr="$S$1:$V$1048576" dn="Z_06317133_151B_4DBC_8EB3_9345BA061F91_.wvu.Cols" sId="13"/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105:XFD105" start="0" length="0">
      <dxf>
        <font>
          <sz val="10"/>
          <color indexed="8"/>
          <name val="Arial"/>
          <scheme val="none"/>
        </font>
      </dxf>
    </rfmt>
    <rcc rId="0" sId="13" dxf="1" numFmtId="30">
      <nc r="A105">
        <v>5529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105" t="inlineStr">
        <is>
          <t>Квадрат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105" t="inlineStr">
        <is>
          <t>Подкладка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105">
        <v>4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105">
        <v>850</v>
      </nc>
      <ndxf>
        <font>
          <sz val="10"/>
          <color indexed="8"/>
          <name val="Arial"/>
          <scheme val="none"/>
        </font>
        <numFmt numFmtId="176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105">
        <f>E105*D105</f>
      </nc>
      <ndxf>
        <numFmt numFmtId="168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105">
        <f>E105*(H105+I105+J105+K105)</f>
      </nc>
      <ndxf>
        <numFmt numFmtId="3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105">
        <v>43608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105">
        <v>43633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105" start="0" length="0">
      <dxf>
        <font>
          <sz val="10"/>
          <color indexed="8"/>
          <name val="Arial"/>
          <scheme val="none"/>
        </font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105" start="0" length="0">
      <dxf/>
    </rfmt>
    <rcc rId="0" sId="13">
      <nc r="S105">
        <f>H105*E105</f>
      </nc>
    </rcc>
    <rcc rId="0" sId="13">
      <nc r="T105">
        <f>I105*E105</f>
      </nc>
    </rcc>
    <rcc rId="0" sId="13">
      <nc r="U105">
        <f>J105*E105</f>
      </nc>
    </rcc>
    <rcc rId="0" sId="13">
      <nc r="V105">
        <f>K105*E105</f>
      </nc>
    </rcc>
  </rrc>
  <rrc rId="3211" sId="13" ref="A105:XFD105" action="deleteRow">
    <undo index="0" exp="area" ref3D="1" dr="$S$1:$V$1048576" dn="Z_06317133_151B_4DBC_8EB3_9345BA061F91_.wvu.Cols" sId="13"/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105:XFD105" start="0" length="0">
      <dxf>
        <font>
          <sz val="10"/>
          <color indexed="8"/>
          <name val="Arial"/>
          <scheme val="none"/>
        </font>
      </dxf>
    </rfmt>
    <rcc rId="0" sId="13" dxf="1" numFmtId="30">
      <nc r="A105">
        <v>5530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105" t="inlineStr">
        <is>
          <t>Квадрат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105" t="inlineStr">
        <is>
          <t>Подкладка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105">
        <v>4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105">
        <v>860</v>
      </nc>
      <ndxf>
        <font>
          <sz val="10"/>
          <color indexed="8"/>
          <name val="Arial"/>
          <scheme val="none"/>
        </font>
        <numFmt numFmtId="176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105">
        <f>E105*D105</f>
      </nc>
      <ndxf>
        <numFmt numFmtId="168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105">
        <f>E105*(H105+I105+J105+K105)</f>
      </nc>
      <ndxf>
        <numFmt numFmtId="3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105">
        <v>43608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105">
        <v>43633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105" start="0" length="0">
      <dxf>
        <font>
          <sz val="10"/>
          <color indexed="8"/>
          <name val="Arial"/>
          <scheme val="none"/>
        </font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105" start="0" length="0">
      <dxf/>
    </rfmt>
    <rcc rId="0" sId="13">
      <nc r="S105">
        <f>H105*E105</f>
      </nc>
    </rcc>
    <rcc rId="0" sId="13">
      <nc r="T105">
        <f>I105*E105</f>
      </nc>
    </rcc>
    <rcc rId="0" sId="13">
      <nc r="U105">
        <f>J105*E105</f>
      </nc>
    </rcc>
    <rcc rId="0" sId="13">
      <nc r="V105">
        <f>K105*E105</f>
      </nc>
    </rcc>
  </rrc>
  <rrc rId="3212" sId="13" ref="A105:XFD105" action="deleteRow">
    <undo index="0" exp="area" ref3D="1" dr="$S$1:$V$1048576" dn="Z_06317133_151B_4DBC_8EB3_9345BA061F91_.wvu.Cols" sId="13"/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105:XFD105" start="0" length="0">
      <dxf>
        <font>
          <sz val="10"/>
          <color indexed="8"/>
          <name val="Arial"/>
          <scheme val="none"/>
        </font>
      </dxf>
    </rfmt>
    <rcc rId="0" sId="13" dxf="1" numFmtId="30">
      <nc r="A105">
        <v>5531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105" t="inlineStr">
        <is>
          <t>Квадрат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105" t="inlineStr">
        <is>
          <t>Пуансон проколки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105">
        <v>2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105">
        <v>1090</v>
      </nc>
      <ndxf>
        <font>
          <sz val="10"/>
          <color indexed="8"/>
          <name val="Arial"/>
          <scheme val="none"/>
        </font>
        <numFmt numFmtId="176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105">
        <f>E105*D105</f>
      </nc>
      <ndxf>
        <numFmt numFmtId="168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105">
        <f>E105*(H105+I105+J105+K105)</f>
      </nc>
      <ndxf>
        <numFmt numFmtId="3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105">
        <v>43608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105">
        <v>43633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105" start="0" length="0">
      <dxf>
        <font>
          <sz val="10"/>
          <color indexed="8"/>
          <name val="Arial"/>
          <scheme val="none"/>
        </font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105" start="0" length="0">
      <dxf/>
    </rfmt>
    <rcc rId="0" sId="13">
      <nc r="S105">
        <f>H105*E105</f>
      </nc>
    </rcc>
    <rcc rId="0" sId="13">
      <nc r="T105">
        <f>I105*E105</f>
      </nc>
    </rcc>
    <rcc rId="0" sId="13">
      <nc r="U105">
        <f>J105*E105</f>
      </nc>
    </rcc>
    <rcc rId="0" sId="13">
      <nc r="V105">
        <f>K105*E105</f>
      </nc>
    </rcc>
  </rrc>
  <rrc rId="3213" sId="13" ref="A105:XFD105" action="deleteRow">
    <undo index="0" exp="area" ref3D="1" dr="$S$1:$V$1048576" dn="Z_06317133_151B_4DBC_8EB3_9345BA061F91_.wvu.Cols" sId="13"/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105:XFD105" start="0" length="0">
      <dxf>
        <font>
          <sz val="10"/>
          <color indexed="8"/>
          <name val="Arial"/>
          <scheme val="none"/>
        </font>
      </dxf>
    </rfmt>
    <rcc rId="0" sId="13" dxf="1" numFmtId="30">
      <nc r="A105">
        <v>5532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105" t="inlineStr">
        <is>
          <t>Квадрат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105" t="inlineStr">
        <is>
          <t>Пуансонодержатель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105">
        <v>1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105">
        <v>4450</v>
      </nc>
      <ndxf>
        <font>
          <sz val="10"/>
          <color indexed="8"/>
          <name val="Arial"/>
          <scheme val="none"/>
        </font>
        <numFmt numFmtId="176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105">
        <f>E105*D105</f>
      </nc>
      <ndxf>
        <numFmt numFmtId="168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10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105">
        <f>E105*(H105+I105+J105+K105)</f>
      </nc>
      <ndxf>
        <numFmt numFmtId="3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105">
        <v>43608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105">
        <v>43633</v>
      </nc>
      <ndxf>
        <numFmt numFmtId="177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105" start="0" length="0">
      <dxf>
        <font>
          <sz val="10"/>
          <color indexed="8"/>
          <name val="Arial"/>
          <scheme val="none"/>
        </font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105" start="0" length="0">
      <dxf/>
    </rfmt>
    <rcc rId="0" sId="13">
      <nc r="S105">
        <f>H105*E105</f>
      </nc>
    </rcc>
    <rcc rId="0" sId="13">
      <nc r="T105">
        <f>I105*E105</f>
      </nc>
    </rcc>
    <rcc rId="0" sId="13">
      <nc r="U105">
        <f>J105*E105</f>
      </nc>
    </rcc>
    <rcc rId="0" sId="13">
      <nc r="V105">
        <f>K105*E105</f>
      </nc>
    </rcc>
  </rr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4" sId="12">
    <oc r="F7">
      <v>1620</v>
    </oc>
    <nc r="F7">
      <v>2020</v>
    </nc>
  </rcc>
  <rcc rId="3215" sId="12">
    <nc r="F15">
      <v>150</v>
    </nc>
  </rcc>
  <rcc rId="3216" sId="12">
    <nc r="F16">
      <v>150</v>
    </nc>
  </rcc>
  <rcc rId="3217" sId="12">
    <nc r="F17">
      <v>150</v>
    </nc>
  </rcc>
  <rcc rId="3218" sId="12">
    <nc r="F18">
      <v>150</v>
    </nc>
  </rcc>
  <rcc rId="3219" sId="12">
    <nc r="F19">
      <v>150</v>
    </nc>
  </rcc>
  <rcc rId="3220" sId="12">
    <nc r="F20">
      <v>150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G96">
    <dxf>
      <numFmt numFmtId="167" formatCode="0.0%"/>
    </dxf>
  </rfmt>
  <rfmt sheetId="12" sqref="G96">
    <dxf>
      <numFmt numFmtId="14" formatCode="0.00%"/>
    </dxf>
  </rfmt>
  <rfmt sheetId="10" sqref="G96">
    <dxf>
      <numFmt numFmtId="167" formatCode="0.0%"/>
    </dxf>
  </rfmt>
  <rfmt sheetId="10" sqref="G96">
    <dxf>
      <numFmt numFmtId="14" formatCode="0.00%"/>
    </dxf>
  </rfmt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1" sId="12">
    <oc r="F37">
      <v>131</v>
    </oc>
    <nc r="F37">
      <v>266</v>
    </nc>
  </rcc>
  <rcc rId="3222" sId="12">
    <nc r="F50">
      <v>600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A63:A66">
    <dxf>
      <fill>
        <patternFill patternType="solid">
          <bgColor theme="6" tint="-0.249977111117893"/>
        </patternFill>
      </fill>
    </dxf>
  </rfmt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44" sId="11" ref="A77:XFD77" action="deleteRow">
    <undo index="0" exp="area" ref3D="1" dr="$S$1:$V$1048576" dn="Z_06317133_151B_4DBC_8EB3_9345BA061F91_.wvu.Cols" sId="11"/>
    <undo index="0" exp="area" ref3D="1" dr="$S$1:$V$1048576" dn="Z_D42288F7_1871_4EF6_BC87_1B9EF747C744_.wvu.Cols" sId="11"/>
    <undo index="0" exp="area" ref3D="1" dr="$S$1:$V$1048576" dn="Z_C29DA669_F4F9_44CD_9569_E796ADF74A86_.wvu.Cols" sId="11"/>
    <undo index="0" exp="area" ref3D="1" dr="$S$1:$V$1048576" dn="Z_A1BD6C0C_B1B9_4F48_A6B1_3BFD273F4CD7_.wvu.Cols" sId="11"/>
    <undo index="0" exp="area" ref3D="1" dr="$S$1:$V$1048576" dn="Z_8C638750_2D78_446E_B8DA_A6202AF1ED31_.wvu.Cols" sId="11"/>
    <undo index="0" exp="area" ref3D="1" dr="$S$1:$V$1048576" dn="Z_845EA106_2CB5_4F86_BBCF_D0DE18153B1C_.wvu.Cols" sId="11"/>
    <undo index="0" exp="area" ref3D="1" dr="$S$1:$V$1048576" dn="Z_45C31AC1_6FB2_488C_94EA_BCF9E79D0043_.wvu.Cols" sId="11"/>
    <undo index="0" exp="area" ref3D="1" dr="$S$1:$V$1048576" dn="Z_375BA386_B398_4A0E_AF86_4319F1FDDF11_.wvu.Cols" sId="11"/>
    <rfmt sheetId="11" xfDxf="1" sqref="A77:XFD77" start="0" length="0">
      <dxf>
        <font>
          <sz val="10"/>
          <color indexed="8"/>
          <name val="Arial"/>
          <scheme val="none"/>
        </font>
      </dxf>
    </rfmt>
    <rcc rId="0" sId="11" dxf="1" numFmtId="30">
      <nc r="A77">
        <v>5284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1" dxf="1">
      <nc r="B77" t="inlineStr">
        <is>
          <t>ТПК РЕПЛАЙН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1" dxf="1">
      <nc r="C77" t="inlineStr">
        <is>
          <t>Плазменная резка деталей из листа S=5мм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fmt sheetId="11" sqref="D77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1" dxf="1" numFmtId="11">
      <nc r="E77">
        <v>128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1" s="1" dxf="1">
      <nc r="F77">
        <f>E77*D77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1" sqref="G77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1" sqref="H77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1" sqref="I77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1" sqref="J77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1" sqref="K77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1" s="1" dxf="1">
      <nc r="L77">
        <f>E77*(H77+I77+J77+K77)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1" sqref="M77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1" sqref="N77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1" sqref="O77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1" sqref="P77" start="0" length="0">
      <dxf/>
    </rfmt>
    <rcc rId="0" sId="11">
      <nc r="S77">
        <f>H77*E77</f>
      </nc>
    </rcc>
    <rcc rId="0" sId="11">
      <nc r="T77">
        <f>I77*E77</f>
      </nc>
    </rcc>
    <rcc rId="0" sId="11">
      <nc r="U77">
        <f>J77*E77</f>
      </nc>
    </rcc>
    <rcc rId="0" sId="11">
      <nc r="V77">
        <f>K77*E77</f>
      </nc>
    </rcc>
  </rrc>
  <rrc rId="3245" sId="13" ref="A60:XFD60" action="deleteRow">
    <undo index="0" exp="area" ref3D="1" dr="$S$1:$V$1048576" dn="Z_06317133_151B_4DBC_8EB3_9345BA061F91_.wvu.Cols" sId="13"/>
    <undo index="0" exp="area" ref3D="1" dr="$S$1:$V$1048576" dn="Z_D42288F7_1871_4EF6_BC87_1B9EF747C744_.wvu.Cols" sId="13"/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60:XFD60" start="0" length="0">
      <dxf>
        <font>
          <sz val="10"/>
          <color indexed="8"/>
          <name val="Arial"/>
          <scheme val="none"/>
        </font>
      </dxf>
    </rfmt>
    <rcc rId="0" sId="13" dxf="1" numFmtId="30">
      <nc r="A60">
        <v>5284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60" t="inlineStr">
        <is>
          <t>ТПК РЕПЛАЙН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60" t="inlineStr">
        <is>
          <t>Плазменная резка деталей из листа S=5мм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fmt sheetId="13" sqref="D60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dxf="1" numFmtId="11">
      <nc r="E60">
        <v>128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60">
        <f>E60*D60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60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60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60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60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60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60">
        <f>E60*(H60+I60+J60+K60)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60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60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60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60" start="0" length="0">
      <dxf/>
    </rfmt>
    <rcc rId="0" sId="13">
      <nc r="S60">
        <f>H60*E60</f>
      </nc>
    </rcc>
    <rcc rId="0" sId="13">
      <nc r="T60">
        <f>I60*E60</f>
      </nc>
    </rcc>
    <rcc rId="0" sId="13">
      <nc r="U60">
        <f>J60*E60</f>
      </nc>
    </rcc>
    <rcc rId="0" sId="13">
      <nc r="V60">
        <f>K60*E60</f>
      </nc>
    </rcc>
  </rrc>
  <rfmt sheetId="11" sqref="B90" start="0" length="0">
    <dxf>
      <font>
        <sz val="10"/>
        <color indexed="8"/>
        <name val="Arial"/>
        <scheme val="none"/>
      </font>
      <alignment vertical="center" readingOrder="0"/>
    </dxf>
  </rfmt>
  <rfmt sheetId="11" sqref="C75" start="0" length="0">
    <dxf/>
  </rfmt>
  <rfmt sheetId="11" sqref="D75" start="0" length="0">
    <dxf/>
  </rfmt>
  <rfmt sheetId="11" sqref="E75" start="0" length="0">
    <dxf/>
  </rfmt>
  <rcc rId="3246" sId="11">
    <oc r="F75">
      <f>E75*D75</f>
    </oc>
    <nc r="F75">
      <f>E75*D75</f>
    </nc>
  </rcc>
  <rcc rId="3247" sId="11">
    <oc r="L75">
      <f>E75*(H75+I75+J75+K75)</f>
    </oc>
    <nc r="L75">
      <f>E75*(H75+I75+J75+K75)</f>
    </nc>
  </rcc>
  <rcc rId="3248" sId="11">
    <oc r="S75">
      <f>H75*E75</f>
    </oc>
    <nc r="S75">
      <f>H75*E75</f>
    </nc>
  </rcc>
  <rcc rId="3249" sId="11">
    <oc r="T75">
      <f>I75*E75</f>
    </oc>
    <nc r="T75">
      <f>I75*E75</f>
    </nc>
  </rcc>
  <rcc rId="3250" sId="11">
    <oc r="U75">
      <f>J75*E75</f>
    </oc>
    <nc r="U75">
      <f>J75*E75</f>
    </nc>
  </rcc>
  <rcc rId="3251" sId="11">
    <oc r="V75">
      <f>K75*E75</f>
    </oc>
    <nc r="V75">
      <f>K75*E75</f>
    </nc>
  </rcc>
  <rfmt sheetId="11" sqref="C76" start="0" length="0">
    <dxf/>
  </rfmt>
  <rfmt sheetId="11" sqref="D76" start="0" length="0">
    <dxf/>
  </rfmt>
  <rfmt sheetId="11" sqref="E76" start="0" length="0">
    <dxf/>
  </rfmt>
  <rcc rId="3252" sId="11">
    <oc r="F76">
      <f>E76*D76</f>
    </oc>
    <nc r="F76">
      <f>E76*D76</f>
    </nc>
  </rcc>
  <rcc rId="3253" sId="11">
    <oc r="L76">
      <f>E76*(H76+I76+J76+K76)</f>
    </oc>
    <nc r="L76">
      <f>E76*(H76+I76+J76+K76)</f>
    </nc>
  </rcc>
  <rcc rId="3254" sId="11">
    <oc r="S76">
      <f>H76*E76</f>
    </oc>
    <nc r="S76">
      <f>H76*E76</f>
    </nc>
  </rcc>
  <rcc rId="3255" sId="11">
    <oc r="T76">
      <f>I76*E76</f>
    </oc>
    <nc r="T76">
      <f>I76*E76</f>
    </nc>
  </rcc>
  <rcc rId="3256" sId="11">
    <oc r="U76">
      <f>J76*E76</f>
    </oc>
    <nc r="U76">
      <f>J76*E76</f>
    </nc>
  </rcc>
  <rcc rId="3257" sId="11">
    <oc r="V76">
      <f>K76*E76</f>
    </oc>
    <nc r="V76">
      <f>K76*E76</f>
    </nc>
  </rcc>
  <rfmt sheetId="11" sqref="D90" start="0" length="0">
    <dxf>
      <alignment horizontal="center" vertical="center" readingOrder="0"/>
    </dxf>
  </rfmt>
  <rfmt sheetId="11" sqref="C90" start="0" length="0">
    <dxf>
      <font>
        <sz val="10"/>
        <color indexed="8"/>
        <name val="Arial"/>
        <scheme val="none"/>
      </font>
      <alignment horizontal="left" vertical="center" readingOrder="0"/>
      <protection locked="0"/>
    </dxf>
  </rfmt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8" sId="13">
    <nc r="G62">
      <v>1</v>
    </nc>
  </rcc>
  <rcc rId="3259" sId="13">
    <nc r="G63">
      <v>2</v>
    </nc>
  </rcc>
  <rcc rId="3260" sId="13">
    <nc r="G64">
      <v>1</v>
    </nc>
  </rcc>
  <rcc rId="3261" sId="13">
    <nc r="G65">
      <v>1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2" sId="12">
    <nc r="H7">
      <v>400</v>
    </nc>
  </rcc>
  <rcc rId="3263" sId="12">
    <nc r="H37">
      <v>135</v>
    </nc>
  </rcc>
  <rcc rId="3264" sId="12">
    <nc r="H50">
      <v>600</v>
    </nc>
  </rcc>
  <rcc rId="3265" sId="12">
    <nc r="H15">
      <v>150</v>
    </nc>
  </rcc>
  <rcc rId="3266" sId="12">
    <nc r="H16">
      <v>150</v>
    </nc>
  </rcc>
  <rcc rId="3267" sId="12">
    <nc r="H17">
      <v>150</v>
    </nc>
  </rcc>
  <rcc rId="3268" sId="12">
    <nc r="H18">
      <v>150</v>
    </nc>
  </rcc>
  <rcc rId="3269" sId="12">
    <nc r="H19">
      <v>150</v>
    </nc>
  </rcc>
  <rcc rId="3270" sId="12">
    <nc r="H20">
      <v>150</v>
    </nc>
  </rcc>
  <rcc rId="3271" sId="12">
    <oc r="H90">
      <v>1</v>
    </oc>
    <nc r="H90">
      <f>1+5</f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72" sId="18">
    <nc r="H7">
      <f>'июнь 2019 Эпотос-К'!K7</f>
    </nc>
  </rcc>
  <rcc rId="3273" sId="18">
    <nc r="H11">
      <f>'июнь 2019 Эпотос-К'!K11</f>
    </nc>
  </rcc>
  <rcc rId="3274" sId="18">
    <nc r="H12">
      <f>'июнь 2019 Эпотос-К'!K12</f>
    </nc>
  </rcc>
  <rcc rId="3275" sId="18">
    <nc r="H13">
      <f>'июнь 2019 Эпотос-К'!K13</f>
    </nc>
  </rcc>
  <rcc rId="3276" sId="18">
    <nc r="H14">
      <f>'июнь 2019 Эпотос-К'!K14</f>
    </nc>
  </rcc>
  <rcc rId="3277" sId="18">
    <nc r="H15">
      <f>'июнь 2019 Эпотос-К'!K15</f>
    </nc>
  </rcc>
  <rcc rId="3278" sId="18">
    <nc r="H16">
      <f>'июнь 2019 Эпотос-К'!K16</f>
    </nc>
  </rcc>
  <rcc rId="3279" sId="18">
    <nc r="H17">
      <f>'июнь 2019 Эпотос-К'!K17</f>
    </nc>
  </rcc>
  <rcc rId="3280" sId="18">
    <nc r="H18">
      <f>'июнь 2019 Эпотос-К'!K18</f>
    </nc>
  </rcc>
  <rcc rId="3281" sId="18">
    <nc r="H19">
      <f>'июнь 2019 Эпотос-К'!K19</f>
    </nc>
  </rcc>
  <rcc rId="3282" sId="18">
    <nc r="H20">
      <f>'июнь 2019 Эпотос-К'!K20</f>
    </nc>
  </rcc>
  <rcc rId="3283" sId="18">
    <nc r="H22">
      <f>'июнь 2019 Эпотос-К'!K22</f>
    </nc>
  </rcc>
  <rcc rId="3284" sId="18">
    <nc r="H23">
      <f>'июнь 2019 Эпотос-К'!K23</f>
    </nc>
  </rcc>
  <rcc rId="3285" sId="18">
    <nc r="H24">
      <f>'июнь 2019 Эпотос-К'!K24</f>
    </nc>
  </rcc>
  <rcc rId="3286" sId="18">
    <nc r="H25">
      <f>'июнь 2019 Эпотос-К'!K25</f>
    </nc>
  </rcc>
  <rcc rId="3287" sId="18">
    <nc r="H26">
      <f>'июнь 2019 Эпотос-К'!K26</f>
    </nc>
  </rcc>
  <rcc rId="3288" sId="18">
    <nc r="H27">
      <f>'июнь 2019 Эпотос-К'!K27</f>
    </nc>
  </rcc>
  <rcc rId="3289" sId="18">
    <nc r="H28">
      <f>'июнь 2019 Эпотос-К'!K28</f>
    </nc>
  </rcc>
  <rcc rId="3290" sId="18">
    <nc r="H29">
      <f>'июнь 2019 Эпотос-К'!K29</f>
    </nc>
  </rcc>
  <rcc rId="3291" sId="18">
    <nc r="H31">
      <f>'июнь 2019 Эпотос-К'!K31</f>
    </nc>
  </rcc>
  <rcc rId="3292" sId="18">
    <nc r="H32">
      <f>'июнь 2019 Эпотос-К'!K32</f>
    </nc>
  </rcc>
  <rcc rId="3293" sId="18">
    <nc r="H33">
      <f>'июнь 2019 Эпотос-К'!K33</f>
    </nc>
  </rcc>
  <rcc rId="3294" sId="18">
    <nc r="H34">
      <f>'июнь 2019 Эпотос-К'!K34</f>
    </nc>
  </rcc>
  <rcc rId="3295" sId="18">
    <nc r="H35">
      <f>'июнь 2019 Эпотос-К'!K35</f>
    </nc>
  </rcc>
  <rcc rId="3296" sId="18">
    <nc r="H37">
      <f>'июнь 2019 Эпотос-К'!K37</f>
    </nc>
  </rcc>
  <rcc rId="3297" sId="18">
    <nc r="H39">
      <f>'июнь 2019 Эпотос-К'!K39</f>
    </nc>
  </rcc>
  <rcc rId="3298" sId="18">
    <nc r="H40">
      <f>'июнь 2019 Эпотос-К'!K40</f>
    </nc>
  </rcc>
  <rcc rId="3299" sId="18">
    <nc r="H41">
      <f>'июнь 2019 Эпотос-К'!K41</f>
    </nc>
  </rcc>
  <rcc rId="3300" sId="18">
    <nc r="H42">
      <f>'июнь 2019 Эпотос-К'!K42</f>
    </nc>
  </rcc>
  <rcc rId="3301" sId="18" odxf="1" dxf="1">
    <nc r="H43">
      <f>'июнь 2019 Эпотос-К'!K43</f>
    </nc>
    <odxf>
      <font>
        <sz val="12"/>
      </font>
    </odxf>
    <ndxf>
      <font>
        <sz val="12"/>
      </font>
    </ndxf>
  </rcc>
  <rcc rId="3302" sId="18" odxf="1" dxf="1">
    <nc r="H44">
      <f>'июнь 2019 Эпотос-К'!K44</f>
    </nc>
    <odxf>
      <font>
        <sz val="12"/>
      </font>
    </odxf>
    <ndxf>
      <font>
        <sz val="12"/>
      </font>
    </ndxf>
  </rcc>
  <rcc rId="3303" sId="18">
    <nc r="H45">
      <f>'июнь 2019 Эпотос-К'!K45</f>
    </nc>
  </rcc>
  <rcc rId="3304" sId="18">
    <nc r="H47">
      <f>'июнь 2019 Эпотос-К'!K47</f>
    </nc>
  </rcc>
  <rcc rId="3305" sId="18">
    <nc r="H48">
      <f>'июнь 2019 Эпотос-К'!K48</f>
    </nc>
  </rcc>
  <rcc rId="3306" sId="18">
    <nc r="H49">
      <f>'июнь 2019 Эпотос-К'!K49</f>
    </nc>
  </rcc>
  <rcc rId="3307" sId="18">
    <nc r="H50">
      <f>'июнь 2019 Эпотос-К'!K50</f>
    </nc>
  </rcc>
  <rcc rId="3308" sId="18">
    <nc r="H51">
      <f>'июнь 2019 Эпотос-К'!K51</f>
    </nc>
  </rcc>
  <rcc rId="3309" sId="18">
    <nc r="H52">
      <f>'июнь 2019 Эпотос-К'!K52</f>
    </nc>
  </rcc>
  <rcc rId="3310" sId="18">
    <nc r="H53">
      <f>'июнь 2019 Эпотос-К'!K53</f>
    </nc>
  </rcc>
  <rcc rId="3311" sId="18">
    <nc r="H54">
      <f>'июнь 2019 Эпотос-К'!K54</f>
    </nc>
  </rcc>
  <rcc rId="3312" sId="18" odxf="1" dxf="1">
    <nc r="H55">
      <f>'июнь 2019 Эпотос-К'!K55</f>
    </nc>
    <odxf>
      <border outline="0">
        <bottom/>
      </border>
    </odxf>
    <ndxf>
      <border outline="0">
        <bottom style="thin">
          <color indexed="64"/>
        </bottom>
      </border>
    </ndxf>
  </rcc>
  <rcc rId="3313" sId="18" odxf="1" dxf="1">
    <nc r="H56">
      <f>'июнь 2019 Эпотос-К'!K56</f>
    </nc>
    <odxf>
      <border outline="0">
        <bottom/>
      </border>
    </odxf>
    <ndxf>
      <border outline="0">
        <bottom style="thin">
          <color indexed="64"/>
        </bottom>
      </border>
    </ndxf>
  </rcc>
  <rcc rId="3314" sId="18">
    <nc r="H58">
      <f>'июнь 2019 Эпотос-К'!K58</f>
    </nc>
  </rcc>
  <rcc rId="3315" sId="18">
    <nc r="H59">
      <f>'июнь 2019 Эпотос-К'!K59</f>
    </nc>
  </rcc>
  <rcc rId="3316" sId="18">
    <nc r="H60">
      <f>'июнь 2019 Эпотос-К'!K60</f>
    </nc>
  </rcc>
  <rcc rId="3317" sId="18">
    <nc r="H61">
      <f>'июнь 2019 Эпотос-К'!K61</f>
    </nc>
  </rcc>
  <rcc rId="3318" sId="18">
    <nc r="H62">
      <f>'июнь 2019 Эпотос-К'!K62</f>
    </nc>
  </rcc>
  <rcc rId="3319" sId="18">
    <nc r="H64">
      <f>'июнь 2019 Эпотос-К'!K64</f>
    </nc>
  </rcc>
  <rcc rId="3320" sId="18">
    <nc r="H65">
      <f>'июнь 2019 Эпотос-К'!K65</f>
    </nc>
  </rcc>
  <rcc rId="3321" sId="18">
    <nc r="H66">
      <f>'июнь 2019 Эпотос-К'!K66</f>
    </nc>
  </rcc>
  <rcc rId="3322" sId="18">
    <nc r="H67">
      <f>'июнь 2019 Эпотос-К'!K67</f>
    </nc>
  </rcc>
  <rcc rId="3323" sId="18">
    <nc r="H68">
      <f>'июнь 2019 Эпотос-К'!K68</f>
    </nc>
  </rcc>
  <rcc rId="3324" sId="18">
    <nc r="H69">
      <f>'июнь 2019 Эпотос-К'!K69</f>
    </nc>
  </rcc>
  <rcc rId="3325" sId="18">
    <nc r="H70">
      <f>'июнь 2019 Эпотос-К'!K70</f>
    </nc>
  </rcc>
  <rcc rId="3326" sId="18">
    <nc r="H71">
      <f>'июнь 2019 Эпотос-К'!K71</f>
    </nc>
  </rcc>
  <rcc rId="3327" sId="18">
    <nc r="H73">
      <f>'июнь 2019 Эпотос-К'!K73</f>
    </nc>
  </rcc>
  <rcc rId="3328" sId="18">
    <nc r="H74">
      <f>'июнь 2019 Эпотос-К'!K74</f>
    </nc>
  </rcc>
  <rcc rId="3329" sId="13">
    <nc r="G46">
      <v>1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30" sId="13" ref="A35:XFD35" action="insertRow">
    <undo index="0" exp="area" ref3D="1" dr="$S$1:$V$1048576" dn="Z_45C31AC1_6FB2_488C_94EA_BCF9E79D0043_.wvu.Cols" sId="13"/>
    <undo index="0" exp="area" ref3D="1" dr="$S$1:$V$1048576" dn="Z_375BA386_B398_4A0E_AF86_4319F1FDDF11_.wvu.Cols" sId="13"/>
    <undo index="0" exp="area" ref3D="1" dr="$S$1:$V$1048576" dn="Z_D42288F7_1871_4EF6_BC87_1B9EF747C744_.wvu.Cols" sId="13"/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06317133_151B_4DBC_8EB3_9345BA061F91_.wvu.Cols" sId="13"/>
  </rrc>
  <rcc rId="3331" sId="13" odxf="1" s="1" dxf="1">
    <nc r="A35">
      <v>5605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ndxf>
  </rcc>
  <rcc rId="3332" sId="13" odxf="1" s="1" dxf="1">
    <nc r="B35" t="inlineStr">
      <is>
        <t>Полиспен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alignment horizontal="left" vertical="center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ndxf>
  </rcc>
  <rcc rId="3333" sId="13" odxf="1" s="1" dxf="1">
    <nc r="C35" t="inlineStr">
      <is>
        <t>Плита 200х200х8мм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odxf>
    <ndxf>
      <alignment horizontal="left" vertical="center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ndxf>
  </rcc>
  <rcc rId="3334" sId="13" odxf="1" s="1" dxf="1">
    <nc r="D35">
      <v>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ndxf>
  </rcc>
  <rcc rId="3335" sId="13" odxf="1" s="1" dxf="1" numFmtId="4">
    <nc r="E35">
      <v>160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76" formatCode="#,##0.00[$р.-419];\-#,##0.00[$р.-419]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179" formatCode="#,##0.00\ &quot;₽&quot;"/>
      <alignment horizontal="right" vertical="center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ndxf>
  </rcc>
  <rcc rId="3336" sId="13">
    <nc r="F35">
      <f>E35*D35</f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="1" sqref="A35" start="0" length="0">
    <dxf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dxf>
  </rfmt>
  <rfmt sheetId="13" s="1" sqref="B35" start="0" length="0">
    <dxf>
      <alignment horizontal="general" vertical="bottom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3" s="1" sqref="C35" start="0" length="0">
    <dxf>
      <alignment horizontal="general" vertical="bottom" readingOrder="0"/>
      <border outline="0">
        <left/>
        <right/>
        <top style="thin">
          <color indexed="64"/>
        </top>
        <bottom style="thin">
          <color indexed="64"/>
        </bottom>
      </border>
      <protection locked="1"/>
    </dxf>
  </rfmt>
  <rfmt sheetId="13" s="1" sqref="D35" start="0" length="0"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dxf>
  </rfmt>
  <rfmt sheetId="13" s="1" sqref="E35" start="0" length="0">
    <dxf>
      <font>
        <sz val="10"/>
        <color indexed="8"/>
        <name val="Arial"/>
        <scheme val="none"/>
      </font>
      <numFmt numFmtId="176" formatCode="#,##0.00[$р.-419];\-#,##0.00[$р.-419]"/>
      <alignment horizontal="general" vertical="bottom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cc rId="3337" sId="13">
    <oc r="F35">
      <f>E35*D35</f>
    </oc>
    <nc r="F35">
      <f>E35*D35</f>
    </nc>
  </rcc>
  <rcc rId="3338" sId="13">
    <nc r="G35">
      <v>8</v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9" sId="13">
    <nc r="I63">
      <v>1</v>
    </nc>
  </rcc>
  <rcc rId="3340" sId="13">
    <nc r="I64">
      <v>2</v>
    </nc>
  </rcc>
  <rcc rId="3341" sId="13">
    <nc r="I65">
      <v>1</v>
    </nc>
  </rcc>
  <rcc rId="3342" sId="13">
    <nc r="I66">
      <v>1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A35" start="0" length="0">
    <dxf>
      <font>
        <sz val="10"/>
        <color indexed="8"/>
        <name val="Arial"/>
        <scheme val="none"/>
      </font>
      <alignment horizontal="right" vertical="center" readingOrder="0"/>
      <border outline="0">
        <bottom style="thin">
          <color indexed="64"/>
        </bottom>
      </border>
    </dxf>
  </rfmt>
  <rfmt sheetId="13" sqref="B35" start="0" length="0">
    <dxf>
      <font>
        <sz val="10"/>
        <color indexed="8"/>
        <name val="Arial"/>
        <scheme val="none"/>
      </font>
    </dxf>
  </rfmt>
  <rfmt sheetId="13" sqref="C35" start="0" length="0">
    <dxf>
      <font>
        <sz val="10"/>
        <color indexed="8"/>
        <name val="Arial"/>
        <scheme val="none"/>
      </font>
    </dxf>
  </rfmt>
  <rfmt sheetId="13" sqref="D35" start="0" length="0">
    <dxf>
      <font>
        <sz val="10"/>
        <color indexed="8"/>
        <name val="Arial"/>
        <scheme val="none"/>
      </font>
      <alignment horizontal="center" vertical="center" readingOrder="0"/>
    </dxf>
  </rfmt>
  <rfmt sheetId="13" sqref="E35" start="0" length="0">
    <dxf>
      <font>
        <sz val="10"/>
        <color indexed="8"/>
        <name val="Arial"/>
        <scheme val="none"/>
      </font>
    </dxf>
  </rfmt>
  <rcc rId="3343" sId="13">
    <oc r="F35">
      <f>E35*D35</f>
    </oc>
    <nc r="F35">
      <f>E35*D35</f>
    </nc>
  </rcc>
  <rfmt sheetId="13" sqref="A63:A66">
    <dxf>
      <fill>
        <patternFill patternType="none">
          <bgColor auto="1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" sId="12">
    <nc r="F7">
      <v>300</v>
    </nc>
  </rcc>
  <rcc rId="352" sId="12">
    <nc r="F26">
      <v>31</v>
    </nc>
  </rcc>
  <rcc rId="353" sId="12">
    <nc r="F22">
      <v>31</v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="1" sqref="A139" start="0" length="0">
    <dxf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139" start="0" length="0">
    <dxf>
      <alignment horizontal="left" vertical="center" readingOrder="0"/>
      <border outline="0">
        <left style="thin">
          <color indexed="64"/>
        </left>
        <right style="thin">
          <color indexed="64"/>
        </right>
      </border>
    </dxf>
  </rfmt>
  <rfmt sheetId="13" s="1" sqref="C139" start="0" length="0">
    <dxf>
      <alignment horizontal="left" vertical="center" wrapText="1" readingOrder="0"/>
      <border outline="0">
        <left style="thin">
          <color indexed="64"/>
        </left>
        <right style="thin">
          <color indexed="64"/>
        </right>
      </border>
      <protection locked="0"/>
    </dxf>
  </rfmt>
  <rfmt sheetId="13" s="1" sqref="D139" start="0" length="0">
    <dxf>
      <border outline="0">
        <left style="thin">
          <color indexed="64"/>
        </left>
        <right style="thin">
          <color indexed="64"/>
        </right>
      </border>
      <protection locked="0"/>
    </dxf>
  </rfmt>
  <rfmt sheetId="13" s="1" sqref="E139" start="0" length="0">
    <dxf>
      <alignment horizontal="right" vertical="center" readingOrder="0"/>
      <border outline="0">
        <left style="thin">
          <color indexed="64"/>
        </left>
        <right style="thin">
          <color indexed="64"/>
        </right>
      </border>
    </dxf>
  </rfmt>
  <rcc rId="3344" sId="13" odxf="1" s="1" dxf="1" numFmtId="30">
    <nc r="A139">
      <v>5606</v>
    </nc>
    <ndxf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3345" sId="13" odxf="1" s="1" dxf="1">
    <nc r="B139" t="inlineStr">
      <is>
        <t>Идеал Строй</t>
      </is>
    </nc>
    <ndxf>
      <alignment horizontal="general" readingOrder="0"/>
      <border outline="0">
        <left style="medium">
          <color indexed="64"/>
        </left>
        <right style="medium">
          <color indexed="64"/>
        </right>
      </border>
    </ndxf>
  </rcc>
  <rcc rId="3346" sId="13" odxf="1" s="1" dxf="1">
    <nc r="C139" t="inlineStr">
      <is>
        <t>Шлифовка ножей L=1200</t>
      </is>
    </nc>
    <ndxf>
      <alignment wrapText="0" readingOrder="0"/>
      <border outline="0">
        <left style="medium">
          <color indexed="64"/>
        </left>
        <right/>
      </border>
    </ndxf>
  </rcc>
  <rcc rId="3347" sId="13" odxf="1" s="1" dxf="1">
    <nc r="D139">
      <v>2</v>
    </nc>
    <ndxf>
      <border outline="0">
        <left style="medium">
          <color indexed="64"/>
        </left>
        <right style="medium">
          <color indexed="64"/>
        </right>
      </border>
      <protection locked="1"/>
    </ndxf>
  </rcc>
  <rcc rId="3348" sId="13" odxf="1" s="1" dxf="1" numFmtId="11">
    <nc r="E139">
      <v>1450</v>
    </nc>
    <ndxf>
      <alignment horizontal="general" vertical="bottom" readingOrder="0"/>
      <border outline="0">
        <left/>
        <right style="medium">
          <color indexed="64"/>
        </right>
      </border>
    </ndxf>
  </rcc>
  <rcc rId="3349" sId="13">
    <oc r="F139">
      <f>E139*D139</f>
    </oc>
    <nc r="F139">
      <f>E139*D139</f>
    </nc>
  </rcc>
  <rcc rId="3350" sId="13">
    <oc r="L139">
      <f>E139*(H139+I139+J139+K139)</f>
    </oc>
    <nc r="L139">
      <f>E139*(H139+I139+J139+K139)</f>
    </nc>
  </rcc>
  <rcc rId="3351" sId="13">
    <oc r="S139">
      <f>H139*E139</f>
    </oc>
    <nc r="S139">
      <f>H139*E139</f>
    </nc>
  </rcc>
  <rcc rId="3352" sId="13">
    <oc r="T139">
      <f>I139*E139</f>
    </oc>
    <nc r="T139">
      <f>I139*E139</f>
    </nc>
  </rcc>
  <rcc rId="3353" sId="13">
    <oc r="U139">
      <f>J139*E139</f>
    </oc>
    <nc r="U139">
      <f>J139*E139</f>
    </nc>
  </rcc>
  <rcc rId="3354" sId="13">
    <oc r="V139">
      <f>K139*E139</f>
    </oc>
    <nc r="V139">
      <f>K139*E139</f>
    </nc>
  </rcc>
  <rrc rId="3355" sId="13" ref="A53:XFD53" action="insertRow">
    <undo index="0" exp="area" ref3D="1" dr="$S$1:$V$1048576" dn="Z_D42288F7_1871_4EF6_BC87_1B9EF747C744_.wvu.Cols" sId="13"/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undo index="0" exp="area" ref3D="1" dr="$S$1:$V$1048576" dn="Z_06317133_151B_4DBC_8EB3_9345BA061F91_.wvu.Cols" sId="13"/>
  </rrc>
  <rfmt sheetId="13" s="1" sqref="A53" start="0" length="0">
    <dxf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53" start="0" length="0">
    <dxf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53" start="0" length="0"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D53" start="0" length="0"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E53" start="0" length="0">
    <dxf>
      <font>
        <sz val="10"/>
        <color indexed="8"/>
        <name val="Arial"/>
        <scheme val="none"/>
      </font>
      <alignment horizontal="right" vertical="center" readingOrder="0"/>
      <border outline="0">
        <left style="thin">
          <color indexed="64"/>
        </left>
        <right style="thin">
          <color indexed="64"/>
        </right>
      </border>
    </dxf>
  </rfmt>
  <rfmt sheetId="13" s="1" sqref="O53" start="0" length="0">
    <dxf>
      <font>
        <b/>
        <sz val="8"/>
        <color indexed="8"/>
        <name val="Arial"/>
        <scheme val="none"/>
      </font>
      <alignment vertical="center" readingOrder="0"/>
      <border outline="0">
        <left style="thin">
          <color indexed="64"/>
        </left>
        <right style="thin">
          <color indexed="64"/>
        </right>
        <top/>
      </border>
      <protection locked="0"/>
    </dxf>
  </rfmt>
  <rcc rId="3356" sId="13" odxf="1" s="1" dxf="1" numFmtId="30">
    <nc r="A53">
      <v>5573</v>
    </nc>
    <ndxf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3357" sId="13" odxf="1" s="1" dxf="1">
    <nc r="B53" t="inlineStr">
      <is>
        <t>ГалоПолимер Зак 353</t>
      </is>
    </nc>
    <ndxf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3358" sId="13" odxf="1" s="1" dxf="1">
    <nc r="C53" t="inlineStr">
      <is>
        <t>Обечайка D=800 S=4 L=520 ВСт3сп3 (поз.18)</t>
      </is>
    </nc>
    <ndxf>
      <border outline="0">
        <left/>
        <right/>
        <top style="thin">
          <color indexed="64"/>
        </top>
        <bottom style="thin">
          <color indexed="64"/>
        </bottom>
      </border>
    </ndxf>
  </rcc>
  <rcc rId="3359" sId="13" odxf="1" s="1" dxf="1">
    <nc r="D53">
      <v>1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3360" sId="13" odxf="1" s="1" dxf="1" numFmtId="11">
    <nc r="E53">
      <v>4180</v>
    </nc>
    <ndxf>
      <font>
        <sz val="10"/>
        <color indexed="8"/>
        <name val="Arial"/>
        <scheme val="none"/>
      </font>
      <alignment horizontal="general" vertical="bottom" readingOrder="0"/>
      <border outline="0">
        <left style="medium">
          <color indexed="64"/>
        </left>
        <right style="medium">
          <color indexed="64"/>
        </right>
      </border>
    </ndxf>
  </rcc>
  <rfmt sheetId="13" s="1" sqref="O53" start="0" length="0">
    <dxf>
      <font>
        <b val="0"/>
        <sz val="10"/>
        <color indexed="8"/>
        <name val="Arial"/>
        <scheme val="none"/>
      </font>
      <alignment vertical="bottom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dxf>
  </rfmt>
  <rcc rId="3361" sId="13">
    <nc r="O53" t="inlineStr">
      <is>
        <r>
          <t xml:space="preserve"> </t>
        </r>
        <r>
          <rPr>
            <sz val="8"/>
            <color indexed="8"/>
            <rFont val="Arial"/>
            <family val="2"/>
            <charset val="204"/>
          </rPr>
          <t>спец.№382 от 03.06.19</t>
        </r>
      </is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O53" start="0" length="2147483647">
    <dxf>
      <font>
        <sz val="11"/>
      </font>
    </dxf>
  </rfmt>
  <rfmt sheetId="13" sqref="O53" start="0" length="2147483647">
    <dxf>
      <font>
        <sz val="10"/>
      </font>
    </dxf>
  </rfmt>
  <rcc rId="3362" sId="13" numFmtId="19">
    <nc r="M53">
      <v>43598</v>
    </nc>
  </rcc>
  <rcc rId="3363" sId="13" numFmtId="19">
    <nc r="N53">
      <v>43644</v>
    </nc>
  </rcc>
  <rcc rId="3364" sId="13">
    <nc r="F53">
      <f>E53*D53</f>
    </nc>
  </rcc>
  <rcc rId="3365" sId="13">
    <nc r="M140" t="inlineStr">
      <is>
        <t>13.15</t>
      </is>
    </nc>
  </rcc>
  <rcc rId="3366" sId="13" numFmtId="19">
    <nc r="N140">
      <v>43599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7" sId="12">
    <oc r="F37">
      <v>266</v>
    </oc>
    <nc r="F37">
      <v>409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68" sId="13" ref="A84:XFD87" action="insertRow">
    <undo index="0" exp="area" ref3D="1" dr="$S$1:$V$1048576" dn="Z_D42288F7_1871_4EF6_BC87_1B9EF747C744_.wvu.Cols" sId="13"/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undo index="0" exp="area" ref3D="1" dr="$S$1:$V$1048576" dn="Z_06317133_151B_4DBC_8EB3_9345BA061F91_.wvu.Cols" sId="13"/>
  </rrc>
  <rcc rId="3369" sId="13">
    <oc r="F82">
      <f>E82*D82</f>
    </oc>
    <nc r="F82">
      <f>E82*D82</f>
    </nc>
  </rcc>
  <rcc rId="3370" sId="13">
    <oc r="F83">
      <f>E83*D83</f>
    </oc>
    <nc r="F83">
      <f>E83*D83</f>
    </nc>
  </rcc>
  <rcc rId="3371" sId="13">
    <nc r="F84">
      <f>E84*D84</f>
    </nc>
  </rcc>
  <rcc rId="3372" sId="13">
    <nc r="F85">
      <f>E85*D85</f>
    </nc>
  </rcc>
  <rcc rId="3373" sId="13">
    <nc r="F86">
      <f>E86*D86</f>
    </nc>
  </rcc>
  <rcc rId="3374" sId="13">
    <nc r="F87">
      <f>E87*D87</f>
    </nc>
  </rcc>
  <rcc rId="3375" sId="13">
    <oc r="F88">
      <f>E88*D88</f>
    </oc>
    <nc r="F88">
      <f>E88*D88</f>
    </nc>
  </rcc>
  <rcc rId="3376" sId="13">
    <oc r="F89">
      <f>E89*D89</f>
    </oc>
    <nc r="F89">
      <f>E89*D89</f>
    </nc>
  </rcc>
  <rcc rId="3377" sId="13">
    <oc r="F90">
      <f>E90*D90</f>
    </oc>
    <nc r="F90">
      <f>E90*D90</f>
    </nc>
  </rcc>
  <rcc rId="3378" sId="13">
    <oc r="L81">
      <f>E81*(H81+I81+J81+K81)</f>
    </oc>
    <nc r="L81">
      <f>E81*(H81+I81+J81+K81)</f>
    </nc>
  </rcc>
  <rcc rId="3379" sId="13">
    <oc r="L82">
      <f>E82*(H82+I82+J82+K82)</f>
    </oc>
    <nc r="L82">
      <f>E82*(H82+I82+J82+K82)</f>
    </nc>
  </rcc>
  <rcc rId="3380" sId="13">
    <oc r="L83">
      <f>E83*(H83+I83+J83+K83)</f>
    </oc>
    <nc r="L83">
      <f>E83*(H83+I83+J83+K83)</f>
    </nc>
  </rcc>
  <rcc rId="3381" sId="13">
    <nc r="L84">
      <f>E84*(H84+I84+J84+K84)</f>
    </nc>
  </rcc>
  <rcc rId="3382" sId="13">
    <nc r="L85">
      <f>E85*(H85+I85+J85+K85)</f>
    </nc>
  </rcc>
  <rcc rId="3383" sId="13">
    <nc r="L86">
      <f>E86*(H86+I86+J86+K86)</f>
    </nc>
  </rcc>
  <rcc rId="3384" sId="13">
    <nc r="L87">
      <f>E87*(H87+I87+J87+K87)</f>
    </nc>
  </rcc>
  <rcc rId="3385" sId="13">
    <oc r="L88">
      <f>E88*(H88+I88+J88+K88)</f>
    </oc>
    <nc r="L88">
      <f>E88*(H88+I88+J88+K88)</f>
    </nc>
  </rcc>
  <rcc rId="3386" sId="13">
    <oc r="L89">
      <f>E89*(H89+I89+J89+K89)</f>
    </oc>
    <nc r="L89">
      <f>E89*(H89+I89+J89+K89)</f>
    </nc>
  </rcc>
  <rcc rId="3387" sId="13">
    <oc r="L90">
      <f>E90*(H90+I90+J90+K90)</f>
    </oc>
    <nc r="L90">
      <f>E90*(H90+I90+J90+K90)</f>
    </nc>
  </rcc>
  <rcc rId="3388" sId="13" odxf="1" s="1" dxf="1">
    <nc r="A84">
      <v>5548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ndxf>
  </rcc>
  <rcc rId="3389" sId="13" odxf="1" s="1" dxf="1">
    <nc r="B84" t="inlineStr">
      <is>
        <t>К-Ч кирпичный завод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indexed="8"/>
        <name val="Arial"/>
        <scheme val="none"/>
      </font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ndxf>
  </rcc>
  <rcc rId="3390" sId="13" odxf="1" s="1" dxf="1">
    <nc r="C84" t="inlineStr">
      <is>
        <t>Лист торцевой (правый)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ndxf>
  </rcc>
  <rcc rId="3391" sId="13" odxf="1" s="1" dxf="1">
    <nc r="D84">
      <v>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ndxf>
  </rcc>
  <rcc rId="3392" sId="13" odxf="1" s="1" dxf="1">
    <nc r="A85">
      <v>5549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ndxf>
  </rcc>
  <rcc rId="3393" sId="13" odxf="1" s="1" dxf="1">
    <nc r="B85" t="inlineStr">
      <is>
        <t>К-Ч кирпичный завод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indexed="8"/>
        <name val="Arial"/>
        <scheme val="none"/>
      </font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ndxf>
  </rcc>
  <rcc rId="3394" sId="13" odxf="1" s="1" dxf="1">
    <nc r="C85" t="inlineStr">
      <is>
        <t>Лист торцевой (левый)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ndxf>
  </rcc>
  <rcc rId="3395" sId="13" odxf="1" s="1" dxf="1">
    <nc r="D85">
      <v>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ndxf>
  </rcc>
  <rcc rId="3396" sId="13" odxf="1" s="1" dxf="1">
    <nc r="A86">
      <v>5550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ndxf>
  </rcc>
  <rcc rId="3397" sId="13" odxf="1" s="1" dxf="1">
    <nc r="B86" t="inlineStr">
      <is>
        <t>К-Ч кирпичный завод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indexed="8"/>
        <name val="Arial"/>
        <scheme val="none"/>
      </font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ndxf>
  </rcc>
  <rcc rId="3398" sId="13" odxf="1" s="1" dxf="1">
    <nc r="C86" t="inlineStr">
      <is>
        <t>Лист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ndxf>
  </rcc>
  <rcc rId="3399" sId="13" odxf="1" s="1" dxf="1">
    <nc r="D86">
      <v>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ndxf>
  </rcc>
  <rcc rId="3400" sId="13" odxf="1" s="1" dxf="1">
    <nc r="A87">
      <v>5551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ndxf>
  </rcc>
  <rcc rId="3401" sId="13" odxf="1" s="1" dxf="1">
    <nc r="B87" t="inlineStr">
      <is>
        <t>К-Ч кирпичный завод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indexed="8"/>
        <name val="Arial"/>
        <scheme val="none"/>
      </font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ndxf>
  </rcc>
  <rcc rId="3402" sId="13" odxf="1" s="1" dxf="1">
    <nc r="C87" t="inlineStr">
      <is>
        <t>Сектор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ndxf>
  </rcc>
  <rcc rId="3403" sId="13" odxf="1" s="1" dxf="1">
    <nc r="D87">
      <v>4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ndxf>
  </rcc>
  <rcc rId="3404" sId="13" odxf="1" s="1" dxf="1" numFmtId="11">
    <nc r="E84">
      <v>8000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77" formatCode="#,##0.00[$р.-419];\-#,##0.00[$р.-419]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indexed="8"/>
        <name val="Arial"/>
        <scheme val="none"/>
      </font>
      <alignment horizontal="right" vertical="center" readingOrder="0"/>
      <border outline="0">
        <left style="thin">
          <color indexed="64"/>
        </left>
        <right style="thin">
          <color indexed="64"/>
        </right>
      </border>
    </ndxf>
  </rcc>
  <rcc rId="3405" sId="13" odxf="1" s="1" dxf="1" numFmtId="11">
    <nc r="E85">
      <v>8000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77" formatCode="#,##0.00[$р.-419];\-#,##0.00[$р.-419]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indexed="8"/>
        <name val="Arial"/>
        <scheme val="none"/>
      </font>
      <alignment horizontal="right" vertical="center" readingOrder="0"/>
      <border outline="0">
        <left style="thin">
          <color indexed="64"/>
        </left>
        <right style="thin">
          <color indexed="64"/>
        </right>
      </border>
    </ndxf>
  </rcc>
  <rcc rId="3406" sId="13" odxf="1" s="1" dxf="1" numFmtId="11">
    <nc r="E86">
      <v>4500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77" formatCode="#,##0.00[$р.-419];\-#,##0.00[$р.-419]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indexed="8"/>
        <name val="Arial"/>
        <scheme val="none"/>
      </font>
      <alignment horizontal="right" vertical="center" readingOrder="0"/>
      <border outline="0">
        <left style="thin">
          <color indexed="64"/>
        </left>
        <right style="thin">
          <color indexed="64"/>
        </right>
      </border>
    </ndxf>
  </rcc>
  <rcc rId="3407" sId="13" odxf="1" s="1" dxf="1" numFmtId="11">
    <nc r="E87">
      <v>250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77" formatCode="#,##0.00[$р.-419];\-#,##0.00[$р.-419]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indexed="8"/>
        <name val="Arial"/>
        <scheme val="none"/>
      </font>
      <alignment horizontal="right" vertical="center" readingOrder="0"/>
      <border outline="0">
        <left style="thin">
          <color indexed="64"/>
        </left>
        <right style="thin">
          <color indexed="64"/>
        </right>
      </border>
    </ndxf>
  </rcc>
  <rcc rId="3408" sId="13" numFmtId="19">
    <nc r="M84">
      <v>43629</v>
    </nc>
  </rcc>
  <rcc rId="3409" sId="13" numFmtId="19">
    <nc r="M85">
      <v>43629</v>
    </nc>
  </rcc>
  <rcc rId="3410" sId="13" numFmtId="19">
    <nc r="M86">
      <v>43629</v>
    </nc>
  </rcc>
  <rcc rId="3411" sId="13" numFmtId="19">
    <nc r="M87">
      <v>43629</v>
    </nc>
  </rcc>
  <rcc rId="3412" sId="13" numFmtId="19">
    <oc r="M144" t="inlineStr">
      <is>
        <t>13.15</t>
      </is>
    </oc>
    <nc r="M144">
      <v>43598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3" sId="13">
    <nc r="G97">
      <v>4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="1" sqref="A146" start="0" length="0">
    <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146" start="0" length="0">
    <dxf>
      <font>
        <sz val="10"/>
        <color indexed="8"/>
        <name val="Arial"/>
        <scheme val="none"/>
      </font>
      <alignment horizontal="left" vertical="center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146" start="0" length="0">
    <dxf>
      <font>
        <sz val="10"/>
        <color indexed="8"/>
        <name val="Arial"/>
        <scheme val="none"/>
      </font>
      <alignment horizontal="left" vertical="center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D146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E146" start="0" length="0">
    <dxf>
      <font>
        <sz val="10"/>
        <color indexed="8"/>
        <name val="Arial"/>
        <scheme val="none"/>
      </font>
      <alignment horizontal="right" vertical="center" readingOrder="0"/>
      <border outline="0">
        <left style="thin">
          <color indexed="64"/>
        </left>
        <right style="thin">
          <color indexed="64"/>
        </right>
      </border>
    </dxf>
  </rfmt>
  <rcc rId="3414" sId="13" odxf="1" s="1" dxf="1" numFmtId="30">
    <nc r="A146">
      <v>5596</v>
    </nc>
    <n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3415" sId="13" odxf="1" s="1" dxf="1">
    <nc r="B146" t="inlineStr">
      <is>
        <t>Сигма</t>
      </is>
    </nc>
    <ndxf>
      <font>
        <sz val="10"/>
        <color indexed="8"/>
        <name val="Arial"/>
        <scheme val="none"/>
      </font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3416" sId="13" odxf="1" s="1" dxf="1">
    <nc r="C146" t="inlineStr">
      <is>
        <t>Фрезерование и шлифовка дет. Резец</t>
      </is>
    </nc>
    <ndxf>
      <font>
        <sz val="10"/>
        <color indexed="8"/>
        <name val="Arial"/>
        <scheme val="none"/>
      </font>
      <border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ndxf>
  </rcc>
  <rcc rId="3417" sId="13" odxf="1" s="1" dxf="1">
    <nc r="D146">
      <v>3</v>
    </nc>
    <n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3418" sId="13" odxf="1" s="1" dxf="1" numFmtId="11">
    <nc r="E146">
      <v>2000</v>
    </nc>
    <ndxf>
      <font>
        <sz val="10"/>
        <color indexed="8"/>
        <name val="Arial"/>
        <scheme val="none"/>
      </font>
      <alignment horizontal="general" vertical="bottom" readingOrder="0"/>
      <border outline="0">
        <left/>
        <right style="medium">
          <color indexed="64"/>
        </right>
      </border>
    </ndxf>
  </rcc>
  <rcc rId="3419" sId="13">
    <oc r="F146">
      <f>E146*D146</f>
    </oc>
    <nc r="F146">
      <f>E146*D146</f>
    </nc>
  </rcc>
  <rcc rId="3420" sId="13">
    <oc r="L146">
      <f>E146*(H146+I146+J146+K146)</f>
    </oc>
    <nc r="L146">
      <f>E146*(H146+I146+J146+K146)</f>
    </nc>
  </rcc>
  <rcc rId="3421" sId="13" numFmtId="19">
    <nc r="M146">
      <v>43598</v>
    </nc>
  </rcc>
  <rcc rId="3422" sId="13" numFmtId="19">
    <nc r="N146">
      <v>43644</v>
    </nc>
  </rcc>
  <rcc rId="3423" sId="13">
    <oc r="S146">
      <f>H146*E146</f>
    </oc>
    <nc r="S146">
      <f>H146*E146</f>
    </nc>
  </rcc>
  <rcc rId="3424" sId="13">
    <oc r="T146">
      <f>I146*E146</f>
    </oc>
    <nc r="T146">
      <f>I146*E146</f>
    </nc>
  </rcc>
  <rcc rId="3425" sId="13">
    <oc r="U146">
      <f>J146*E146</f>
    </oc>
    <nc r="U146">
      <f>J146*E146</f>
    </nc>
  </rcc>
  <rcc rId="3426" sId="13">
    <oc r="V146">
      <f>K146*E146</f>
    </oc>
    <nc r="V146">
      <f>K146*E146</f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="1" sqref="A148" start="0" length="0">
    <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148" start="0" length="0">
    <dxf>
      <font>
        <sz val="10"/>
        <color indexed="8"/>
        <name val="Arial"/>
        <scheme val="none"/>
      </font>
      <alignment horizontal="left" readingOrder="0"/>
      <border outline="0">
        <left style="thin">
          <color indexed="64"/>
        </left>
        <right style="thin">
          <color indexed="64"/>
        </right>
      </border>
    </dxf>
  </rfmt>
  <rfmt sheetId="13" s="1" sqref="C148" start="0" length="0">
    <dxf>
      <font>
        <sz val="10"/>
        <color indexed="8"/>
        <name val="Arial"/>
        <scheme val="none"/>
      </font>
      <border outline="0">
        <left style="thin">
          <color indexed="64"/>
        </left>
        <right style="thin">
          <color indexed="64"/>
        </right>
      </border>
    </dxf>
  </rfmt>
  <rfmt sheetId="13" s="1" sqref="D148" start="0" length="0">
    <dxf>
      <font>
        <sz val="10"/>
        <color indexed="8"/>
        <name val="Arial"/>
        <scheme val="none"/>
      </font>
      <border outline="0">
        <left style="thin">
          <color indexed="64"/>
        </left>
        <right style="thin">
          <color indexed="64"/>
        </right>
      </border>
      <protection locked="0"/>
    </dxf>
  </rfmt>
  <rfmt sheetId="13" s="1" sqref="E148" start="0" length="0">
    <dxf>
      <font>
        <sz val="10"/>
        <color indexed="8"/>
        <name val="Arial"/>
        <scheme val="none"/>
      </font>
      <alignment horizontal="right" vertical="center" readingOrder="0"/>
      <border outline="0">
        <left style="thin">
          <color indexed="64"/>
        </left>
        <right style="thin">
          <color indexed="64"/>
        </right>
      </border>
    </dxf>
  </rfmt>
  <rcc rId="3427" sId="13" odxf="1" s="1" dxf="1" numFmtId="30">
    <nc r="A148">
      <v>5607</v>
    </nc>
    <n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3428" sId="13" odxf="1" s="1" dxf="1">
    <nc r="B148" t="inlineStr">
      <is>
        <t>ООО "Дозатор"</t>
      </is>
    </nc>
    <ndxf>
      <font>
        <sz val="10"/>
        <color indexed="8"/>
        <name val="Arial"/>
        <scheme val="none"/>
      </font>
      <alignment horizontal="general" readingOrder="0"/>
      <border outline="0">
        <left style="medium">
          <color indexed="64"/>
        </left>
        <right style="medium">
          <color indexed="64"/>
        </right>
      </border>
    </ndxf>
  </rcc>
  <rcc rId="3429" sId="13" odxf="1" s="1" dxf="1">
    <nc r="C148" t="inlineStr">
      <is>
        <t>Вальцовка обечайки  Dвн.=308х405мм S6мм</t>
      </is>
    </nc>
    <ndxf>
      <font>
        <sz val="10"/>
        <color indexed="8"/>
        <name val="Arial"/>
        <scheme val="none"/>
      </font>
      <border outline="0">
        <left style="medium">
          <color indexed="64"/>
        </left>
        <right/>
      </border>
    </ndxf>
  </rcc>
  <rcc rId="3430" sId="13" odxf="1" s="1" dxf="1">
    <nc r="D148">
      <v>4</v>
    </nc>
    <n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</border>
      <protection locked="1"/>
    </ndxf>
  </rcc>
  <rcc rId="3431" sId="13" odxf="1" s="1" dxf="1" numFmtId="11">
    <nc r="E148">
      <v>1100</v>
    </nc>
    <ndxf>
      <font>
        <sz val="10"/>
        <color indexed="8"/>
        <name val="Arial"/>
        <scheme val="none"/>
      </font>
      <alignment horizontal="general" vertical="bottom" readingOrder="0"/>
      <border outline="0">
        <left/>
        <right style="medium">
          <color indexed="64"/>
        </right>
      </border>
    </ndxf>
  </rcc>
  <rcc rId="3432" sId="13">
    <oc r="F148">
      <f>E148*D148</f>
    </oc>
    <nc r="F148">
      <f>E148*D148</f>
    </nc>
  </rcc>
  <rcc rId="3433" sId="13">
    <oc r="L148">
      <f>E148*(H148+I148+J148+K148)</f>
    </oc>
    <nc r="L148">
      <f>E148*(H148+I148+J148+K148)</f>
    </nc>
  </rcc>
  <rcc rId="3434" sId="13" numFmtId="19">
    <nc r="M148">
      <v>43598</v>
    </nc>
  </rcc>
  <rcc rId="3435" sId="13" numFmtId="19">
    <nc r="N148">
      <v>43599</v>
    </nc>
  </rcc>
  <rcc rId="3436" sId="13">
    <oc r="S148">
      <f>H148*E148</f>
    </oc>
    <nc r="S148">
      <f>H148*E148</f>
    </nc>
  </rcc>
  <rcc rId="3437" sId="13">
    <oc r="T148">
      <f>I148*E148</f>
    </oc>
    <nc r="T148">
      <f>I148*E148</f>
    </nc>
  </rcc>
  <rcc rId="3438" sId="13">
    <oc r="U148">
      <f>J148*E148</f>
    </oc>
    <nc r="U148">
      <f>J148*E148</f>
    </nc>
  </rcc>
  <rcc rId="3439" sId="13">
    <oc r="V148">
      <f>K148*E148</f>
    </oc>
    <nc r="V148">
      <f>K148*E148</f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0" sId="13">
    <oc r="L50">
      <f>E50*(H50+I50+J50+K50)</f>
    </oc>
    <nc r="L50">
      <f>E50*(H50+I50+J50+K50)</f>
    </nc>
  </rcc>
  <rcc rId="3441" sId="13">
    <oc r="L51">
      <f>E51*(H51+I51+J51+K51)</f>
    </oc>
    <nc r="L51">
      <f>E51*(H51+I51+J51+K51)</f>
    </nc>
  </rcc>
  <rcc rId="3442" sId="13">
    <oc r="L52">
      <f>E52*(H52+I52+J52+K52)</f>
    </oc>
    <nc r="L52">
      <f>E52*(H52+I52+J52+K52)</f>
    </nc>
  </rcc>
  <rcc rId="3443" sId="13">
    <nc r="L53">
      <f>E53*(H53+I53+J53+K53)</f>
    </nc>
  </rcc>
  <rcc rId="3444" sId="13">
    <oc r="L54">
      <f>E54*(H54+I54+J54+K54)</f>
    </oc>
    <nc r="L54">
      <f>E54*(H54+I54+J54+K54)</f>
    </nc>
  </rcc>
  <rcc rId="3445" sId="13">
    <oc r="L55">
      <f>E55*(H55+I55+J55+K55)</f>
    </oc>
    <nc r="L55">
      <f>E55*(H55+I55+J55+K55)</f>
    </nc>
  </rcc>
  <rcc rId="3446" sId="13">
    <oc r="L56">
      <f>E56*(H56+I56+J56+K56)</f>
    </oc>
    <nc r="L56">
      <f>E56*(H56+I56+J56+K56)</f>
    </nc>
  </rcc>
  <rcc rId="3447" sId="13">
    <oc r="L57">
      <f>E57*(H57+I57+J57+K57)</f>
    </oc>
    <nc r="L57">
      <f>E57*(H57+I57+J57+K57)</f>
    </nc>
  </rcc>
  <rcc rId="3448" sId="13">
    <nc r="L58">
      <f>E58*(H58+I58+J58+K58)</f>
    </nc>
  </rcc>
  <rcc rId="3449" sId="13">
    <oc r="L59">
      <f>E59*(H59+I59+J59+K59)</f>
    </oc>
    <nc r="L59">
      <f>E59*(H59+I59+J59+K59)</f>
    </nc>
  </rcc>
  <rcc rId="3450" sId="13">
    <oc r="L60">
      <f>E60*(H60+I60+J60+K60)</f>
    </oc>
    <nc r="L60">
      <f>E60*(H60+I60+J60+K60)</f>
    </nc>
  </rcc>
  <rfmt sheetId="13" s="1" sqref="A84" start="0" length="0">
    <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dxf>
  </rfmt>
  <rfmt sheetId="13" s="1" sqref="B84" start="0" length="0">
    <dxf>
      <font>
        <sz val="10"/>
        <color indexed="8"/>
        <name val="Arial"/>
        <scheme val="none"/>
      </font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3" s="1" sqref="C84" start="0" length="0">
    <dxf>
      <font>
        <sz val="10"/>
        <color indexed="8"/>
        <name val="Arial"/>
        <scheme val="none"/>
      </font>
      <border outline="0">
        <left/>
        <right/>
        <top style="thin">
          <color indexed="64"/>
        </top>
        <bottom style="thin">
          <color indexed="64"/>
        </bottom>
      </border>
    </dxf>
  </rfmt>
  <rfmt sheetId="13" s="1" sqref="D84" start="0" length="0">
    <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dxf>
  </rfmt>
  <rfmt sheetId="13" s="1" sqref="E84" start="0" length="0">
    <dxf>
      <font>
        <sz val="10"/>
        <color indexed="8"/>
        <name val="Arial"/>
        <scheme val="none"/>
      </font>
      <alignment horizontal="general" vertical="bottom" readingOrder="0"/>
      <border outline="0">
        <left style="medium">
          <color indexed="64"/>
        </left>
        <right style="medium">
          <color indexed="64"/>
        </right>
      </border>
    </dxf>
  </rfmt>
  <rcc rId="3451" sId="13">
    <oc r="F84">
      <f>E84*D84</f>
    </oc>
    <nc r="F84">
      <f>E84*D84</f>
    </nc>
  </rcc>
  <rcc rId="3452" sId="13">
    <oc r="L84">
      <f>E84*(H84+I84+J84+K84)</f>
    </oc>
    <nc r="L84">
      <f>E84*(H84+I84+J84+K84)</f>
    </nc>
  </rcc>
  <rfmt sheetId="13" s="1" sqref="A85" start="0" length="0">
    <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dxf>
  </rfmt>
  <rfmt sheetId="13" s="1" sqref="B85" start="0" length="0">
    <dxf>
      <font>
        <sz val="10"/>
        <color indexed="8"/>
        <name val="Arial"/>
        <scheme val="none"/>
      </font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3" s="1" sqref="C85" start="0" length="0">
    <dxf>
      <font>
        <sz val="10"/>
        <color indexed="8"/>
        <name val="Arial"/>
        <scheme val="none"/>
      </font>
      <border outline="0">
        <left/>
        <right/>
        <top style="thin">
          <color indexed="64"/>
        </top>
        <bottom style="thin">
          <color indexed="64"/>
        </bottom>
      </border>
    </dxf>
  </rfmt>
  <rfmt sheetId="13" s="1" sqref="D85" start="0" length="0">
    <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dxf>
  </rfmt>
  <rfmt sheetId="13" s="1" sqref="E85" start="0" length="0">
    <dxf>
      <font>
        <sz val="10"/>
        <color indexed="8"/>
        <name val="Arial"/>
        <scheme val="none"/>
      </font>
      <alignment horizontal="general" vertical="bottom" readingOrder="0"/>
      <border outline="0">
        <left style="medium">
          <color indexed="64"/>
        </left>
        <right style="medium">
          <color indexed="64"/>
        </right>
      </border>
    </dxf>
  </rfmt>
  <rcc rId="3453" sId="13">
    <oc r="F85">
      <f>E85*D85</f>
    </oc>
    <nc r="F85">
      <f>E85*D85</f>
    </nc>
  </rcc>
  <rcc rId="3454" sId="13">
    <oc r="L85">
      <f>E85*(H85+I85+J85+K85)</f>
    </oc>
    <nc r="L85">
      <f>E85*(H85+I85+J85+K85)</f>
    </nc>
  </rcc>
  <rfmt sheetId="13" s="1" sqref="A86" start="0" length="0">
    <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dxf>
  </rfmt>
  <rfmt sheetId="13" s="1" sqref="B86" start="0" length="0">
    <dxf>
      <font>
        <sz val="10"/>
        <color indexed="8"/>
        <name val="Arial"/>
        <scheme val="none"/>
      </font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3" s="1" sqref="C86" start="0" length="0">
    <dxf>
      <font>
        <sz val="10"/>
        <color indexed="8"/>
        <name val="Arial"/>
        <scheme val="none"/>
      </font>
      <border outline="0">
        <left/>
        <right/>
        <top style="thin">
          <color indexed="64"/>
        </top>
        <bottom style="thin">
          <color indexed="64"/>
        </bottom>
      </border>
    </dxf>
  </rfmt>
  <rfmt sheetId="13" s="1" sqref="D86" start="0" length="0">
    <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dxf>
  </rfmt>
  <rfmt sheetId="13" s="1" sqref="E86" start="0" length="0">
    <dxf>
      <font>
        <sz val="10"/>
        <color indexed="8"/>
        <name val="Arial"/>
        <scheme val="none"/>
      </font>
      <alignment horizontal="general" vertical="bottom" readingOrder="0"/>
      <border outline="0">
        <left style="medium">
          <color indexed="64"/>
        </left>
        <right style="medium">
          <color indexed="64"/>
        </right>
      </border>
    </dxf>
  </rfmt>
  <rcc rId="3455" sId="13">
    <oc r="F86">
      <f>E86*D86</f>
    </oc>
    <nc r="F86">
      <f>E86*D86</f>
    </nc>
  </rcc>
  <rcc rId="3456" sId="13">
    <oc r="L86">
      <f>E86*(H86+I86+J86+K86)</f>
    </oc>
    <nc r="L86">
      <f>E86*(H86+I86+J86+K86)</f>
    </nc>
  </rcc>
  <rfmt sheetId="13" s="1" sqref="A87" start="0" length="0">
    <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dxf>
  </rfmt>
  <rfmt sheetId="13" s="1" sqref="B87" start="0" length="0">
    <dxf>
      <font>
        <sz val="10"/>
        <color indexed="8"/>
        <name val="Arial"/>
        <scheme val="none"/>
      </font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3" s="1" sqref="C87" start="0" length="0">
    <dxf>
      <font>
        <sz val="10"/>
        <color indexed="8"/>
        <name val="Arial"/>
        <scheme val="none"/>
      </font>
      <border outline="0">
        <left/>
        <right/>
        <top style="thin">
          <color indexed="64"/>
        </top>
        <bottom style="thin">
          <color indexed="64"/>
        </bottom>
      </border>
    </dxf>
  </rfmt>
  <rfmt sheetId="13" s="1" sqref="D87" start="0" length="0">
    <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dxf>
  </rfmt>
  <rfmt sheetId="13" s="1" sqref="E87" start="0" length="0">
    <dxf>
      <font>
        <sz val="10"/>
        <color indexed="8"/>
        <name val="Arial"/>
        <scheme val="none"/>
      </font>
      <alignment horizontal="general" vertical="bottom" readingOrder="0"/>
      <border outline="0">
        <left style="medium">
          <color indexed="64"/>
        </left>
        <right style="medium">
          <color indexed="64"/>
        </right>
      </border>
    </dxf>
  </rfmt>
  <rcc rId="3457" sId="13">
    <oc r="F87">
      <f>E87*D87</f>
    </oc>
    <nc r="F87">
      <f>E87*D87</f>
    </nc>
  </rcc>
  <rcc rId="3458" sId="13">
    <oc r="L87">
      <f>E87*(H87+I87+J87+K87)</f>
    </oc>
    <nc r="L87">
      <f>E87*(H87+I87+J87+K87)</f>
    </nc>
  </rcc>
  <rcc rId="3459" sId="13" numFmtId="19">
    <nc r="N84">
      <v>43644</v>
    </nc>
  </rcc>
  <rcc rId="3460" sId="13" numFmtId="19">
    <nc r="N85">
      <v>43644</v>
    </nc>
  </rcc>
  <rcc rId="3461" sId="13" numFmtId="19">
    <nc r="N86">
      <v>43644</v>
    </nc>
  </rcc>
  <rcc rId="3462" sId="13" numFmtId="19">
    <nc r="N87">
      <v>43644</v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3" sId="13">
    <nc r="G93">
      <v>8</v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64" sId="13" ref="A141:XFD141" action="insertRow">
    <undo index="0" exp="area" ref3D="1" dr="$S$1:$V$1048576" dn="Z_D42288F7_1871_4EF6_BC87_1B9EF747C744_.wvu.Cols" sId="13"/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undo index="0" exp="area" ref3D="1" dr="$S$1:$V$1048576" dn="Z_06317133_151B_4DBC_8EB3_9345BA061F91_.wvu.Cols" sId="13"/>
  </rrc>
  <rfmt sheetId="13" sqref="A141" start="0" length="0">
    <dxf>
      <font>
        <sz val="10"/>
        <color indexed="8"/>
        <name val="Arial"/>
        <scheme val="none"/>
      </font>
      <fill>
        <patternFill patternType="none">
          <bgColor indexed="65"/>
        </patternFill>
      </fill>
    </dxf>
  </rfmt>
  <rcc rId="3465" sId="13" odxf="1" dxf="1">
    <nc r="B141" t="inlineStr">
      <is>
        <t>ООО Домашний стандарт</t>
      </is>
    </nc>
    <odxf>
      <font>
        <sz val="10"/>
        <color indexed="8"/>
        <name val="Arial"/>
        <scheme val="none"/>
      </font>
    </odxf>
    <ndxf>
      <font>
        <sz val="10"/>
        <color indexed="8"/>
        <name val="Arial"/>
        <scheme val="none"/>
      </font>
    </ndxf>
  </rcc>
  <rcc rId="3466" sId="13" odxf="1" dxf="1">
    <nc r="C141" t="inlineStr">
      <is>
        <t xml:space="preserve">Штамповка дет.  Крышка </t>
      </is>
    </nc>
    <odxf>
      <font>
        <sz val="10"/>
        <color indexed="8"/>
        <name val="Arial"/>
        <scheme val="none"/>
      </font>
      <border outline="0">
        <left/>
      </border>
    </odxf>
    <ndxf>
      <font>
        <sz val="10"/>
        <color indexed="8"/>
        <name val="Arial"/>
        <scheme val="none"/>
      </font>
      <border outline="0">
        <left style="medium">
          <color indexed="64"/>
        </left>
      </border>
    </ndxf>
  </rcc>
  <rfmt sheetId="13" sqref="D141" start="0" length="0">
    <dxf>
      <font>
        <sz val="10"/>
        <color indexed="8"/>
        <name val="Arial"/>
        <scheme val="none"/>
      </font>
    </dxf>
  </rfmt>
  <rcc rId="3467" sId="13" odxf="1" dxf="1" numFmtId="11">
    <nc r="E141">
      <v>62.28</v>
    </nc>
    <odxf>
      <font>
        <sz val="10"/>
        <color indexed="8"/>
        <name val="Arial"/>
        <scheme val="none"/>
      </font>
    </odxf>
    <ndxf>
      <font>
        <sz val="10"/>
        <color indexed="8"/>
        <name val="Arial"/>
        <scheme val="none"/>
      </font>
    </ndxf>
  </rcc>
  <rcc rId="3468" sId="13">
    <nc r="F141">
      <f>E141*D141</f>
    </nc>
  </rcc>
  <rcc rId="3469" sId="13">
    <nc r="D141">
      <v>55</v>
    </nc>
  </rcc>
  <rcc rId="3470" sId="13">
    <nc r="G141">
      <v>55</v>
    </nc>
  </rcc>
  <rcc rId="3471" sId="13">
    <oc r="L139">
      <f>E139*(H139+I139+J139+K139)</f>
    </oc>
    <nc r="L139">
      <f>E139*(H139+I139+J139+K139)</f>
    </nc>
  </rcc>
  <rcc rId="3472" sId="13">
    <oc r="L140">
      <f>E140*(H140+I140+J140+K140)</f>
    </oc>
    <nc r="L140">
      <f>E140*(H140+I140+J140+K140)</f>
    </nc>
  </rcc>
  <rcc rId="3473" sId="13">
    <nc r="L141">
      <f>E141*(H141+I141+J141+K141)</f>
    </nc>
  </rcc>
  <rcc rId="3474" sId="13" odxf="1" dxf="1" numFmtId="30">
    <nc r="A141">
      <v>4913</v>
    </nc>
    <ndxf>
      <font>
        <sz val="10"/>
        <color indexed="8"/>
        <name val="Arial"/>
        <scheme val="none"/>
      </font>
      <fill>
        <patternFill patternType="solid">
          <bgColor theme="6" tint="-0.249977111117893"/>
        </patternFill>
      </fill>
    </ndxf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C638750-2D78-446E-B8DA-A6202AF1ED31}" action="delete"/>
  <rdn rId="0" localSheetId="3" customView="1" name="Z_8C638750_2D78_446E_B8DA_A6202AF1ED31_.wvu.PrintTitles" hidden="1" oldHidden="1">
    <formula>'январь 2019'!$4:$7</formula>
    <oldFormula>'январь 2019'!$4:$7</oldFormula>
  </rdn>
  <rdn rId="0" localSheetId="5" customView="1" name="Z_8C638750_2D78_446E_B8DA_A6202AF1ED31_.wvu.PrintTitles" hidden="1" oldHidden="1">
    <formula>'февраль 2019'!$4:$7</formula>
    <oldFormula>'февраль 2019'!$4:$7</oldFormula>
  </rdn>
  <rdn rId="0" localSheetId="6" customView="1" name="Z_8C638750_2D78_446E_B8DA_A6202AF1ED31_.wvu.PrintArea" hidden="1" oldHidden="1">
    <formula>'март 2019 Эпотос-К'!$B$7:$G$93</formula>
    <oldFormula>'март 2019 Эпотос-К'!$B$7:$G$93</oldFormula>
  </rdn>
  <rdn rId="0" localSheetId="7" customView="1" name="Z_8C638750_2D78_446E_B8DA_A6202AF1ED31_.wvu.PrintArea" hidden="1" oldHidden="1">
    <formula>'март 2019'!$B$8:$H$246</formula>
    <oldFormula>'март 2019'!$B$8:$H$246</oldFormula>
  </rdn>
  <rdn rId="0" localSheetId="7" customView="1" name="Z_8C638750_2D78_446E_B8DA_A6202AF1ED31_.wvu.PrintTitles" hidden="1" oldHidden="1">
    <formula>'март 2019'!$4:$7</formula>
    <oldFormula>'март 2019'!$4:$7</oldFormula>
  </rdn>
  <rdn rId="0" localSheetId="8" customView="1" name="Z_8C638750_2D78_446E_B8DA_A6202AF1ED31_.wvu.PrintArea" hidden="1" oldHidden="1">
    <formula>'апрель 2019 Эпотос-К'!$B$7:$G$93</formula>
    <oldFormula>'апрель 2019 Эпотос-К'!$B$7:$G$93</oldFormula>
  </rdn>
  <rdn rId="0" localSheetId="9" customView="1" name="Z_8C638750_2D78_446E_B8DA_A6202AF1ED31_.wvu.PrintArea" hidden="1" oldHidden="1">
    <formula>'апрель 2019'!$B$8:$H$227</formula>
    <oldFormula>'апрель 2019'!$B$8:$H$227</oldFormula>
  </rdn>
  <rdn rId="0" localSheetId="9" customView="1" name="Z_8C638750_2D78_446E_B8DA_A6202AF1ED31_.wvu.PrintTitles" hidden="1" oldHidden="1">
    <formula>'апрель 2019'!$4:$7</formula>
    <oldFormula>'апрель 2019'!$4:$7</oldFormula>
  </rdn>
  <rdn rId="0" localSheetId="10" customView="1" name="Z_8C638750_2D78_446E_B8DA_A6202AF1ED31_.wvu.PrintArea" hidden="1" oldHidden="1">
    <formula>'май 2019 Эпотос-К'!$A$7:$B$82</formula>
    <oldFormula>'май 2019 Эпотос-К'!$A$7:$B$82</oldFormula>
  </rdn>
  <rdn rId="0" localSheetId="10" customView="1" name="Z_8C638750_2D78_446E_B8DA_A6202AF1ED31_.wvu.Cols" hidden="1" oldHidden="1">
    <formula>'май 2019 Эпотос-К'!$S:$V</formula>
    <oldFormula>'май 2019 Эпотос-К'!$S:$V</oldFormula>
  </rdn>
  <rdn rId="0" localSheetId="11" customView="1" name="Z_8C638750_2D78_446E_B8DA_A6202AF1ED31_.wvu.PrintArea" hidden="1" oldHidden="1">
    <formula>'май 2019'!$B$8:$H$225</formula>
    <oldFormula>'май 2019'!$B$8:$H$225</oldFormula>
  </rdn>
  <rdn rId="0" localSheetId="11" customView="1" name="Z_8C638750_2D78_446E_B8DA_A6202AF1ED31_.wvu.PrintTitles" hidden="1" oldHidden="1">
    <formula>'май 2019'!$4:$7</formula>
    <oldFormula>'май 2019'!$4:$7</oldFormula>
  </rdn>
  <rdn rId="0" localSheetId="11" customView="1" name="Z_8C638750_2D78_446E_B8DA_A6202AF1ED31_.wvu.Cols" hidden="1" oldHidden="1">
    <formula>'май 2019'!$S:$V</formula>
    <oldFormula>'май 2019'!$S:$V</oldFormula>
  </rdn>
  <rdn rId="0" localSheetId="12" customView="1" name="Z_8C638750_2D78_446E_B8DA_A6202AF1ED31_.wvu.PrintArea" hidden="1" oldHidden="1">
    <formula>'июнь 2019 Эпотос-К'!$B$47:$D$56</formula>
    <oldFormula>'июнь 2019 Эпотос-К'!$B$47:$D$56</oldFormula>
  </rdn>
  <rdn rId="0" localSheetId="12" customView="1" name="Z_8C638750_2D78_446E_B8DA_A6202AF1ED31_.wvu.Cols" hidden="1" oldHidden="1">
    <formula>'июнь 2019 Эпотос-К'!$S:$V</formula>
    <oldFormula>'июнь 2019 Эпотос-К'!$S:$V</oldFormula>
  </rdn>
  <rdn rId="0" localSheetId="13" customView="1" name="Z_8C638750_2D78_446E_B8DA_A6202AF1ED31_.wvu.PrintArea" hidden="1" oldHidden="1">
    <formula>'июнь 2019'!$B$8:$H$155</formula>
    <oldFormula>'июнь 2019'!$B$8:$H$155</oldFormula>
  </rdn>
  <rdn rId="0" localSheetId="13" customView="1" name="Z_8C638750_2D78_446E_B8DA_A6202AF1ED31_.wvu.PrintTitles" hidden="1" oldHidden="1">
    <formula>'июнь 2019'!$4:$7</formula>
    <oldFormula>'июнь 2019'!$4:$7</oldFormula>
  </rdn>
  <rdn rId="0" localSheetId="13" customView="1" name="Z_8C638750_2D78_446E_B8DA_A6202AF1ED31_.wvu.Cols" hidden="1" oldHidden="1">
    <formula>'июнь 2019'!$S:$V</formula>
    <oldFormula>'июнь 2019'!$S:$V</oldFormula>
  </rdn>
  <rdn rId="0" localSheetId="14" customView="1" name="Z_8C638750_2D78_446E_B8DA_A6202AF1ED31_.wvu.PrintArea" hidden="1" oldHidden="1">
    <formula>'обзор 2019'!$B$3:$M$18</formula>
    <oldFormula>'обзор 2019'!$B$3:$M$18</oldFormula>
  </rdn>
  <rdn rId="0" localSheetId="15" customView="1" name="Z_8C638750_2D78_446E_B8DA_A6202AF1ED31_.wvu.PrintArea" hidden="1" oldHidden="1">
    <formula>'обзор 2018'!$B$3:$M$18</formula>
    <oldFormula>'обзор 2018'!$B$3:$M$18</oldFormula>
  </rdn>
  <rdn rId="0" localSheetId="16" customView="1" name="Z_8C638750_2D78_446E_B8DA_A6202AF1ED31_.wvu.PrintArea" hidden="1" oldHidden="1">
    <formula>'обзор 2017'!$B$3:$M$18</formula>
    <oldFormula>'обзор 2017'!$B$3:$M$18</oldFormula>
  </rdn>
  <rdn rId="0" localSheetId="17" customView="1" name="Z_8C638750_2D78_446E_B8DA_A6202AF1ED31_.wvu.PrintArea" hidden="1" oldHidden="1">
    <formula>'обзор 2016'!$B$3:$Q$19</formula>
    <oldFormula>'обзор 2016'!$B$3:$Q$19</oldFormula>
  </rdn>
  <rdn rId="0" localSheetId="17" customView="1" name="Z_8C638750_2D78_446E_B8DA_A6202AF1ED31_.wvu.Cols" hidden="1" oldHidden="1">
    <formula>'обзор 2016'!$A:$A</formula>
    <oldFormula>'обзор 2016'!$A:$A</oldFormula>
  </rdn>
  <rdn rId="0" localSheetId="18" customView="1" name="Z_8C638750_2D78_446E_B8DA_A6202AF1ED31_.wvu.PrintArea" hidden="1" oldHidden="1">
    <formula>'объёмы 2019'!$A$3:$T$98</formula>
    <oldFormula>'объёмы 2019'!$A$3:$T$98</oldFormula>
  </rdn>
  <rdn rId="0" localSheetId="18" customView="1" name="Z_8C638750_2D78_446E_B8DA_A6202AF1ED31_.wvu.PrintTitles" hidden="1" oldHidden="1">
    <formula>'объёмы 2019'!$5:$6</formula>
    <oldFormula>'объёмы 2019'!$5:$6</oldFormula>
  </rdn>
  <rcv guid="{8C638750-2D78-446E-B8DA-A6202AF1ED31}" action="add"/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" sId="12">
    <nc r="F69">
      <v>32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A53" start="0" length="0">
    <dxf>
      <font>
        <sz val="10"/>
        <color indexed="8"/>
        <name val="Arial"/>
        <scheme val="none"/>
      </font>
      <alignment horizontal="right" vertical="center" readingOrder="0"/>
      <border outline="0">
        <bottom style="thin">
          <color indexed="64"/>
        </bottom>
      </border>
    </dxf>
  </rfmt>
  <rfmt sheetId="13" sqref="B53" start="0" length="0">
    <dxf>
      <font>
        <sz val="10"/>
        <color indexed="8"/>
        <name val="Arial"/>
        <scheme val="none"/>
      </font>
      <alignment vertical="center" readingOrder="0"/>
    </dxf>
  </rfmt>
  <rfmt sheetId="13" sqref="C53" start="0" length="0">
    <dxf>
      <font>
        <sz val="10"/>
        <color indexed="8"/>
        <name val="Arial"/>
        <scheme val="none"/>
      </font>
      <alignment horizontal="left" vertical="center" readingOrder="0"/>
      <protection locked="0"/>
    </dxf>
  </rfmt>
  <rfmt sheetId="13" sqref="D53" start="0" length="0">
    <dxf>
      <font>
        <sz val="10"/>
        <color indexed="8"/>
        <name val="Arial"/>
        <scheme val="none"/>
      </font>
      <alignment horizontal="center" vertical="center" readingOrder="0"/>
    </dxf>
  </rfmt>
  <rfmt sheetId="13" sqref="E53" start="0" length="0">
    <dxf>
      <font>
        <sz val="10"/>
        <color indexed="8"/>
        <name val="Arial"/>
        <scheme val="none"/>
      </font>
      <numFmt numFmtId="176" formatCode="#,##0.00[$р.-419];\-#,##0.00[$р.-419]"/>
      <border outline="0">
        <top style="thin">
          <color indexed="64"/>
        </top>
        <bottom style="thin">
          <color indexed="64"/>
        </bottom>
      </border>
    </dxf>
  </rfmt>
  <rcc rId="3500" sId="13">
    <oc r="F53">
      <f>E53*D53</f>
    </oc>
    <nc r="F53">
      <f>E53*D53</f>
    </nc>
  </rcc>
  <rcc rId="3501" sId="13">
    <oc r="L53">
      <f>E53*(H53+I53+J53+K53)</f>
    </oc>
    <nc r="L53">
      <f>E53*(H53+I53+J53+K53)</f>
    </nc>
  </rcc>
  <rfmt sheetId="13" sqref="O53" start="0" length="0">
    <dxf>
      <alignment horizontal="left" readingOrder="0"/>
      <border outline="0">
        <bottom style="thin">
          <color indexed="64"/>
        </bottom>
      </border>
    </dxf>
  </rfmt>
  <rfmt sheetId="13" sqref="A84" start="0" length="0">
    <dxf>
      <alignment horizontal="right" vertical="center" readingOrder="0"/>
      <border outline="0">
        <bottom style="thin">
          <color indexed="64"/>
        </bottom>
      </border>
    </dxf>
  </rfmt>
  <rfmt sheetId="13" sqref="B84" start="0" length="0">
    <dxf>
      <alignment vertical="center" readingOrder="0"/>
    </dxf>
  </rfmt>
  <rfmt sheetId="13" sqref="C84" start="0" length="0">
    <dxf>
      <alignment horizontal="left" vertical="center" readingOrder="0"/>
      <protection locked="0"/>
    </dxf>
  </rfmt>
  <rfmt sheetId="13" sqref="D84" start="0" length="0">
    <dxf>
      <alignment horizontal="center" vertical="center" readingOrder="0"/>
    </dxf>
  </rfmt>
  <rfmt sheetId="13" sqref="E84" start="0" length="0">
    <dxf>
      <font>
        <sz val="10"/>
        <color indexed="8"/>
        <name val="Arial"/>
        <scheme val="none"/>
      </font>
      <numFmt numFmtId="176" formatCode="#,##0.00[$р.-419];\-#,##0.00[$р.-419]"/>
      <border outline="0">
        <top style="thin">
          <color indexed="64"/>
        </top>
        <bottom style="thin">
          <color indexed="64"/>
        </bottom>
      </border>
    </dxf>
  </rfmt>
  <rcc rId="3502" sId="13">
    <oc r="F84">
      <f>E84*D84</f>
    </oc>
    <nc r="F84">
      <f>E84*D84</f>
    </nc>
  </rcc>
  <rcc rId="3503" sId="13">
    <oc r="L84">
      <f>E84*(H84+I84+J84+K84)</f>
    </oc>
    <nc r="L84">
      <f>E84*(H84+I84+J84+K84)</f>
    </nc>
  </rcc>
  <rfmt sheetId="13" sqref="A85" start="0" length="0">
    <dxf>
      <alignment horizontal="right" vertical="center" readingOrder="0"/>
      <border outline="0">
        <bottom style="thin">
          <color indexed="64"/>
        </bottom>
      </border>
    </dxf>
  </rfmt>
  <rfmt sheetId="13" sqref="B85" start="0" length="0">
    <dxf>
      <alignment vertical="center" readingOrder="0"/>
    </dxf>
  </rfmt>
  <rfmt sheetId="13" sqref="C85" start="0" length="0">
    <dxf>
      <alignment horizontal="left" vertical="center" readingOrder="0"/>
      <protection locked="0"/>
    </dxf>
  </rfmt>
  <rfmt sheetId="13" sqref="D85" start="0" length="0">
    <dxf>
      <alignment horizontal="center" vertical="center" readingOrder="0"/>
    </dxf>
  </rfmt>
  <rfmt sheetId="13" sqref="E85" start="0" length="0">
    <dxf>
      <font>
        <sz val="10"/>
        <color indexed="8"/>
        <name val="Arial"/>
        <scheme val="none"/>
      </font>
      <numFmt numFmtId="176" formatCode="#,##0.00[$р.-419];\-#,##0.00[$р.-419]"/>
      <border outline="0">
        <top style="thin">
          <color indexed="64"/>
        </top>
        <bottom style="thin">
          <color indexed="64"/>
        </bottom>
      </border>
    </dxf>
  </rfmt>
  <rcc rId="3504" sId="13">
    <oc r="F85">
      <f>E85*D85</f>
    </oc>
    <nc r="F85">
      <f>E85*D85</f>
    </nc>
  </rcc>
  <rcc rId="3505" sId="13">
    <oc r="L85">
      <f>E85*(H85+I85+J85+K85)</f>
    </oc>
    <nc r="L85">
      <f>E85*(H85+I85+J85+K85)</f>
    </nc>
  </rcc>
  <rfmt sheetId="13" sqref="A86" start="0" length="0">
    <dxf>
      <alignment horizontal="right" vertical="center" readingOrder="0"/>
      <border outline="0">
        <bottom style="thin">
          <color indexed="64"/>
        </bottom>
      </border>
    </dxf>
  </rfmt>
  <rfmt sheetId="13" sqref="B86" start="0" length="0">
    <dxf>
      <alignment vertical="center" readingOrder="0"/>
    </dxf>
  </rfmt>
  <rfmt sheetId="13" sqref="C86" start="0" length="0">
    <dxf>
      <alignment horizontal="left" vertical="center" readingOrder="0"/>
      <protection locked="0"/>
    </dxf>
  </rfmt>
  <rfmt sheetId="13" sqref="D86" start="0" length="0">
    <dxf>
      <alignment horizontal="center" vertical="center" readingOrder="0"/>
    </dxf>
  </rfmt>
  <rfmt sheetId="13" sqref="E86" start="0" length="0">
    <dxf>
      <font>
        <sz val="10"/>
        <color indexed="8"/>
        <name val="Arial"/>
        <scheme val="none"/>
      </font>
      <numFmt numFmtId="176" formatCode="#,##0.00[$р.-419];\-#,##0.00[$р.-419]"/>
      <border outline="0">
        <top style="thin">
          <color indexed="64"/>
        </top>
        <bottom style="thin">
          <color indexed="64"/>
        </bottom>
      </border>
    </dxf>
  </rfmt>
  <rcc rId="3506" sId="13">
    <oc r="F86">
      <f>E86*D86</f>
    </oc>
    <nc r="F86">
      <f>E86*D86</f>
    </nc>
  </rcc>
  <rcc rId="3507" sId="13">
    <oc r="L86">
      <f>E86*(H86+I86+J86+K86)</f>
    </oc>
    <nc r="L86">
      <f>E86*(H86+I86+J86+K86)</f>
    </nc>
  </rcc>
  <rfmt sheetId="13" sqref="A87" start="0" length="0">
    <dxf>
      <alignment horizontal="right" vertical="center" readingOrder="0"/>
      <border outline="0">
        <bottom style="thin">
          <color indexed="64"/>
        </bottom>
      </border>
    </dxf>
  </rfmt>
  <rfmt sheetId="13" sqref="B87" start="0" length="0">
    <dxf>
      <alignment vertical="center" readingOrder="0"/>
    </dxf>
  </rfmt>
  <rfmt sheetId="13" sqref="C87" start="0" length="0">
    <dxf>
      <alignment horizontal="left" vertical="center" readingOrder="0"/>
      <protection locked="0"/>
    </dxf>
  </rfmt>
  <rfmt sheetId="13" sqref="D87" start="0" length="0">
    <dxf>
      <alignment horizontal="center" vertical="center" readingOrder="0"/>
    </dxf>
  </rfmt>
  <rfmt sheetId="13" sqref="E87" start="0" length="0">
    <dxf>
      <font>
        <sz val="10"/>
        <color indexed="8"/>
        <name val="Arial"/>
        <scheme val="none"/>
      </font>
      <numFmt numFmtId="176" formatCode="#,##0.00[$р.-419];\-#,##0.00[$р.-419]"/>
      <border outline="0">
        <top style="thin">
          <color indexed="64"/>
        </top>
        <bottom style="thin">
          <color indexed="64"/>
        </bottom>
      </border>
    </dxf>
  </rfmt>
  <rcc rId="3508" sId="13">
    <oc r="F87">
      <f>E87*D87</f>
    </oc>
    <nc r="F87">
      <f>E87*D87</f>
    </nc>
  </rcc>
  <rcc rId="3509" sId="13">
    <oc r="L87">
      <f>E87*(H87+I87+J87+K87)</f>
    </oc>
    <nc r="L87">
      <f>E87*(H87+I87+J87+K87)</f>
    </nc>
  </rcc>
  <rfmt sheetId="13" sqref="A145" start="0" length="0">
    <dxf>
      <font>
        <sz val="10"/>
        <color indexed="8"/>
        <name val="Arial"/>
        <scheme val="none"/>
      </font>
      <alignment horizontal="right" vertical="center" readingOrder="0"/>
      <border outline="0">
        <bottom style="thin">
          <color indexed="64"/>
        </bottom>
      </border>
    </dxf>
  </rfmt>
  <rfmt sheetId="13" sqref="B145" start="0" length="0">
    <dxf>
      <font>
        <sz val="10"/>
        <color indexed="8"/>
        <name val="Arial"/>
        <scheme val="none"/>
      </font>
      <border outline="0">
        <top style="thin">
          <color indexed="64"/>
        </top>
        <bottom style="thin">
          <color indexed="64"/>
        </bottom>
      </border>
      <protection locked="0"/>
    </dxf>
  </rfmt>
  <rfmt sheetId="13" sqref="C145" start="0" length="0">
    <dxf>
      <font>
        <sz val="10"/>
        <color indexed="8"/>
        <name val="Arial"/>
        <scheme val="none"/>
      </font>
      <border outline="0">
        <top style="thin">
          <color indexed="64"/>
        </top>
        <bottom style="thin">
          <color indexed="64"/>
        </bottom>
      </border>
    </dxf>
  </rfmt>
  <rfmt sheetId="13" sqref="D145" start="0" length="0">
    <dxf>
      <font>
        <sz val="10"/>
        <color indexed="8"/>
        <name val="Arial"/>
        <scheme val="none"/>
      </font>
      <alignment horizontal="center" vertical="center" readingOrder="0"/>
      <border outline="0">
        <top style="thin">
          <color indexed="64"/>
        </top>
        <bottom style="thin">
          <color indexed="64"/>
        </bottom>
      </border>
    </dxf>
  </rfmt>
  <rfmt sheetId="13" sqref="E145" start="0" length="0">
    <dxf>
      <font>
        <sz val="10"/>
        <color indexed="8"/>
        <name val="Arial"/>
        <scheme val="none"/>
      </font>
      <numFmt numFmtId="176" formatCode="#,##0.00[$р.-419];\-#,##0.00[$р.-419]"/>
      <border outline="0">
        <top style="thin">
          <color indexed="64"/>
        </top>
        <bottom style="thin">
          <color indexed="64"/>
        </bottom>
      </border>
    </dxf>
  </rfmt>
  <rcc rId="3510" sId="13">
    <oc r="F145">
      <f>E145*D145</f>
    </oc>
    <nc r="F145">
      <f>E145*D145</f>
    </nc>
  </rcc>
  <rcc rId="3511" sId="13">
    <oc r="L145">
      <f>E145*(H145+I145+J145+K145)</f>
    </oc>
    <nc r="L145">
      <f>E145*(H145+I145+J145+K145)</f>
    </nc>
  </rcc>
  <rcc rId="3512" sId="13">
    <oc r="S145">
      <f>H145*E145</f>
    </oc>
    <nc r="S145">
      <f>H145*E145</f>
    </nc>
  </rcc>
  <rcc rId="3513" sId="13">
    <oc r="T145">
      <f>I145*E145</f>
    </oc>
    <nc r="T145">
      <f>I145*E145</f>
    </nc>
  </rcc>
  <rcc rId="3514" sId="13">
    <oc r="U145">
      <f>J145*E145</f>
    </oc>
    <nc r="U145">
      <f>J145*E145</f>
    </nc>
  </rcc>
  <rcc rId="3515" sId="13">
    <oc r="V145">
      <f>K145*E145</f>
    </oc>
    <nc r="V145">
      <f>K145*E145</f>
    </nc>
  </rcc>
  <rfmt sheetId="13" sqref="A146" start="0" length="0">
    <dxf/>
  </rfmt>
  <rfmt sheetId="13" sqref="B146" start="0" length="0">
    <dxf>
      <alignment vertical="center" readingOrder="0"/>
    </dxf>
  </rfmt>
  <rfmt sheetId="13" sqref="C146" start="0" length="0">
    <dxf>
      <alignment horizontal="left" vertical="center" readingOrder="0"/>
      <border outline="0">
        <left style="medium">
          <color indexed="64"/>
        </left>
      </border>
      <protection locked="0"/>
    </dxf>
  </rfmt>
  <rfmt sheetId="13" sqref="E146" start="0" length="0">
    <dxf>
      <border outline="0">
        <left/>
      </border>
    </dxf>
  </rfmt>
  <rcc rId="3516" sId="13">
    <oc r="F146">
      <f>E146*D146</f>
    </oc>
    <nc r="F146">
      <f>E146*D146</f>
    </nc>
  </rcc>
  <rcc rId="3517" sId="13">
    <oc r="L146">
      <f>E146*(H146+I146+J146+K146)</f>
    </oc>
    <nc r="L146">
      <f>E146*(H146+I146+J146+K146)</f>
    </nc>
  </rcc>
  <rcc rId="3518" sId="13">
    <oc r="S146">
      <f>H146*E146</f>
    </oc>
    <nc r="S146">
      <f>H146*E146</f>
    </nc>
  </rcc>
  <rcc rId="3519" sId="13">
    <oc r="T146">
      <f>I146*E146</f>
    </oc>
    <nc r="T146">
      <f>I146*E146</f>
    </nc>
  </rcc>
  <rcc rId="3520" sId="13">
    <oc r="U146">
      <f>J146*E146</f>
    </oc>
    <nc r="U146">
      <f>J146*E146</f>
    </nc>
  </rcc>
  <rcc rId="3521" sId="13">
    <oc r="V146">
      <f>K146*E146</f>
    </oc>
    <nc r="V146">
      <f>K146*E146</f>
    </nc>
  </rcc>
  <rfmt sheetId="13" sqref="A147" start="0" length="0">
    <dxf>
      <alignment horizontal="right" vertical="center" readingOrder="0"/>
      <border outline="0">
        <bottom style="thin">
          <color indexed="64"/>
        </bottom>
      </border>
    </dxf>
  </rfmt>
  <rfmt sheetId="13" sqref="D147" start="0" length="0">
    <dxf>
      <alignment horizontal="center" vertical="center" readingOrder="0"/>
    </dxf>
  </rfmt>
  <rfmt sheetId="13" sqref="E147" start="0" length="0">
    <dxf>
      <numFmt numFmtId="176" formatCode="#,##0.00[$р.-419];\-#,##0.00[$р.-419]"/>
      <border outline="0">
        <top style="thin">
          <color indexed="64"/>
        </top>
        <bottom style="thin">
          <color indexed="64"/>
        </bottom>
      </border>
    </dxf>
  </rfmt>
  <rcc rId="3522" sId="13">
    <oc r="F147">
      <f>E147*D147</f>
    </oc>
    <nc r="F147">
      <f>E147*D147</f>
    </nc>
  </rcc>
  <rcc rId="3523" sId="13">
    <oc r="L147">
      <f>E147*(H147+I147+J147+K147)</f>
    </oc>
    <nc r="L147">
      <f>E147*(H147+I147+J147+K147)</f>
    </nc>
  </rcc>
  <rcc rId="3524" sId="13">
    <oc r="S147">
      <f>H147*E147</f>
    </oc>
    <nc r="S147">
      <f>H147*E147</f>
    </nc>
  </rcc>
  <rcc rId="3525" sId="13">
    <oc r="T147">
      <f>I147*E147</f>
    </oc>
    <nc r="T147">
      <f>I147*E147</f>
    </nc>
  </rcc>
  <rcc rId="3526" sId="13">
    <oc r="U147">
      <f>J147*E147</f>
    </oc>
    <nc r="U147">
      <f>J147*E147</f>
    </nc>
  </rcc>
  <rcc rId="3527" sId="13">
    <oc r="V147">
      <f>K147*E147</f>
    </oc>
    <nc r="V147">
      <f>K147*E147</f>
    </nc>
  </rcc>
  <rfmt sheetId="13" sqref="A148" start="0" length="0">
    <dxf/>
  </rfmt>
  <rfmt sheetId="13" sqref="B148" start="0" length="0">
    <dxf>
      <alignment vertical="center" readingOrder="0"/>
    </dxf>
  </rfmt>
  <rfmt sheetId="13" sqref="C148" start="0" length="0">
    <dxf>
      <alignment horizontal="left" vertical="center" readingOrder="0"/>
      <border outline="0">
        <left style="medium">
          <color indexed="64"/>
        </left>
      </border>
      <protection locked="0"/>
    </dxf>
  </rfmt>
  <rfmt sheetId="13" sqref="E148" start="0" length="0">
    <dxf>
      <border outline="0">
        <left/>
      </border>
    </dxf>
  </rfmt>
  <rcc rId="3528" sId="13">
    <oc r="F148">
      <f>E148*D148</f>
    </oc>
    <nc r="F148">
      <f>E148*D148</f>
    </nc>
  </rcc>
  <rcc rId="3529" sId="13">
    <oc r="L148">
      <f>E148*(H148+I148+J148+K148)</f>
    </oc>
    <nc r="L148">
      <f>E148*(H148+I148+J148+K148)</f>
    </nc>
  </rcc>
  <rcc rId="3530" sId="13">
    <oc r="S148">
      <f>H148*E148</f>
    </oc>
    <nc r="S148">
      <f>H148*E148</f>
    </nc>
  </rcc>
  <rcc rId="3531" sId="13">
    <oc r="T148">
      <f>I148*E148</f>
    </oc>
    <nc r="T148">
      <f>I148*E148</f>
    </nc>
  </rcc>
  <rcc rId="3532" sId="13">
    <oc r="U148">
      <f>J148*E148</f>
    </oc>
    <nc r="U148">
      <f>J148*E148</f>
    </nc>
  </rcc>
  <rcc rId="3533" sId="13">
    <oc r="V148">
      <f>K148*E148</f>
    </oc>
    <nc r="V148">
      <f>K148*E148</f>
    </nc>
  </rcc>
  <rfmt sheetId="13" sqref="A149" start="0" length="0">
    <dxf>
      <alignment horizontal="right" vertical="center" readingOrder="0"/>
      <border outline="0">
        <bottom style="thin">
          <color indexed="64"/>
        </bottom>
      </border>
    </dxf>
  </rfmt>
  <rfmt sheetId="13" sqref="B149" start="0" length="0">
    <dxf>
      <alignment vertical="center" readingOrder="0"/>
      <border outline="0">
        <top style="thin">
          <color indexed="64"/>
        </top>
        <bottom style="thin">
          <color indexed="64"/>
        </bottom>
      </border>
      <protection locked="0"/>
    </dxf>
  </rfmt>
  <rfmt sheetId="13" sqref="C149" start="0" length="0">
    <dxf>
      <alignment horizontal="left" vertical="center" readingOrder="0"/>
      <border outline="0">
        <top style="thin">
          <color indexed="64"/>
        </top>
        <bottom style="thin">
          <color indexed="64"/>
        </bottom>
      </border>
      <protection locked="0"/>
    </dxf>
  </rfmt>
  <rfmt sheetId="13" sqref="D149" start="0" length="0">
    <dxf>
      <alignment horizontal="center" vertical="center" readingOrder="0"/>
      <border outline="0">
        <top style="thin">
          <color indexed="64"/>
        </top>
        <bottom style="thin">
          <color indexed="64"/>
        </bottom>
      </border>
    </dxf>
  </rfmt>
  <rfmt sheetId="13" sqref="E149" start="0" length="0">
    <dxf>
      <numFmt numFmtId="176" formatCode="#,##0.00[$р.-419];\-#,##0.00[$р.-419]"/>
      <border outline="0">
        <top style="thin">
          <color indexed="64"/>
        </top>
        <bottom style="thin">
          <color indexed="64"/>
        </bottom>
      </border>
    </dxf>
  </rfmt>
  <rcc rId="3534" sId="13">
    <oc r="F149">
      <f>E149*D149</f>
    </oc>
    <nc r="F149">
      <f>E149*D149</f>
    </nc>
  </rcc>
  <rcc rId="3535" sId="13">
    <oc r="L149">
      <f>E149*(H149+I149+J149+K149)</f>
    </oc>
    <nc r="L149">
      <f>E149*(H149+I149+J149+K149)</f>
    </nc>
  </rcc>
  <rcc rId="3536" sId="13">
    <oc r="S149">
      <f>H149*E149</f>
    </oc>
    <nc r="S149">
      <f>H149*E149</f>
    </nc>
  </rcc>
  <rcc rId="3537" sId="13">
    <oc r="T149">
      <f>I149*E149</f>
    </oc>
    <nc r="T149">
      <f>I149*E149</f>
    </nc>
  </rcc>
  <rcc rId="3538" sId="13">
    <oc r="U149">
      <f>J149*E149</f>
    </oc>
    <nc r="U149">
      <f>J149*E149</f>
    </nc>
  </rcc>
  <rcc rId="3539" sId="13">
    <oc r="V149">
      <f>K149*E149</f>
    </oc>
    <nc r="V149">
      <f>K149*E149</f>
    </nc>
  </rcc>
  <rcv guid="{06317133-151B-4DBC-8EB3-9345BA061F91}" action="delete"/>
  <rdn rId="0" localSheetId="3" customView="1" name="Z_06317133_151B_4DBC_8EB3_9345BA061F91_.wvu.PrintTitles" hidden="1" oldHidden="1">
    <formula>'январь 2019'!$4:$7</formula>
    <oldFormula>'январь 2019'!$4:$7</oldFormula>
  </rdn>
  <rdn rId="0" localSheetId="5" customView="1" name="Z_06317133_151B_4DBC_8EB3_9345BA061F91_.wvu.PrintTitles" hidden="1" oldHidden="1">
    <formula>'февраль 2019'!$4:$7</formula>
    <oldFormula>'февраль 2019'!$4:$7</oldFormula>
  </rdn>
  <rdn rId="0" localSheetId="6" customView="1" name="Z_06317133_151B_4DBC_8EB3_9345BA061F91_.wvu.PrintArea" hidden="1" oldHidden="1">
    <formula>'март 2019 Эпотос-К'!$B$7:$G$93</formula>
    <oldFormula>'март 2019 Эпотос-К'!$B$7:$G$93</oldFormula>
  </rdn>
  <rdn rId="0" localSheetId="7" customView="1" name="Z_06317133_151B_4DBC_8EB3_9345BA061F91_.wvu.PrintTitles" hidden="1" oldHidden="1">
    <formula>'март 2019'!$4:$7</formula>
    <oldFormula>'март 2019'!$4:$7</oldFormula>
  </rdn>
  <rdn rId="0" localSheetId="8" customView="1" name="Z_06317133_151B_4DBC_8EB3_9345BA061F91_.wvu.PrintArea" hidden="1" oldHidden="1">
    <formula>'апрель 2019 Эпотос-К'!$B$7:$G$93</formula>
    <oldFormula>'апрель 2019 Эпотос-К'!$B$7:$G$93</oldFormula>
  </rdn>
  <rdn rId="0" localSheetId="9" customView="1" name="Z_06317133_151B_4DBC_8EB3_9345BA061F91_.wvu.PrintTitles" hidden="1" oldHidden="1">
    <formula>'апрель 2019'!$4:$7</formula>
    <oldFormula>'апрель 2019'!$4:$7</oldFormula>
  </rdn>
  <rdn rId="0" localSheetId="10" customView="1" name="Z_06317133_151B_4DBC_8EB3_9345BA061F91_.wvu.PrintArea" hidden="1" oldHidden="1">
    <formula>'май 2019 Эпотос-К'!$A$7:$B$82</formula>
    <oldFormula>'май 2019 Эпотос-К'!$A$7:$B$82</oldFormula>
  </rdn>
  <rdn rId="0" localSheetId="10" customView="1" name="Z_06317133_151B_4DBC_8EB3_9345BA061F91_.wvu.Cols" hidden="1" oldHidden="1">
    <formula>'май 2019 Эпотос-К'!$S:$V</formula>
    <oldFormula>'май 2019 Эпотос-К'!$S:$V</oldFormula>
  </rdn>
  <rdn rId="0" localSheetId="11" customView="1" name="Z_06317133_151B_4DBC_8EB3_9345BA061F91_.wvu.PrintTitles" hidden="1" oldHidden="1">
    <formula>'май 2019'!$4:$7</formula>
    <oldFormula>'май 2019'!$4:$7</oldFormula>
  </rdn>
  <rdn rId="0" localSheetId="11" customView="1" name="Z_06317133_151B_4DBC_8EB3_9345BA061F91_.wvu.Cols" hidden="1" oldHidden="1">
    <formula>'май 2019'!$S:$V</formula>
    <oldFormula>'май 2019'!$S:$V</oldFormula>
  </rdn>
  <rdn rId="0" localSheetId="12" customView="1" name="Z_06317133_151B_4DBC_8EB3_9345BA061F91_.wvu.PrintArea" hidden="1" oldHidden="1">
    <formula>'июнь 2019 Эпотос-К'!$B$47:$D$56</formula>
    <oldFormula>'июнь 2019 Эпотос-К'!$B$47:$D$56</oldFormula>
  </rdn>
  <rdn rId="0" localSheetId="12" customView="1" name="Z_06317133_151B_4DBC_8EB3_9345BA061F91_.wvu.Cols" hidden="1" oldHidden="1">
    <formula>'июнь 2019 Эпотос-К'!$S:$V</formula>
    <oldFormula>'июнь 2019 Эпотос-К'!$S:$V</oldFormula>
  </rdn>
  <rdn rId="0" localSheetId="13" customView="1" name="Z_06317133_151B_4DBC_8EB3_9345BA061F91_.wvu.PrintTitles" hidden="1" oldHidden="1">
    <formula>'июнь 2019'!$4:$7</formula>
    <oldFormula>'июнь 2019'!$4:$7</oldFormula>
  </rdn>
  <rdn rId="0" localSheetId="13" customView="1" name="Z_06317133_151B_4DBC_8EB3_9345BA061F91_.wvu.Cols" hidden="1" oldHidden="1">
    <formula>'июнь 2019'!$S:$V</formula>
    <oldFormula>'июнь 2019'!$S:$V</oldFormula>
  </rdn>
  <rdn rId="0" localSheetId="14" customView="1" name="Z_06317133_151B_4DBC_8EB3_9345BA061F91_.wvu.PrintArea" hidden="1" oldHidden="1">
    <formula>'обзор 2019'!$B$3:$M$18</formula>
    <oldFormula>'обзор 2019'!$B$3:$M$18</oldFormula>
  </rdn>
  <rdn rId="0" localSheetId="15" customView="1" name="Z_06317133_151B_4DBC_8EB3_9345BA061F91_.wvu.PrintArea" hidden="1" oldHidden="1">
    <formula>'обзор 2018'!$B$3:$M$18</formula>
    <oldFormula>'обзор 2018'!$B$3:$M$18</oldFormula>
  </rdn>
  <rdn rId="0" localSheetId="16" customView="1" name="Z_06317133_151B_4DBC_8EB3_9345BA061F91_.wvu.PrintArea" hidden="1" oldHidden="1">
    <formula>'обзор 2017'!$B$3:$M$18</formula>
    <oldFormula>'обзор 2017'!$B$3:$M$18</oldFormula>
  </rdn>
  <rdn rId="0" localSheetId="17" customView="1" name="Z_06317133_151B_4DBC_8EB3_9345BA061F91_.wvu.PrintArea" hidden="1" oldHidden="1">
    <formula>'обзор 2016'!$B$3:$Q$19</formula>
    <oldFormula>'обзор 2016'!$B$3:$Q$19</oldFormula>
  </rdn>
  <rdn rId="0" localSheetId="17" customView="1" name="Z_06317133_151B_4DBC_8EB3_9345BA061F91_.wvu.Cols" hidden="1" oldHidden="1">
    <formula>'обзор 2016'!$A:$A</formula>
    <oldFormula>'обзор 2016'!$A:$A</oldFormula>
  </rdn>
  <rdn rId="0" localSheetId="18" customView="1" name="Z_06317133_151B_4DBC_8EB3_9345BA061F91_.wvu.PrintArea" hidden="1" oldHidden="1">
    <formula>'объёмы 2019'!$A$3:$U$98</formula>
    <oldFormula>'объёмы 2019'!$A$3:$U$98</oldFormula>
  </rdn>
  <rdn rId="0" localSheetId="18" customView="1" name="Z_06317133_151B_4DBC_8EB3_9345BA061F91_.wvu.PrintTitles" hidden="1" oldHidden="1">
    <formula>'объёмы 2019'!$5:$6</formula>
    <oldFormula>'объёмы 2019'!$5:$6</oldFormula>
  </rdn>
  <rcv guid="{06317133-151B-4DBC-8EB3-9345BA061F91}" action="add"/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1" sId="13">
    <nc r="I140">
      <v>685</v>
    </nc>
  </rcc>
  <rcc rId="3562" sId="13">
    <nc r="I141">
      <v>55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63" sId="13" ref="A142:XFD142" action="insert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undo index="0" exp="area" ref3D="1" dr="$S$1:$V$1048576" dn="Z_D42288F7_1871_4EF6_BC87_1B9EF747C744_.wvu.Cols" sId="13"/>
    <undo index="0" exp="area" ref3D="1" dr="$S$1:$V$1048576" dn="Z_06317133_151B_4DBC_8EB3_9345BA061F91_.wvu.Cols" sId="13"/>
  </rrc>
  <rcc rId="3564" sId="13" odxf="1" dxf="1">
    <nc r="A142">
      <v>5505</v>
    </nc>
    <odxf>
      <numFmt numFmtId="30" formatCode="@"/>
      <fill>
        <patternFill patternType="solid">
          <bgColor theme="6" tint="-0.249977111117893"/>
        </patternFill>
      </fill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odxf>
    <ndxf>
      <numFmt numFmtId="0" formatCode="General"/>
      <fill>
        <patternFill patternType="none">
          <bgColor indexed="65"/>
        </patternFill>
      </fill>
      <border outline="0">
        <left style="thin">
          <color indexed="64"/>
        </left>
        <right style="thin">
          <color indexed="64"/>
        </right>
        <top/>
      </border>
      <protection locked="0"/>
    </ndxf>
  </rcc>
  <rcc rId="3565" sId="13" odxf="1" dxf="1">
    <nc r="B142" t="inlineStr">
      <is>
        <t>ООО Домашний стандарт</t>
      </is>
    </nc>
    <odxf>
      <font>
        <sz val="10"/>
        <color indexed="8"/>
        <name val="Arial"/>
        <scheme val="none"/>
      </font>
    </odxf>
    <ndxf>
      <font>
        <sz val="10"/>
        <color indexed="8"/>
        <name val="Arial"/>
        <scheme val="none"/>
      </font>
    </ndxf>
  </rcc>
  <rcc rId="3566" sId="13" odxf="1" dxf="1">
    <nc r="C142" t="inlineStr">
      <is>
        <t>Вырубка дет. прокладка</t>
      </is>
    </nc>
    <odxf>
      <border outline="0">
        <right/>
        <top style="thin">
          <color indexed="64"/>
        </top>
        <bottom style="thin">
          <color indexed="64"/>
        </bottom>
      </border>
    </odxf>
    <ndxf>
      <border outline="0">
        <right style="thin">
          <color indexed="8"/>
        </right>
        <top style="thin">
          <color indexed="8"/>
        </top>
        <bottom style="thin">
          <color indexed="8"/>
        </bottom>
      </border>
    </ndxf>
  </rcc>
  <rfmt sheetId="13" sqref="D142" start="0" length="0">
    <dxf>
      <font>
        <sz val="10"/>
        <color indexed="8"/>
        <name val="Arial"/>
        <scheme val="none"/>
      </font>
    </dxf>
  </rfmt>
  <rcc rId="3567" sId="13" odxf="1" dxf="1" numFmtId="11">
    <nc r="E142">
      <v>4</v>
    </nc>
    <odxf>
      <font>
        <sz val="10"/>
        <color indexed="8"/>
        <name val="Arial"/>
        <scheme val="none"/>
      </font>
      <border outline="0">
        <left/>
      </border>
    </odxf>
    <ndxf>
      <font>
        <sz val="10"/>
        <color indexed="8"/>
        <name val="Arial"/>
        <scheme val="none"/>
      </font>
      <border outline="0">
        <left style="medium">
          <color indexed="64"/>
        </left>
      </border>
    </ndxf>
  </rcc>
  <rcc rId="3568" sId="13">
    <nc r="F142">
      <f>E142*D142</f>
    </nc>
  </rcc>
  <rcc rId="3569" sId="13">
    <oc r="L141">
      <f>E141*(H141+I141+J141+K141)</f>
    </oc>
    <nc r="L141">
      <f>E141*(H141+I141+J141+K141)</f>
    </nc>
  </rcc>
  <rcc rId="3570" sId="13">
    <nc r="L142">
      <f>E142*(H142+I142+J142+K142)</f>
    </nc>
  </rcc>
  <rfmt sheetId="13" sqref="A140:A141">
    <dxf>
      <fill>
        <patternFill patternType="none">
          <bgColor auto="1"/>
        </patternFill>
      </fill>
    </dxf>
  </rfmt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A150">
    <dxf>
      <fill>
        <patternFill patternType="solid">
          <bgColor theme="6" tint="-0.249977111117893"/>
        </patternFill>
      </fill>
    </dxf>
  </rfmt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A150">
    <dxf>
      <fill>
        <patternFill patternType="solid">
          <bgColor theme="6" tint="-0.249977111117893"/>
        </patternFill>
      </fill>
    </dxf>
  </rfmt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1" sId="13">
    <nc r="G150">
      <v>4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6317133-151B-4DBC-8EB3-9345BA061F91}" action="delete"/>
  <rdn rId="0" localSheetId="3" customView="1" name="Z_06317133_151B_4DBC_8EB3_9345BA061F91_.wvu.PrintTitles" hidden="1" oldHidden="1">
    <formula>'январь 2019'!$4:$7</formula>
    <oldFormula>'январь 2019'!$4:$7</oldFormula>
  </rdn>
  <rdn rId="0" localSheetId="5" customView="1" name="Z_06317133_151B_4DBC_8EB3_9345BA061F91_.wvu.PrintTitles" hidden="1" oldHidden="1">
    <formula>'февраль 2019'!$4:$7</formula>
    <oldFormula>'февраль 2019'!$4:$7</oldFormula>
  </rdn>
  <rdn rId="0" localSheetId="6" customView="1" name="Z_06317133_151B_4DBC_8EB3_9345BA061F91_.wvu.PrintArea" hidden="1" oldHidden="1">
    <formula>'март 2019 Эпотос-К'!$B$7:$G$93</formula>
    <oldFormula>'март 2019 Эпотос-К'!$B$7:$G$93</oldFormula>
  </rdn>
  <rdn rId="0" localSheetId="7" customView="1" name="Z_06317133_151B_4DBC_8EB3_9345BA061F91_.wvu.PrintTitles" hidden="1" oldHidden="1">
    <formula>'март 2019'!$4:$7</formula>
    <oldFormula>'март 2019'!$4:$7</oldFormula>
  </rdn>
  <rdn rId="0" localSheetId="8" customView="1" name="Z_06317133_151B_4DBC_8EB3_9345BA061F91_.wvu.PrintArea" hidden="1" oldHidden="1">
    <formula>'апрель 2019 Эпотос-К'!$B$7:$G$93</formula>
    <oldFormula>'апрель 2019 Эпотос-К'!$B$7:$G$93</oldFormula>
  </rdn>
  <rdn rId="0" localSheetId="9" customView="1" name="Z_06317133_151B_4DBC_8EB3_9345BA061F91_.wvu.PrintTitles" hidden="1" oldHidden="1">
    <formula>'апрель 2019'!$4:$7</formula>
    <oldFormula>'апрель 2019'!$4:$7</oldFormula>
  </rdn>
  <rdn rId="0" localSheetId="10" customView="1" name="Z_06317133_151B_4DBC_8EB3_9345BA061F91_.wvu.PrintArea" hidden="1" oldHidden="1">
    <formula>'май 2019 Эпотос-К'!$A$7:$B$82</formula>
    <oldFormula>'май 2019 Эпотос-К'!$A$7:$B$82</oldFormula>
  </rdn>
  <rdn rId="0" localSheetId="10" customView="1" name="Z_06317133_151B_4DBC_8EB3_9345BA061F91_.wvu.Cols" hidden="1" oldHidden="1">
    <formula>'май 2019 Эпотос-К'!$S:$V</formula>
    <oldFormula>'май 2019 Эпотос-К'!$S:$V</oldFormula>
  </rdn>
  <rdn rId="0" localSheetId="11" customView="1" name="Z_06317133_151B_4DBC_8EB3_9345BA061F91_.wvu.PrintTitles" hidden="1" oldHidden="1">
    <formula>'май 2019'!$4:$7</formula>
    <oldFormula>'май 2019'!$4:$7</oldFormula>
  </rdn>
  <rdn rId="0" localSheetId="11" customView="1" name="Z_06317133_151B_4DBC_8EB3_9345BA061F91_.wvu.Cols" hidden="1" oldHidden="1">
    <formula>'май 2019'!$S:$V</formula>
    <oldFormula>'май 2019'!$S:$V</oldFormula>
  </rdn>
  <rdn rId="0" localSheetId="12" customView="1" name="Z_06317133_151B_4DBC_8EB3_9345BA061F91_.wvu.PrintArea" hidden="1" oldHidden="1">
    <formula>'июнь 2019 Эпотос-К'!$B$47:$D$56</formula>
    <oldFormula>'июнь 2019 Эпотос-К'!$B$47:$D$56</oldFormula>
  </rdn>
  <rdn rId="0" localSheetId="12" customView="1" name="Z_06317133_151B_4DBC_8EB3_9345BA061F91_.wvu.Cols" hidden="1" oldHidden="1">
    <formula>'июнь 2019 Эпотос-К'!$S:$V</formula>
    <oldFormula>'июнь 2019 Эпотос-К'!$S:$V</oldFormula>
  </rdn>
  <rdn rId="0" localSheetId="13" customView="1" name="Z_06317133_151B_4DBC_8EB3_9345BA061F91_.wvu.PrintTitles" hidden="1" oldHidden="1">
    <formula>'июнь 2019'!$4:$7</formula>
    <oldFormula>'июнь 2019'!$4:$7</oldFormula>
  </rdn>
  <rdn rId="0" localSheetId="13" customView="1" name="Z_06317133_151B_4DBC_8EB3_9345BA061F91_.wvu.Cols" hidden="1" oldHidden="1">
    <formula>'июнь 2019'!$S:$V</formula>
    <oldFormula>'июнь 2019'!$S:$V</oldFormula>
  </rdn>
  <rdn rId="0" localSheetId="14" customView="1" name="Z_06317133_151B_4DBC_8EB3_9345BA061F91_.wvu.PrintArea" hidden="1" oldHidden="1">
    <formula>'обзор 2019'!$B$3:$M$18</formula>
    <oldFormula>'обзор 2019'!$B$3:$M$18</oldFormula>
  </rdn>
  <rdn rId="0" localSheetId="15" customView="1" name="Z_06317133_151B_4DBC_8EB3_9345BA061F91_.wvu.PrintArea" hidden="1" oldHidden="1">
    <formula>'обзор 2018'!$B$3:$M$18</formula>
    <oldFormula>'обзор 2018'!$B$3:$M$18</oldFormula>
  </rdn>
  <rdn rId="0" localSheetId="16" customView="1" name="Z_06317133_151B_4DBC_8EB3_9345BA061F91_.wvu.PrintArea" hidden="1" oldHidden="1">
    <formula>'обзор 2017'!$B$3:$M$18</formula>
    <oldFormula>'обзор 2017'!$B$3:$M$18</oldFormula>
  </rdn>
  <rdn rId="0" localSheetId="17" customView="1" name="Z_06317133_151B_4DBC_8EB3_9345BA061F91_.wvu.PrintArea" hidden="1" oldHidden="1">
    <formula>'обзор 2016'!$B$3:$Q$19</formula>
    <oldFormula>'обзор 2016'!$B$3:$Q$19</oldFormula>
  </rdn>
  <rdn rId="0" localSheetId="17" customView="1" name="Z_06317133_151B_4DBC_8EB3_9345BA061F91_.wvu.Cols" hidden="1" oldHidden="1">
    <formula>'обзор 2016'!$A:$A</formula>
    <oldFormula>'обзор 2016'!$A:$A</oldFormula>
  </rdn>
  <rdn rId="0" localSheetId="18" customView="1" name="Z_06317133_151B_4DBC_8EB3_9345BA061F91_.wvu.PrintArea" hidden="1" oldHidden="1">
    <formula>'объёмы 2019'!$A$3:$U$98</formula>
    <oldFormula>'объёмы 2019'!$A$3:$U$98</oldFormula>
  </rdn>
  <rdn rId="0" localSheetId="18" customView="1" name="Z_06317133_151B_4DBC_8EB3_9345BA061F91_.wvu.PrintTitles" hidden="1" oldHidden="1">
    <formula>'объёмы 2019'!$5:$6</formula>
    <oldFormula>'объёмы 2019'!$5:$6</oldFormula>
  </rdn>
  <rcv guid="{06317133-151B-4DBC-8EB3-9345BA061F91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12" numFmtId="4">
    <nc r="C73">
      <v>50</v>
    </nc>
  </rcc>
  <rcc rId="356" sId="12" numFmtId="4">
    <nc r="C74">
      <v>50</v>
    </nc>
  </rcc>
  <rcc rId="357" sId="12">
    <oc r="E35">
      <f>D35*C35</f>
    </oc>
    <nc r="E35">
      <f>D35*C35</f>
    </nc>
  </rcc>
  <rcc rId="358" sId="12">
    <oc r="K35">
      <f>G35+H35+I35+J35</f>
    </oc>
    <nc r="K35">
      <f>G35+H35+I35+J35</f>
    </nc>
  </rcc>
  <rcc rId="359" sId="12">
    <oc r="L35">
      <f>D35*K35</f>
    </oc>
    <nc r="L35">
      <f>D35*K35</f>
    </nc>
  </rcc>
  <rcc rId="360" sId="12">
    <oc r="M35">
      <f>F35-K35</f>
    </oc>
    <nc r="M35">
      <f>F35-K35</f>
    </nc>
  </rcc>
  <rcc rId="361" sId="12">
    <oc r="N35">
      <f>K35/C35</f>
    </oc>
    <nc r="N35">
      <f>K35/C35</f>
    </nc>
  </rcc>
  <rcc rId="362" sId="12">
    <oc r="S35">
      <f>G35*D35</f>
    </oc>
    <nc r="S35">
      <f>G35*D35</f>
    </nc>
  </rcc>
  <rcc rId="363" sId="12">
    <oc r="T35">
      <f>H35*D35</f>
    </oc>
    <nc r="T35">
      <f>H35*D35</f>
    </nc>
  </rcc>
  <rcc rId="364" sId="12">
    <oc r="U35">
      <f>I35*D35</f>
    </oc>
    <nc r="U35">
      <f>I35*D35</f>
    </nc>
  </rcc>
  <rcc rId="365" sId="12">
    <oc r="V35">
      <f>J35*D35</f>
    </oc>
    <nc r="V35">
      <f>J35*D35</f>
    </nc>
  </rcc>
  <rcc rId="366" sId="12">
    <oc r="E37">
      <f>D37*C37</f>
    </oc>
    <nc r="E37">
      <f>D37*C37</f>
    </nc>
  </rcc>
  <rfmt sheetId="12" sqref="G37" start="0" length="0">
    <dxf>
      <font>
        <sz val="12"/>
        <color theme="1"/>
      </font>
    </dxf>
  </rfmt>
  <rcc rId="367" sId="12">
    <oc r="K37">
      <f>G37+H37+I37+J37</f>
    </oc>
    <nc r="K37">
      <f>G37+H37+I37+J37</f>
    </nc>
  </rcc>
  <rcc rId="368" sId="12">
    <oc r="L37">
      <f>D37*K37</f>
    </oc>
    <nc r="L37">
      <f>D37*K37</f>
    </nc>
  </rcc>
  <rcc rId="369" sId="12">
    <oc r="M37">
      <f>F37-K37</f>
    </oc>
    <nc r="M37">
      <f>F37-K37</f>
    </nc>
  </rcc>
  <rcc rId="370" sId="12">
    <oc r="N37">
      <f>K37/C37</f>
    </oc>
    <nc r="N37">
      <f>K37/C37</f>
    </nc>
  </rcc>
  <rcc rId="371" sId="12">
    <oc r="S37">
      <f>G37*D37</f>
    </oc>
    <nc r="S37">
      <f>G37*D37</f>
    </nc>
  </rcc>
  <rcc rId="372" sId="12">
    <oc r="T37">
      <f>H37*D37</f>
    </oc>
    <nc r="T37">
      <f>H37*D37</f>
    </nc>
  </rcc>
  <rcc rId="373" sId="12">
    <oc r="U37">
      <f>I37*D37</f>
    </oc>
    <nc r="U37">
      <f>I37*D37</f>
    </nc>
  </rcc>
  <rcc rId="374" sId="12">
    <oc r="V37">
      <f>J37*D37</f>
    </oc>
    <nc r="V37">
      <f>J37*D37</f>
    </nc>
  </rcc>
  <rfmt sheetId="12" sqref="A36" start="0" length="0">
    <dxf>
      <font>
        <sz val="14"/>
        <color indexed="8"/>
        <name val="Times New Roman"/>
        <scheme val="none"/>
      </font>
      <numFmt numFmtId="30" formatCode="@"/>
      <alignment horizontal="right" readingOrder="0"/>
    </dxf>
  </rfmt>
  <rfmt sheetId="12" sqref="B36" start="0" length="0">
    <dxf>
      <alignment vertical="center" readingOrder="0"/>
      <border outline="0">
        <bottom/>
      </border>
    </dxf>
  </rfmt>
  <rfmt sheetId="12" sqref="C36" start="0" length="0">
    <dxf>
      <border outline="0">
        <left style="medium">
          <color indexed="64"/>
        </left>
        <bottom/>
      </border>
    </dxf>
  </rfmt>
  <rfmt sheetId="12" sqref="D36" start="0" length="0">
    <dxf>
      <border outline="0">
        <bottom/>
      </border>
    </dxf>
  </rfmt>
  <rfmt sheetId="12" sqref="E36" start="0" length="0">
    <dxf>
      <numFmt numFmtId="172" formatCode="#,##0.0&quot;р.&quot;"/>
    </dxf>
  </rfmt>
  <rfmt sheetId="12" sqref="G36" start="0" length="0">
    <dxf>
      <border outline="0">
        <bottom/>
      </border>
    </dxf>
  </rfmt>
  <rfmt sheetId="12" sqref="H36" start="0" length="0">
    <dxf>
      <border outline="0">
        <bottom/>
      </border>
    </dxf>
  </rfmt>
  <rfmt sheetId="12" sqref="I36" start="0" length="0">
    <dxf>
      <border outline="0">
        <bottom/>
      </border>
    </dxf>
  </rfmt>
  <rfmt sheetId="12" sqref="J36" start="0" length="0">
    <dxf>
      <border outline="0">
        <bottom/>
      </border>
    </dxf>
  </rfmt>
  <rfmt sheetId="12" sqref="L36" start="0" length="0">
    <dxf>
      <font>
        <sz val="12"/>
      </font>
      <border outline="0">
        <top/>
      </border>
    </dxf>
  </rfmt>
  <rfmt sheetId="12" sqref="M36" start="0" length="0">
    <dxf>
      <font>
        <sz val="12"/>
      </font>
      <numFmt numFmtId="3" formatCode="#,##0"/>
    </dxf>
  </rfmt>
  <rcc rId="375" sId="12">
    <oc r="S36">
      <f>G36*D36</f>
    </oc>
    <nc r="S36">
      <f>G36*D36</f>
    </nc>
  </rcc>
  <rcc rId="376" sId="12">
    <oc r="T36">
      <f>H36*D36</f>
    </oc>
    <nc r="T36">
      <f>H36*D36</f>
    </nc>
  </rcc>
  <rcc rId="377" sId="12">
    <oc r="U36">
      <f>I36*D36</f>
    </oc>
    <nc r="U36">
      <f>I36*D36</f>
    </nc>
  </rcc>
  <rcc rId="378" sId="12">
    <oc r="V36">
      <f>J36*D36</f>
    </oc>
    <nc r="V36">
      <f>J36*D36</f>
    </nc>
  </rcc>
  <rcc rId="379" sId="12">
    <oc r="C23">
      <f>86+35</f>
    </oc>
    <nc r="C23">
      <f>86+35+80</f>
    </nc>
  </rcc>
  <rcc rId="380" sId="12">
    <oc r="C26">
      <f>38+86+35</f>
    </oc>
    <nc r="C26">
      <f>38+86+35+80</f>
    </nc>
  </rcc>
  <rcc rId="381" sId="12">
    <oc r="C29">
      <f>86*2+35*2</f>
    </oc>
    <nc r="C29">
      <f>86*2+35*2+80*2</f>
    </nc>
  </rcc>
  <rcc rId="382" sId="12">
    <oc r="C37">
      <f>84+50+144+70</f>
    </oc>
    <nc r="C37">
      <f>84+50+144+70+20+50</f>
    </nc>
  </rcc>
  <rcv guid="{A1BD6C0C-B1B9-4F48-A6B1-3BFD273F4CD7}" action="delete"/>
  <rdn rId="0" localSheetId="3" customView="1" name="Z_A1BD6C0C_B1B9_4F48_A6B1_3BFD273F4CD7_.wvu.PrintTitles" hidden="1" oldHidden="1">
    <formula>'январь 2019'!$4:$7</formula>
    <oldFormula>'январь 2019'!$4:$7</oldFormula>
  </rdn>
  <rdn rId="0" localSheetId="4" customView="1" name="Z_A1BD6C0C_B1B9_4F48_A6B1_3BFD273F4CD7_.wvu.PrintArea" hidden="1" oldHidden="1">
    <formula>'февраль 2019 Эпотос-К'!$B$7:$G$96</formula>
    <oldFormula>'февраль 2019 Эпотос-К'!$B$7:$G$96</oldFormula>
  </rdn>
  <rdn rId="0" localSheetId="5" customView="1" name="Z_A1BD6C0C_B1B9_4F48_A6B1_3BFD273F4CD7_.wvu.PrintTitles" hidden="1" oldHidden="1">
    <formula>'февраль 2019'!$4:$7</formula>
    <oldFormula>'февраль 2019'!$4:$7</oldFormula>
  </rdn>
  <rdn rId="0" localSheetId="6" customView="1" name="Z_A1BD6C0C_B1B9_4F48_A6B1_3BFD273F4CD7_.wvu.PrintArea" hidden="1" oldHidden="1">
    <formula>'март 2019 Эпотос-К'!$B$7:$G$93</formula>
    <oldFormula>'март 2019 Эпотос-К'!$B$7:$G$93</oldFormula>
  </rdn>
  <rdn rId="0" localSheetId="7" customView="1" name="Z_A1BD6C0C_B1B9_4F48_A6B1_3BFD273F4CD7_.wvu.PrintTitles" hidden="1" oldHidden="1">
    <formula>'март 2019'!$4:$7</formula>
    <oldFormula>'март 2019'!$4:$7</oldFormula>
  </rdn>
  <rdn rId="0" localSheetId="8" customView="1" name="Z_A1BD6C0C_B1B9_4F48_A6B1_3BFD273F4CD7_.wvu.PrintArea" hidden="1" oldHidden="1">
    <formula>'апрель 2019 Эпотос-К'!$A$7:$B$82</formula>
    <oldFormula>'апрель 2019 Эпотос-К'!$A$7:$B$82</oldFormula>
  </rdn>
  <rdn rId="0" localSheetId="8" customView="1" name="Z_A1BD6C0C_B1B9_4F48_A6B1_3BFD273F4CD7_.wvu.Cols" hidden="1" oldHidden="1">
    <formula>'апрель 2019 Эпотос-К'!$S:$V</formula>
    <oldFormula>'апрель 2019 Эпотос-К'!$S:$V</oldFormula>
  </rdn>
  <rdn rId="0" localSheetId="9" customView="1" name="Z_A1BD6C0C_B1B9_4F48_A6B1_3BFD273F4CD7_.wvu.PrintTitles" hidden="1" oldHidden="1">
    <formula>'апрель 2019'!$4:$7</formula>
    <oldFormula>'апрель 2019'!$4:$7</oldFormula>
  </rdn>
  <rdn rId="0" localSheetId="9" customView="1" name="Z_A1BD6C0C_B1B9_4F48_A6B1_3BFD273F4CD7_.wvu.Cols" hidden="1" oldHidden="1">
    <formula>'апрель 2019'!$S:$V</formula>
    <oldFormula>'апрель 2019'!$S:$V</oldFormula>
  </rdn>
  <rdn rId="0" localSheetId="10" customView="1" name="Z_A1BD6C0C_B1B9_4F48_A6B1_3BFD273F4CD7_.wvu.PrintArea" hidden="1" oldHidden="1">
    <formula>'май 2019 Эпотос-К'!$B$47:$D$56</formula>
    <oldFormula>'май 2019 Эпотос-К'!$B$47:$D$56</oldFormula>
  </rdn>
  <rdn rId="0" localSheetId="10" customView="1" name="Z_A1BD6C0C_B1B9_4F48_A6B1_3BFD273F4CD7_.wvu.Cols" hidden="1" oldHidden="1">
    <formula>'май 2019 Эпотос-К'!$S:$V</formula>
    <oldFormula>'май 2019 Эпотос-К'!$S:$V</oldFormula>
  </rdn>
  <rdn rId="0" localSheetId="11" customView="1" name="Z_A1BD6C0C_B1B9_4F48_A6B1_3BFD273F4CD7_.wvu.PrintTitles" hidden="1" oldHidden="1">
    <formula>'май 2019'!$4:$7</formula>
    <oldFormula>'май 2019'!$4:$7</oldFormula>
  </rdn>
  <rdn rId="0" localSheetId="11" customView="1" name="Z_A1BD6C0C_B1B9_4F48_A6B1_3BFD273F4CD7_.wvu.Cols" hidden="1" oldHidden="1">
    <formula>'май 2019'!$S:$V</formula>
    <oldFormula>'май 2019'!$S:$V</oldFormula>
  </rdn>
  <rdn rId="0" localSheetId="12" customView="1" name="Z_A1BD6C0C_B1B9_4F48_A6B1_3BFD273F4CD7_.wvu.PrintArea" hidden="1" oldHidden="1">
    <formula>'июнь 2019 Эпотос-К'!$B$47:$D$56</formula>
    <oldFormula>'июнь 2019 Эпотос-К'!$B$47:$D$56</oldFormula>
  </rdn>
  <rdn rId="0" localSheetId="12" customView="1" name="Z_A1BD6C0C_B1B9_4F48_A6B1_3BFD273F4CD7_.wvu.Cols" hidden="1" oldHidden="1">
    <formula>'июнь 2019 Эпотос-К'!$S:$V</formula>
    <oldFormula>'июнь 2019 Эпотос-К'!$S:$V</oldFormula>
  </rdn>
  <rdn rId="0" localSheetId="13" customView="1" name="Z_A1BD6C0C_B1B9_4F48_A6B1_3BFD273F4CD7_.wvu.PrintTitles" hidden="1" oldHidden="1">
    <formula>'июнь 2019'!$4:$7</formula>
    <oldFormula>'июнь 2019'!$4:$7</oldFormula>
  </rdn>
  <rdn rId="0" localSheetId="13" customView="1" name="Z_A1BD6C0C_B1B9_4F48_A6B1_3BFD273F4CD7_.wvu.Cols" hidden="1" oldHidden="1">
    <formula>'июнь 2019'!$S:$V</formula>
    <oldFormula>'июнь 2019'!$S:$V</oldFormula>
  </rdn>
  <rdn rId="0" localSheetId="17" customView="1" name="Z_A1BD6C0C_B1B9_4F48_A6B1_3BFD273F4CD7_.wvu.PrintArea" hidden="1" oldHidden="1">
    <formula>'обзор 2016'!$B$3:$Q$19</formula>
    <oldFormula>'обзор 2016'!$B$3:$Q$19</oldFormula>
  </rdn>
  <rdn rId="0" localSheetId="17" customView="1" name="Z_A1BD6C0C_B1B9_4F48_A6B1_3BFD273F4CD7_.wvu.Cols" hidden="1" oldHidden="1">
    <formula>'обзор 2016'!$A:$A</formula>
    <oldFormula>'обзор 2016'!$A:$A</oldFormula>
  </rdn>
  <rdn rId="0" localSheetId="18" customView="1" name="Z_A1BD6C0C_B1B9_4F48_A6B1_3BFD273F4CD7_.wvu.PrintArea" hidden="1" oldHidden="1">
    <formula>'объёмы 2019'!$A$3:$U$38</formula>
    <oldFormula>'объёмы 2019'!$A$3:$U$38</oldFormula>
  </rdn>
  <rdn rId="0" localSheetId="18" customView="1" name="Z_A1BD6C0C_B1B9_4F48_A6B1_3BFD273F4CD7_.wvu.PrintTitles" hidden="1" oldHidden="1">
    <formula>'объёмы 2019'!$5:$6</formula>
    <oldFormula>'объёмы 2019'!$5:$6</oldFormula>
  </rdn>
  <rdn rId="0" localSheetId="18" customView="1" name="Z_A1BD6C0C_B1B9_4F48_A6B1_3BFD273F4CD7_.wvu.Cols" hidden="1" oldHidden="1">
    <formula>'объёмы 2019'!$V:$V</formula>
    <oldFormula>'объёмы 2019'!$V:$V</oldFormula>
  </rdn>
  <rcv guid="{A1BD6C0C-B1B9-4F48-A6B1-3BFD273F4CD7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A108" start="0" length="0">
    <dxf>
      <alignment horizontal="right" vertical="center" readingOrder="0"/>
      <border outline="0">
        <bottom style="thin">
          <color indexed="64"/>
        </bottom>
      </border>
    </dxf>
  </rfmt>
  <rfmt sheetId="13" sqref="A110" start="0" length="0">
    <dxf>
      <alignment horizontal="right" vertical="center" readingOrder="0"/>
      <border outline="0">
        <bottom style="thin">
          <color indexed="64"/>
        </bottom>
      </border>
    </dxf>
  </rfmt>
  <rfmt sheetId="13" sqref="A112" start="0" length="0">
    <dxf>
      <alignment horizontal="right" vertical="center" readingOrder="0"/>
      <border outline="0">
        <bottom style="thin">
          <color indexed="64"/>
        </bottom>
      </border>
    </dxf>
  </rfmt>
  <rfmt sheetId="13" sqref="A16" start="0" length="0">
    <dxf>
      <font>
        <sz val="10"/>
        <color indexed="8"/>
        <name val="Arial"/>
        <scheme val="none"/>
      </font>
      <fill>
        <patternFill patternType="none">
          <bgColor indexed="65"/>
        </patternFill>
      </fill>
    </dxf>
  </rfmt>
  <rfmt sheetId="13" sqref="A13" start="0" length="0">
    <dxf>
      <font>
        <sz val="10"/>
        <color indexed="8"/>
        <name val="Arial"/>
        <scheme val="none"/>
      </font>
      <fill>
        <patternFill patternType="none">
          <bgColor indexed="65"/>
        </patternFill>
      </fill>
    </dxf>
  </rfmt>
  <rfmt sheetId="13" sqref="A11" start="0" length="0">
    <dxf>
      <font>
        <sz val="10"/>
        <color indexed="8"/>
        <name val="Arial"/>
        <scheme val="none"/>
      </font>
      <fill>
        <patternFill patternType="none">
          <bgColor indexed="65"/>
        </patternFill>
      </fill>
    </dxf>
  </rfmt>
  <rfmt sheetId="13" sqref="A9" start="0" length="0">
    <dxf>
      <font>
        <sz val="10"/>
        <color indexed="8"/>
        <name val="Arial"/>
        <scheme val="none"/>
      </font>
      <fill>
        <patternFill patternType="none">
          <bgColor indexed="65"/>
        </patternFill>
      </fill>
    </dxf>
  </rfmt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C638750-2D78-446E-B8DA-A6202AF1ED31}" action="delete"/>
  <rdn rId="0" localSheetId="3" customView="1" name="Z_8C638750_2D78_446E_B8DA_A6202AF1ED31_.wvu.PrintTitles" hidden="1" oldHidden="1">
    <formula>'январь 2019'!$4:$7</formula>
    <oldFormula>'январь 2019'!$4:$7</oldFormula>
  </rdn>
  <rdn rId="0" localSheetId="5" customView="1" name="Z_8C638750_2D78_446E_B8DA_A6202AF1ED31_.wvu.PrintTitles" hidden="1" oldHidden="1">
    <formula>'февраль 2019'!$4:$7</formula>
    <oldFormula>'февраль 2019'!$4:$7</oldFormula>
  </rdn>
  <rdn rId="0" localSheetId="6" customView="1" name="Z_8C638750_2D78_446E_B8DA_A6202AF1ED31_.wvu.PrintArea" hidden="1" oldHidden="1">
    <formula>'март 2019 Эпотос-К'!$B$7:$G$93</formula>
    <oldFormula>'март 2019 Эпотос-К'!$B$7:$G$93</oldFormula>
  </rdn>
  <rdn rId="0" localSheetId="7" customView="1" name="Z_8C638750_2D78_446E_B8DA_A6202AF1ED31_.wvu.PrintArea" hidden="1" oldHidden="1">
    <formula>'март 2019'!$B$8:$H$246</formula>
    <oldFormula>'март 2019'!$B$8:$H$246</oldFormula>
  </rdn>
  <rdn rId="0" localSheetId="7" customView="1" name="Z_8C638750_2D78_446E_B8DA_A6202AF1ED31_.wvu.PrintTitles" hidden="1" oldHidden="1">
    <formula>'март 2019'!$4:$7</formula>
    <oldFormula>'март 2019'!$4:$7</oldFormula>
  </rdn>
  <rdn rId="0" localSheetId="8" customView="1" name="Z_8C638750_2D78_446E_B8DA_A6202AF1ED31_.wvu.PrintArea" hidden="1" oldHidden="1">
    <formula>'апрель 2019 Эпотос-К'!$B$7:$G$93</formula>
    <oldFormula>'апрель 2019 Эпотос-К'!$B$7:$G$93</oldFormula>
  </rdn>
  <rdn rId="0" localSheetId="9" customView="1" name="Z_8C638750_2D78_446E_B8DA_A6202AF1ED31_.wvu.PrintArea" hidden="1" oldHidden="1">
    <formula>'апрель 2019'!$B$8:$H$227</formula>
    <oldFormula>'апрель 2019'!$B$8:$H$227</oldFormula>
  </rdn>
  <rdn rId="0" localSheetId="9" customView="1" name="Z_8C638750_2D78_446E_B8DA_A6202AF1ED31_.wvu.PrintTitles" hidden="1" oldHidden="1">
    <formula>'апрель 2019'!$4:$7</formula>
    <oldFormula>'апрель 2019'!$4:$7</oldFormula>
  </rdn>
  <rdn rId="0" localSheetId="10" customView="1" name="Z_8C638750_2D78_446E_B8DA_A6202AF1ED31_.wvu.PrintArea" hidden="1" oldHidden="1">
    <formula>'май 2019 Эпотос-К'!$A$7:$B$82</formula>
    <oldFormula>'май 2019 Эпотос-К'!$A$7:$B$82</oldFormula>
  </rdn>
  <rdn rId="0" localSheetId="10" customView="1" name="Z_8C638750_2D78_446E_B8DA_A6202AF1ED31_.wvu.Cols" hidden="1" oldHidden="1">
    <formula>'май 2019 Эпотос-К'!$S:$V</formula>
    <oldFormula>'май 2019 Эпотос-К'!$S:$V</oldFormula>
  </rdn>
  <rdn rId="0" localSheetId="11" customView="1" name="Z_8C638750_2D78_446E_B8DA_A6202AF1ED31_.wvu.PrintArea" hidden="1" oldHidden="1">
    <formula>'май 2019'!$B$8:$H$226</formula>
    <oldFormula>'май 2019'!$B$8:$H$226</oldFormula>
  </rdn>
  <rdn rId="0" localSheetId="11" customView="1" name="Z_8C638750_2D78_446E_B8DA_A6202AF1ED31_.wvu.PrintTitles" hidden="1" oldHidden="1">
    <formula>'май 2019'!$4:$7</formula>
    <oldFormula>'май 2019'!$4:$7</oldFormula>
  </rdn>
  <rdn rId="0" localSheetId="11" customView="1" name="Z_8C638750_2D78_446E_B8DA_A6202AF1ED31_.wvu.Cols" hidden="1" oldHidden="1">
    <formula>'май 2019'!$S:$V</formula>
    <oldFormula>'май 2019'!$S:$V</oldFormula>
  </rdn>
  <rdn rId="0" localSheetId="12" customView="1" name="Z_8C638750_2D78_446E_B8DA_A6202AF1ED31_.wvu.PrintArea" hidden="1" oldHidden="1">
    <formula>'июнь 2019 Эпотос-К'!$B$47:$D$56</formula>
    <oldFormula>'июнь 2019 Эпотос-К'!$A$7:$B$82</oldFormula>
  </rdn>
  <rdn rId="0" localSheetId="12" customView="1" name="Z_8C638750_2D78_446E_B8DA_A6202AF1ED31_.wvu.Cols" hidden="1" oldHidden="1">
    <formula>'июнь 2019 Эпотос-К'!$S:$V</formula>
    <oldFormula>'июнь 2019 Эпотос-К'!$S:$V</oldFormula>
  </rdn>
  <rdn rId="0" localSheetId="13" customView="1" name="Z_8C638750_2D78_446E_B8DA_A6202AF1ED31_.wvu.PrintTitles" hidden="1" oldHidden="1">
    <formula>'июнь 2019'!$4:$7</formula>
    <oldFormula>'июнь 2019'!$4:$7</oldFormula>
  </rdn>
  <rdn rId="0" localSheetId="13" customView="1" name="Z_8C638750_2D78_446E_B8DA_A6202AF1ED31_.wvu.Cols" hidden="1" oldHidden="1">
    <formula>'июнь 2019'!$S:$V</formula>
    <oldFormula>'июнь 2019'!$S:$V</oldFormula>
  </rdn>
  <rdn rId="0" localSheetId="14" customView="1" name="Z_8C638750_2D78_446E_B8DA_A6202AF1ED31_.wvu.PrintArea" hidden="1" oldHidden="1">
    <formula>'обзор 2019'!$B$3:$M$18</formula>
    <oldFormula>'обзор 2019'!$B$3:$M$18</oldFormula>
  </rdn>
  <rdn rId="0" localSheetId="15" customView="1" name="Z_8C638750_2D78_446E_B8DA_A6202AF1ED31_.wvu.PrintArea" hidden="1" oldHidden="1">
    <formula>'обзор 2018'!$B$3:$M$18</formula>
    <oldFormula>'обзор 2018'!$B$3:$M$18</oldFormula>
  </rdn>
  <rdn rId="0" localSheetId="16" customView="1" name="Z_8C638750_2D78_446E_B8DA_A6202AF1ED31_.wvu.PrintArea" hidden="1" oldHidden="1">
    <formula>'обзор 2017'!$B$3:$M$18</formula>
    <oldFormula>'обзор 2017'!$B$3:$M$18</oldFormula>
  </rdn>
  <rdn rId="0" localSheetId="17" customView="1" name="Z_8C638750_2D78_446E_B8DA_A6202AF1ED31_.wvu.PrintArea" hidden="1" oldHidden="1">
    <formula>'обзор 2016'!$B$3:$Q$19</formula>
    <oldFormula>'обзор 2016'!$B$3:$Q$19</oldFormula>
  </rdn>
  <rdn rId="0" localSheetId="17" customView="1" name="Z_8C638750_2D78_446E_B8DA_A6202AF1ED31_.wvu.Cols" hidden="1" oldHidden="1">
    <formula>'обзор 2016'!$A:$A</formula>
    <oldFormula>'обзор 2016'!$A:$A</oldFormula>
  </rdn>
  <rdn rId="0" localSheetId="18" customView="1" name="Z_8C638750_2D78_446E_B8DA_A6202AF1ED31_.wvu.PrintArea" hidden="1" oldHidden="1">
    <formula>'объёмы 2019'!$A$3:$T$98</formula>
    <oldFormula>'объёмы 2019'!$A$3:$T$98</oldFormula>
  </rdn>
  <rdn rId="0" localSheetId="18" customView="1" name="Z_8C638750_2D78_446E_B8DA_A6202AF1ED31_.wvu.PrintTitles" hidden="1" oldHidden="1">
    <formula>'объёмы 2019'!$5:$6</formula>
    <oldFormula>'объёмы 2019'!$5:$6</oldFormula>
  </rdn>
  <rcv guid="{8C638750-2D78-446E-B8DA-A6202AF1ED31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6317133-151B-4DBC-8EB3-9345BA061F91}" action="delete"/>
  <rdn rId="0" localSheetId="3" customView="1" name="Z_06317133_151B_4DBC_8EB3_9345BA061F91_.wvu.PrintTitles" hidden="1" oldHidden="1">
    <formula>'январь 2019'!$4:$7</formula>
    <oldFormula>'январь 2019'!$4:$7</oldFormula>
  </rdn>
  <rdn rId="0" localSheetId="5" customView="1" name="Z_06317133_151B_4DBC_8EB3_9345BA061F91_.wvu.PrintTitles" hidden="1" oldHidden="1">
    <formula>'февраль 2019'!$4:$7</formula>
    <oldFormula>'февраль 2019'!$4:$7</oldFormula>
  </rdn>
  <rdn rId="0" localSheetId="6" customView="1" name="Z_06317133_151B_4DBC_8EB3_9345BA061F91_.wvu.PrintArea" hidden="1" oldHidden="1">
    <formula>'март 2019 Эпотос-К'!$B$7:$G$93</formula>
    <oldFormula>'март 2019 Эпотос-К'!$B$7:$G$93</oldFormula>
  </rdn>
  <rdn rId="0" localSheetId="7" customView="1" name="Z_06317133_151B_4DBC_8EB3_9345BA061F91_.wvu.PrintTitles" hidden="1" oldHidden="1">
    <formula>'март 2019'!$4:$7</formula>
    <oldFormula>'март 2019'!$4:$7</oldFormula>
  </rdn>
  <rdn rId="0" localSheetId="8" customView="1" name="Z_06317133_151B_4DBC_8EB3_9345BA061F91_.wvu.PrintArea" hidden="1" oldHidden="1">
    <formula>'апрель 2019 Эпотос-К'!$B$7:$G$93</formula>
    <oldFormula>'апрель 2019 Эпотос-К'!$B$7:$G$93</oldFormula>
  </rdn>
  <rdn rId="0" localSheetId="9" customView="1" name="Z_06317133_151B_4DBC_8EB3_9345BA061F91_.wvu.PrintTitles" hidden="1" oldHidden="1">
    <formula>'апрель 2019'!$4:$7</formula>
    <oldFormula>'апрель 2019'!$4:$7</oldFormula>
  </rdn>
  <rdn rId="0" localSheetId="10" customView="1" name="Z_06317133_151B_4DBC_8EB3_9345BA061F91_.wvu.PrintArea" hidden="1" oldHidden="1">
    <formula>'май 2019 Эпотос-К'!$A$7:$B$82</formula>
    <oldFormula>'май 2019 Эпотос-К'!$A$7:$B$82</oldFormula>
  </rdn>
  <rdn rId="0" localSheetId="10" customView="1" name="Z_06317133_151B_4DBC_8EB3_9345BA061F91_.wvu.Cols" hidden="1" oldHidden="1">
    <formula>'май 2019 Эпотос-К'!$S:$V</formula>
    <oldFormula>'май 2019 Эпотос-К'!$S:$V</oldFormula>
  </rdn>
  <rdn rId="0" localSheetId="11" customView="1" name="Z_06317133_151B_4DBC_8EB3_9345BA061F91_.wvu.PrintTitles" hidden="1" oldHidden="1">
    <formula>'май 2019'!$4:$7</formula>
    <oldFormula>'май 2019'!$4:$7</oldFormula>
  </rdn>
  <rdn rId="0" localSheetId="11" customView="1" name="Z_06317133_151B_4DBC_8EB3_9345BA061F91_.wvu.Cols" hidden="1" oldHidden="1">
    <formula>'май 2019'!$S:$V</formula>
    <oldFormula>'май 2019'!$S:$V</oldFormula>
  </rdn>
  <rdn rId="0" localSheetId="12" customView="1" name="Z_06317133_151B_4DBC_8EB3_9345BA061F91_.wvu.PrintArea" hidden="1" oldHidden="1">
    <formula>'июнь 2019 Эпотос-К'!$B$47:$D$56</formula>
    <oldFormula>'июнь 2019 Эпотос-К'!$B$47:$D$56</oldFormula>
  </rdn>
  <rdn rId="0" localSheetId="12" customView="1" name="Z_06317133_151B_4DBC_8EB3_9345BA061F91_.wvu.Cols" hidden="1" oldHidden="1">
    <formula>'июнь 2019 Эпотос-К'!$S:$V</formula>
    <oldFormula>'июнь 2019 Эпотос-К'!$S:$V</oldFormula>
  </rdn>
  <rdn rId="0" localSheetId="13" customView="1" name="Z_06317133_151B_4DBC_8EB3_9345BA061F91_.wvu.PrintTitles" hidden="1" oldHidden="1">
    <formula>'июнь 2019'!$4:$7</formula>
    <oldFormula>'июнь 2019'!$4:$7</oldFormula>
  </rdn>
  <rdn rId="0" localSheetId="13" customView="1" name="Z_06317133_151B_4DBC_8EB3_9345BA061F91_.wvu.Cols" hidden="1" oldHidden="1">
    <formula>'июнь 2019'!$S:$V</formula>
    <oldFormula>'июнь 2019'!$S:$V</oldFormula>
  </rdn>
  <rdn rId="0" localSheetId="14" customView="1" name="Z_06317133_151B_4DBC_8EB3_9345BA061F91_.wvu.PrintArea" hidden="1" oldHidden="1">
    <formula>'обзор 2019'!$B$3:$M$18</formula>
    <oldFormula>'обзор 2019'!$B$3:$M$18</oldFormula>
  </rdn>
  <rdn rId="0" localSheetId="15" customView="1" name="Z_06317133_151B_4DBC_8EB3_9345BA061F91_.wvu.PrintArea" hidden="1" oldHidden="1">
    <formula>'обзор 2018'!$B$3:$M$18</formula>
    <oldFormula>'обзор 2018'!$B$3:$M$18</oldFormula>
  </rdn>
  <rdn rId="0" localSheetId="16" customView="1" name="Z_06317133_151B_4DBC_8EB3_9345BA061F91_.wvu.PrintArea" hidden="1" oldHidden="1">
    <formula>'обзор 2017'!$B$3:$M$18</formula>
    <oldFormula>'обзор 2017'!$B$3:$M$18</oldFormula>
  </rdn>
  <rdn rId="0" localSheetId="17" customView="1" name="Z_06317133_151B_4DBC_8EB3_9345BA061F91_.wvu.PrintArea" hidden="1" oldHidden="1">
    <formula>'обзор 2016'!$B$3:$Q$19</formula>
    <oldFormula>'обзор 2016'!$B$3:$Q$19</oldFormula>
  </rdn>
  <rdn rId="0" localSheetId="17" customView="1" name="Z_06317133_151B_4DBC_8EB3_9345BA061F91_.wvu.Cols" hidden="1" oldHidden="1">
    <formula>'обзор 2016'!$A:$A</formula>
    <oldFormula>'обзор 2016'!$A:$A</oldFormula>
  </rdn>
  <rdn rId="0" localSheetId="18" customView="1" name="Z_06317133_151B_4DBC_8EB3_9345BA061F91_.wvu.PrintArea" hidden="1" oldHidden="1">
    <formula>'объёмы 2019'!$A$3:$U$98</formula>
    <oldFormula>'объёмы 2019'!$A$3:$U$98</oldFormula>
  </rdn>
  <rdn rId="0" localSheetId="18" customView="1" name="Z_06317133_151B_4DBC_8EB3_9345BA061F91_.wvu.PrintTitles" hidden="1" oldHidden="1">
    <formula>'объёмы 2019'!$5:$6</formula>
    <oldFormula>'объёмы 2019'!$5:$6</oldFormula>
  </rdn>
  <rcv guid="{06317133-151B-4DBC-8EB3-9345BA061F91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" sId="12">
    <oc r="F7">
      <v>300</v>
    </oc>
    <nc r="F7">
      <v>600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1" sId="12">
    <nc r="G69">
      <v>32</v>
    </nc>
  </rcc>
  <rcc rId="452" sId="12">
    <nc r="G7">
      <v>300</v>
    </nc>
  </rcc>
  <rcc rId="453" sId="12">
    <nc r="G22">
      <v>31</v>
    </nc>
  </rcc>
  <rcc rId="454" sId="12">
    <nc r="G26">
      <v>31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3" ref="A56:XFD5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56:XFD56" start="0" length="0">
      <dxf>
        <font>
          <sz val="10"/>
          <color indexed="8"/>
          <name val="Arial"/>
          <scheme val="none"/>
        </font>
      </dxf>
    </rfmt>
    <rcc rId="0" sId="13" dxf="1" numFmtId="30">
      <nc r="A56">
        <v>5251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56" t="inlineStr">
        <is>
          <t>ОООТехнострой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56" t="inlineStr">
        <is>
          <t>доработка штампа на дет. "Крышка"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56">
        <v>1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56">
        <v>20000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56">
        <f>E56*D56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56">
        <v>1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5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5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J56">
        <v>1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K5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56">
        <f>E56*(H56+I56+J56+K56)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5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5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5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56" start="0" length="0">
      <dxf/>
    </rfmt>
    <rcc rId="0" sId="13">
      <nc r="S56">
        <f>H56*E56</f>
      </nc>
    </rcc>
    <rcc rId="0" sId="13">
      <nc r="T56">
        <f>I56*E56</f>
      </nc>
    </rcc>
    <rcc rId="0" sId="13">
      <nc r="U56">
        <f>J56*E56</f>
      </nc>
    </rcc>
    <rcc rId="0" sId="13">
      <nc r="V56">
        <f>K56*E56</f>
      </nc>
    </rcc>
  </rrc>
  <rrc rId="2" sId="13" ref="A56:XFD5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56:XFD56" start="0" length="0">
      <dxf>
        <font>
          <sz val="10"/>
          <color indexed="8"/>
          <name val="Arial"/>
          <scheme val="none"/>
        </font>
      </dxf>
    </rfmt>
    <rcc rId="0" sId="13" dxf="1" numFmtId="30">
      <nc r="A56">
        <v>5463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56" t="inlineStr">
        <is>
          <t>ООО Домашний стандарт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56" t="inlineStr">
        <is>
          <t>Штамп Врубной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56">
        <v>1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56">
        <v>8500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56">
        <f>E56*D56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56">
        <v>1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5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5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J56">
        <v>1</v>
      </nc>
      <ndxf>
        <fill>
          <patternFill patternType="solid">
            <bgColor rgb="FFFFFF0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K5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56">
        <f>E56*(H56+I56+J56+K56)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56">
        <v>43591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56">
        <v>43609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5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56" start="0" length="0">
      <dxf/>
    </rfmt>
    <rcc rId="0" sId="13">
      <nc r="S56">
        <f>H56*E56</f>
      </nc>
    </rcc>
    <rcc rId="0" sId="13">
      <nc r="T56">
        <f>I56*E56</f>
      </nc>
    </rcc>
    <rcc rId="0" sId="13">
      <nc r="U56">
        <f>J56*E56</f>
      </nc>
    </rcc>
    <rcc rId="0" sId="13">
      <nc r="V56">
        <f>K56*E56</f>
      </nc>
    </rcc>
  </rrc>
  <rrc rId="3" sId="13" ref="A56:XFD5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56:XFD56" start="0" length="0">
      <dxf>
        <font>
          <sz val="10"/>
          <color indexed="8"/>
          <name val="Arial"/>
          <scheme val="none"/>
        </font>
      </dxf>
    </rfmt>
    <rcc rId="0" sId="13" dxf="1" numFmtId="30">
      <nc r="A56">
        <v>4915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56" t="inlineStr">
        <is>
          <t>ООО Домашний стандарт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56" t="inlineStr">
        <is>
          <t>Штамповка дет.  Соединительное кольцо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56">
        <v>34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56">
        <v>39.17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56">
        <f>E56*D56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56">
        <v>34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5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I56">
        <v>34</v>
      </nc>
      <ndxf>
        <fill>
          <patternFill patternType="solid">
            <bgColor rgb="FF00B0F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J5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5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56">
        <f>E56*(H56+I56+J56+K56)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5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5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5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56" start="0" length="0">
      <dxf/>
    </rfmt>
  </rrc>
  <rrc rId="4" sId="13" ref="A56:XFD5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56:XFD56" start="0" length="0">
      <dxf>
        <font>
          <sz val="10"/>
          <color indexed="8"/>
          <name val="Arial"/>
          <scheme val="none"/>
        </font>
      </dxf>
    </rfmt>
    <rcc rId="0" sId="13" dxf="1">
      <nc r="A56">
        <v>5502</v>
      </nc>
      <ndxf>
        <font>
          <sz val="10"/>
          <color indexed="8"/>
          <name val="Arial"/>
          <scheme val="none"/>
        </font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  <protection locked="0"/>
      </ndxf>
    </rcc>
    <rcc rId="0" sId="13" dxf="1">
      <nc r="B56" t="inlineStr">
        <is>
          <t>ООО Домашний стандарт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56" t="inlineStr">
        <is>
          <t>Гибка дет. кронштейн прижима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56">
        <v>192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56">
        <v>3.16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56">
        <f>E56*D56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56">
        <v>192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5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I56">
        <v>192</v>
      </nc>
      <ndxf>
        <fill>
          <patternFill patternType="solid">
            <bgColor rgb="FF00B0F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J5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5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56">
        <f>E56*(H56+I56+J56+K56)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5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5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5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56" start="0" length="0">
      <dxf/>
    </rfmt>
    <rcc rId="0" sId="13">
      <nc r="S56">
        <f>H56*E56</f>
      </nc>
    </rcc>
    <rcc rId="0" sId="13">
      <nc r="T56">
        <f>I56*E56</f>
      </nc>
    </rcc>
    <rcc rId="0" sId="13">
      <nc r="U56">
        <f>J56*E56</f>
      </nc>
    </rcc>
    <rcc rId="0" sId="13">
      <nc r="V56">
        <f>K56*E56</f>
      </nc>
    </rcc>
  </rrc>
  <rrc rId="5" sId="13" ref="A56:XFD5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56:XFD56" start="0" length="0">
      <dxf>
        <font>
          <sz val="10"/>
          <color indexed="8"/>
          <name val="Arial"/>
          <scheme val="none"/>
        </font>
      </dxf>
    </rfmt>
    <rcc rId="0" sId="13" dxf="1">
      <nc r="A56">
        <v>5503</v>
      </nc>
      <ndxf>
        <font>
          <sz val="10"/>
          <color indexed="8"/>
          <name val="Arial"/>
          <scheme val="none"/>
        </font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  <protection locked="0"/>
      </ndxf>
    </rcc>
    <rcc rId="0" sId="13" dxf="1">
      <nc r="B56" t="inlineStr">
        <is>
          <t>ООО Домашний стандарт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56" t="inlineStr">
        <is>
          <t>Гибка дет. кронштейн ручки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56">
        <v>575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56">
        <v>3.16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56">
        <f>E56*D56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56">
        <v>575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5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I56">
        <v>575</v>
      </nc>
      <ndxf>
        <fill>
          <patternFill patternType="solid">
            <bgColor rgb="FF00B0F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J5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5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56">
        <f>E56*(H56+I56+J56+K56)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5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5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5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56" start="0" length="0">
      <dxf/>
    </rfmt>
    <rcc rId="0" sId="13">
      <nc r="S56">
        <f>H56*E56</f>
      </nc>
    </rcc>
    <rcc rId="0" sId="13">
      <nc r="T56">
        <f>I56*E56</f>
      </nc>
    </rcc>
    <rcc rId="0" sId="13">
      <nc r="U56">
        <f>J56*E56</f>
      </nc>
    </rcc>
    <rcc rId="0" sId="13">
      <nc r="V56">
        <f>K56*E56</f>
      </nc>
    </rcc>
  </rrc>
  <rrc rId="6" sId="13" ref="A56:XFD5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56:XFD56" start="0" length="0">
      <dxf>
        <font>
          <sz val="10"/>
          <color indexed="8"/>
          <name val="Arial"/>
          <scheme val="none"/>
        </font>
      </dxf>
    </rfmt>
    <rcc rId="0" sId="13" dxf="1">
      <nc r="A56">
        <v>5504</v>
      </nc>
      <ndxf>
        <font>
          <sz val="10"/>
          <color indexed="8"/>
          <name val="Arial"/>
          <scheme val="none"/>
        </font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  <protection locked="0"/>
      </ndxf>
    </rcc>
    <rcc rId="0" sId="13" dxf="1">
      <nc r="B56" t="inlineStr">
        <is>
          <t>ООО Домашний стандарт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56" t="inlineStr">
        <is>
          <t>Вальцовка обечайки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56">
        <v>19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56">
        <v>40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56">
        <f>E56*D56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56">
        <v>19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5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I56">
        <v>19</v>
      </nc>
      <ndxf>
        <fill>
          <patternFill patternType="solid">
            <bgColor rgb="FF00B0F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J5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5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56">
        <f>E56*(H56+I56+J56+K56)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5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5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5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56" start="0" length="0">
      <dxf/>
    </rfmt>
    <rcc rId="0" sId="13">
      <nc r="S56">
        <f>H56*E56</f>
      </nc>
    </rcc>
    <rcc rId="0" sId="13">
      <nc r="T56">
        <f>I56*E56</f>
      </nc>
    </rcc>
    <rcc rId="0" sId="13">
      <nc r="U56">
        <f>J56*E56</f>
      </nc>
    </rcc>
    <rcc rId="0" sId="13">
      <nc r="V56">
        <f>K56*E56</f>
      </nc>
    </rcc>
  </rrc>
  <rrc rId="7" sId="13" ref="A56:XFD5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56:XFD56" start="0" length="0">
      <dxf>
        <font>
          <sz val="10"/>
          <color indexed="8"/>
          <name val="Arial"/>
          <scheme val="none"/>
        </font>
      </dxf>
    </rfmt>
    <rcc rId="0" sId="13" dxf="1">
      <nc r="A56">
        <v>5505</v>
      </nc>
      <ndxf>
        <font>
          <sz val="10"/>
          <color indexed="8"/>
          <name val="Arial"/>
          <scheme val="none"/>
        </font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  <protection locked="0"/>
      </ndxf>
    </rcc>
    <rcc rId="0" sId="13" dxf="1">
      <nc r="B56" t="inlineStr">
        <is>
          <t>ООО Домашний стандарт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56" t="inlineStr">
        <is>
          <t>Вырубка дет. прокладка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right style="thin">
            <color indexed="8"/>
          </right>
          <top style="thin">
            <color indexed="8"/>
          </top>
          <bottom style="thin">
            <color indexed="8"/>
          </bottom>
        </border>
        <protection locked="0"/>
      </ndxf>
    </rcc>
    <rfmt sheetId="13" sqref="D56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dxf="1" numFmtId="11">
      <nc r="E56">
        <v>4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56">
        <f>E56*D56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56">
        <v>1136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5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5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J56">
        <v>1136</v>
      </nc>
      <ndxf>
        <fill>
          <patternFill patternType="solid">
            <bgColor rgb="FF00B0F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K5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56">
        <f>E56*(H56+I56+J56+K56)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5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5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5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56" start="0" length="0">
      <dxf/>
    </rfmt>
    <rcc rId="0" sId="13">
      <nc r="S56">
        <f>H56*E56</f>
      </nc>
    </rcc>
    <rcc rId="0" sId="13">
      <nc r="T56">
        <f>I56*E56</f>
      </nc>
    </rcc>
    <rcc rId="0" sId="13">
      <nc r="U56">
        <f>J56*E56</f>
      </nc>
    </rcc>
    <rcc rId="0" sId="13">
      <nc r="V56">
        <f>K56*E56</f>
      </nc>
    </rcc>
  </rrc>
  <rrc rId="8" sId="13" ref="A58:XFD58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58:XFD58" start="0" length="0">
      <dxf>
        <font>
          <sz val="10"/>
          <color indexed="8"/>
          <name val="Arial"/>
          <scheme val="none"/>
        </font>
      </dxf>
    </rfmt>
    <rcc rId="0" sId="13" dxf="1" numFmtId="30">
      <nc r="A58">
        <v>5381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58" t="inlineStr">
        <is>
          <t>Квалитет-Групп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58" t="inlineStr">
        <is>
          <t>Муфта редуктора МО-D 350 d=36 L=30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58">
        <v>10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58">
        <v>373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58">
        <f>E58*D58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58">
        <v>10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5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I58">
        <v>10</v>
      </nc>
      <ndxf>
        <fill>
          <patternFill patternType="solid">
            <bgColor rgb="FFFFFF0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J5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5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58">
        <f>E58*(H58+I58+J58+K58)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58">
        <v>43579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58">
        <v>43602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58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58" start="0" length="0">
      <dxf/>
    </rfmt>
    <rcc rId="0" sId="13">
      <nc r="S58">
        <f>H58*E58</f>
      </nc>
    </rcc>
    <rcc rId="0" sId="13">
      <nc r="T58">
        <f>I58*E58</f>
      </nc>
    </rcc>
    <rcc rId="0" sId="13">
      <nc r="U58">
        <f>J58*E58</f>
      </nc>
    </rcc>
    <rcc rId="0" sId="13">
      <nc r="V58">
        <f>K58*E58</f>
      </nc>
    </rcc>
  </rrc>
  <rrc rId="9" sId="13" ref="A58:XFD58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58:XFD58" start="0" length="0">
      <dxf>
        <font>
          <sz val="10"/>
          <color indexed="8"/>
          <name val="Arial"/>
          <scheme val="none"/>
        </font>
      </dxf>
    </rfmt>
    <rcc rId="0" sId="13" dxf="1" numFmtId="30">
      <nc r="A58">
        <v>5382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58" t="inlineStr">
        <is>
          <t>Квалитет-Групп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58" t="inlineStr">
        <is>
          <t>Муфта редуктора МО-D 350 V27R-H (L=27)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58">
        <v>10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58">
        <v>604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58">
        <f>E58*D58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58">
        <v>10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5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I58">
        <v>10</v>
      </nc>
      <ndxf>
        <fill>
          <patternFill patternType="solid">
            <bgColor rgb="FFFFFF0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J5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5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58">
        <f>E58*(H58+I58+J58+K58)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58">
        <v>43579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58">
        <v>43602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58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58" start="0" length="0">
      <dxf/>
    </rfmt>
    <rcc rId="0" sId="13">
      <nc r="S58">
        <f>H58*E58</f>
      </nc>
    </rcc>
    <rcc rId="0" sId="13">
      <nc r="T58">
        <f>I58*E58</f>
      </nc>
    </rcc>
    <rcc rId="0" sId="13">
      <nc r="U58">
        <f>J58*E58</f>
      </nc>
    </rcc>
    <rcc rId="0" sId="13">
      <nc r="V58">
        <f>K58*E58</f>
      </nc>
    </rcc>
  </rrc>
  <rrc rId="10" sId="13" ref="A58:XFD58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58:XFD58" start="0" length="0">
      <dxf>
        <font>
          <sz val="10"/>
          <color indexed="8"/>
          <name val="Arial"/>
          <scheme val="none"/>
        </font>
      </dxf>
    </rfmt>
    <rcc rId="0" sId="13" dxf="1" numFmtId="30">
      <nc r="A58">
        <v>5383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58" t="inlineStr">
        <is>
          <t>Квалитет-Групп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58" t="inlineStr">
        <is>
          <t>Шпонка 10х8х50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58">
        <v>30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58">
        <v>80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58">
        <f>E58*D58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58">
        <v>30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5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I58">
        <v>30</v>
      </nc>
      <ndxf>
        <fill>
          <patternFill patternType="solid">
            <bgColor rgb="FFFFFF0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J5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5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58">
        <f>E58*(H58+I58+J58+K58)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58">
        <v>43579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58">
        <v>43602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58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58" start="0" length="0">
      <dxf/>
    </rfmt>
    <rcc rId="0" sId="13">
      <nc r="S58">
        <f>H58*E58</f>
      </nc>
    </rcc>
    <rcc rId="0" sId="13">
      <nc r="T58">
        <f>I58*E58</f>
      </nc>
    </rcc>
    <rcc rId="0" sId="13">
      <nc r="U58">
        <f>J58*E58</f>
      </nc>
    </rcc>
    <rcc rId="0" sId="13">
      <nc r="V58">
        <f>K58*E58</f>
      </nc>
    </rcc>
  </rrc>
  <rrc rId="11" sId="13" ref="A61:XFD61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61:XFD61" start="0" length="0">
      <dxf>
        <font>
          <sz val="10"/>
          <color indexed="8"/>
          <name val="Arial"/>
          <scheme val="none"/>
        </font>
      </dxf>
    </rfmt>
    <rcc rId="0" sId="13" dxf="1" numFmtId="30">
      <nc r="A61">
        <v>5273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61" t="inlineStr">
        <is>
          <t>ООО "ПФЗ"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61" t="inlineStr">
        <is>
          <t>Наконечник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61">
        <v>5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61">
        <v>1200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61">
        <f>E61*D61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61">
        <v>5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6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6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6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K61">
        <v>5</v>
      </nc>
      <ndxf>
        <fill>
          <patternFill patternType="solid">
            <bgColor rgb="FFFFFF0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s="1" dxf="1">
      <nc r="L61">
        <f>E61*(H61+I61+J61+K61)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61">
        <v>43581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61">
        <v>43602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61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61" start="0" length="0">
      <dxf/>
    </rfmt>
    <rcc rId="0" sId="13">
      <nc r="S61">
        <f>H61*E61</f>
      </nc>
    </rcc>
    <rcc rId="0" sId="13">
      <nc r="T61">
        <f>I61*E61</f>
      </nc>
    </rcc>
    <rcc rId="0" sId="13">
      <nc r="U61">
        <f>J61*E61</f>
      </nc>
    </rcc>
    <rcc rId="0" sId="13">
      <nc r="V61">
        <f>K61*E61</f>
      </nc>
    </rcc>
  </rrc>
  <rrc rId="12" sId="13" ref="A61:XFD61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61:XFD61" start="0" length="0">
      <dxf>
        <font>
          <sz val="10"/>
          <color indexed="8"/>
          <name val="Arial"/>
          <scheme val="none"/>
        </font>
      </dxf>
    </rfmt>
    <rfmt sheetId="13" sqref="A61" start="0" length="0">
      <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B61" start="0" length="0">
      <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61" start="0" length="0">
      <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dxf>
    </rfmt>
    <rfmt sheetId="13" sqref="D61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61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s="1" dxf="1">
      <nc r="F61">
        <f>E61*D61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6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6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6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6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6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61">
        <f>E61*(H61+I61+J61+K61)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61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61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61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61" start="0" length="0">
      <dxf/>
    </rfmt>
    <rcc rId="0" sId="13">
      <nc r="S61">
        <f>H61*E61</f>
      </nc>
    </rcc>
    <rcc rId="0" sId="13">
      <nc r="T61">
        <f>I61*E61</f>
      </nc>
    </rcc>
    <rcc rId="0" sId="13">
      <nc r="U61">
        <f>J61*E61</f>
      </nc>
    </rcc>
    <rcc rId="0" sId="13">
      <nc r="V61">
        <f>K61*E61</f>
      </nc>
    </rcc>
  </rrc>
  <rrc rId="13" sId="13" ref="A61:XFD61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61:XFD61" start="0" length="0">
      <dxf>
        <font>
          <sz val="10"/>
          <color indexed="8"/>
          <name val="Arial"/>
          <scheme val="none"/>
        </font>
      </dxf>
    </rfmt>
    <rcc rId="0" sId="13" dxf="1" numFmtId="30">
      <nc r="A61">
        <v>5351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61" t="inlineStr">
        <is>
          <t>Фабрика упаковки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61" t="inlineStr">
        <is>
          <t>Шлифовка просечных ножей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61">
        <v>15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61">
        <v>1400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61">
        <f>E61*D61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61">
        <v>5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6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I61">
        <v>5</v>
      </nc>
      <ndxf>
        <fill>
          <patternFill patternType="solid">
            <bgColor rgb="FF00B0F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J6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6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61">
        <f>E61*(H61+I61+J61+K61)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61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61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61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61" start="0" length="0">
      <dxf/>
    </rfmt>
    <rcc rId="0" sId="13">
      <nc r="S61">
        <f>H61*E61</f>
      </nc>
    </rcc>
    <rcc rId="0" sId="13">
      <nc r="T61">
        <f>I61*E61</f>
      </nc>
    </rcc>
    <rcc rId="0" sId="13">
      <nc r="U61">
        <f>J61*E61</f>
      </nc>
    </rcc>
    <rcc rId="0" sId="13">
      <nc r="V61">
        <f>K61*E61</f>
      </nc>
    </rcc>
  </rrc>
  <rrc rId="14" sId="13" ref="A65:XFD65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65:XFD65" start="0" length="0">
      <dxf>
        <font>
          <sz val="10"/>
          <color indexed="8"/>
          <name val="Arial"/>
          <scheme val="none"/>
        </font>
      </dxf>
    </rfmt>
    <rcc rId="0" sId="13" dxf="1" numFmtId="30">
      <nc r="A65">
        <v>4963</v>
      </nc>
      <ndxf>
        <font>
          <sz val="10"/>
          <color indexed="8"/>
          <name val="Arial"/>
          <scheme val="none"/>
        </font>
        <numFmt numFmtId="30" formatCode="@"/>
        <fill>
          <patternFill patternType="solid">
            <bgColor theme="6" tint="-0.249977111117893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65" t="inlineStr">
        <is>
          <t>К-Ч кирпичный завод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65" t="inlineStr">
        <is>
          <t>Держатель ножа фаски верхний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65">
        <v>24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65">
        <v>2000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65">
        <f>E65*D65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65">
        <v>24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6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6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6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K65">
        <v>24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s="1" dxf="1">
      <nc r="L65">
        <f>E65*(H65+I65+J65+K65)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65">
        <v>43581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65">
        <v>43615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65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65" start="0" length="0">
      <dxf/>
    </rfmt>
    <rcc rId="0" sId="13">
      <nc r="S65">
        <f>H65*E65</f>
      </nc>
    </rcc>
    <rcc rId="0" sId="13">
      <nc r="T65">
        <f>I65*E65</f>
      </nc>
    </rcc>
    <rcc rId="0" sId="13">
      <nc r="U65">
        <f>J65*E65</f>
      </nc>
    </rcc>
    <rcc rId="0" sId="13">
      <nc r="V65">
        <f>K65*E65</f>
      </nc>
    </rcc>
  </rrc>
  <rrc rId="15" sId="13" ref="A66:XFD6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66:XFD66" start="0" length="0">
      <dxf>
        <font>
          <sz val="10"/>
          <color indexed="8"/>
          <name val="Arial"/>
          <scheme val="none"/>
        </font>
      </dxf>
    </rfmt>
    <rcc rId="0" sId="13" dxf="1" numFmtId="30">
      <nc r="A66">
        <v>4965</v>
      </nc>
      <ndxf>
        <font>
          <sz val="10"/>
          <color indexed="8"/>
          <name val="Arial"/>
          <scheme val="none"/>
        </font>
        <numFmt numFmtId="30" formatCode="@"/>
        <fill>
          <patternFill patternType="solid">
            <bgColor theme="6" tint="-0.249977111117893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66" t="inlineStr">
        <is>
          <t>К-Ч кирпичный завод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66" t="inlineStr">
        <is>
          <t>Крепление ножа фаски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66">
        <v>24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66">
        <v>3300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66">
        <f>E66*D66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66">
        <v>24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K66">
        <v>24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s="1" dxf="1">
      <nc r="L66">
        <f>E66*(H66+I66+J66+K66)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66">
        <v>43581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66">
        <v>43615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6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66" start="0" length="0">
      <dxf/>
    </rfmt>
    <rcc rId="0" sId="13">
      <nc r="S66">
        <f>H66*E66</f>
      </nc>
    </rcc>
    <rcc rId="0" sId="13">
      <nc r="T66">
        <f>I66*E66</f>
      </nc>
    </rcc>
    <rcc rId="0" sId="13">
      <nc r="U66">
        <f>J66*E66</f>
      </nc>
    </rcc>
    <rcc rId="0" sId="13">
      <nc r="V66">
        <f>K66*E66</f>
      </nc>
    </rcc>
  </rrc>
  <rrc rId="16" sId="13" ref="A66:XFD6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66:XFD66" start="0" length="0">
      <dxf>
        <font>
          <sz val="10"/>
          <color indexed="8"/>
          <name val="Arial"/>
          <scheme val="none"/>
        </font>
      </dxf>
    </rfmt>
    <rcc rId="0" sId="13" dxf="1" numFmtId="30">
      <nc r="A66">
        <v>4966</v>
      </nc>
      <ndxf>
        <font>
          <sz val="10"/>
          <color indexed="8"/>
          <name val="Arial"/>
          <scheme val="none"/>
        </font>
        <numFmt numFmtId="30" formatCode="@"/>
        <fill>
          <patternFill patternType="solid">
            <bgColor theme="6" tint="-0.249977111117893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66" t="inlineStr">
        <is>
          <t>К-Ч Кирпичный завод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66" t="inlineStr">
        <is>
          <t>Ролик струны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66">
        <v>12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66">
        <v>870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66">
        <f>E66*D66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66">
        <v>12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K66">
        <v>12</v>
      </nc>
      <ndxf>
        <fill>
          <patternFill patternType="solid">
            <bgColor rgb="FFFFFF0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s="1" dxf="1">
      <nc r="L66">
        <f>E66*(H66+I66+J66+K66)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66">
        <v>43581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66">
        <v>43615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6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66" start="0" length="0">
      <dxf/>
    </rfmt>
    <rcc rId="0" sId="13">
      <nc r="S66">
        <f>H66*E66</f>
      </nc>
    </rcc>
    <rcc rId="0" sId="13">
      <nc r="T66">
        <f>I66*E66</f>
      </nc>
    </rcc>
    <rcc rId="0" sId="13">
      <nc r="U66">
        <f>J66*E66</f>
      </nc>
    </rcc>
    <rcc rId="0" sId="13">
      <nc r="V66">
        <f>K66*E66</f>
      </nc>
    </rcc>
  </rrc>
  <rrc rId="17" sId="13" ref="A66:XFD6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66:XFD66" start="0" length="0">
      <dxf>
        <font>
          <sz val="10"/>
          <color indexed="8"/>
          <name val="Arial"/>
          <scheme val="none"/>
        </font>
      </dxf>
    </rfmt>
    <rcc rId="0" sId="13" dxf="1" numFmtId="30">
      <nc r="A66">
        <v>4967</v>
      </nc>
      <ndxf>
        <font>
          <sz val="10"/>
          <color indexed="8"/>
          <name val="Arial"/>
          <scheme val="none"/>
        </font>
        <numFmt numFmtId="30" formatCode="@"/>
        <fill>
          <patternFill patternType="solid">
            <bgColor theme="6" tint="-0.249977111117893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66" t="inlineStr">
        <is>
          <t>К-Ч Кирпичный завод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66" t="inlineStr">
        <is>
          <t>Втулка ролика струны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66">
        <v>12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66">
        <v>1560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66">
        <f>E66*D66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66">
        <v>12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K66">
        <v>12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s="1" dxf="1">
      <nc r="L66">
        <f>E66*(H66+I66+J66+K66)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66">
        <v>43581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66">
        <v>43615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6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66" start="0" length="0">
      <dxf/>
    </rfmt>
    <rcc rId="0" sId="13">
      <nc r="S66">
        <f>H66*E66</f>
      </nc>
    </rcc>
    <rcc rId="0" sId="13">
      <nc r="T66">
        <f>I66*E66</f>
      </nc>
    </rcc>
    <rcc rId="0" sId="13">
      <nc r="U66">
        <f>J66*E66</f>
      </nc>
    </rcc>
    <rcc rId="0" sId="13">
      <nc r="V66">
        <f>K66*E66</f>
      </nc>
    </rcc>
  </rrc>
  <rrc rId="18" sId="13" ref="A66:XFD6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66:XFD66" start="0" length="0">
      <dxf>
        <font>
          <sz val="10"/>
          <color indexed="8"/>
          <name val="Arial"/>
          <scheme val="none"/>
        </font>
      </dxf>
    </rfmt>
    <rcc rId="0" sId="13" dxf="1" numFmtId="30">
      <nc r="A66">
        <v>4968</v>
      </nc>
      <ndxf>
        <font>
          <sz val="10"/>
          <color indexed="8"/>
          <name val="Arial"/>
          <scheme val="none"/>
        </font>
        <numFmt numFmtId="30" formatCode="@"/>
        <fill>
          <patternFill patternType="solid">
            <bgColor theme="6" tint="-0.249977111117893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66" t="inlineStr">
        <is>
          <t>К-Ч кирпичный завод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66" t="inlineStr">
        <is>
          <t>Блок для подшипника отрезного стола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66">
        <v>8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66">
        <v>1100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66">
        <f>E66*D66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66">
        <v>8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K66">
        <v>8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s="1" dxf="1">
      <nc r="L66">
        <f>E66*(H66+I66+J66+K66)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66">
        <v>43581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66">
        <v>43615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6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66" start="0" length="0">
      <dxf/>
    </rfmt>
    <rcc rId="0" sId="13">
      <nc r="S66">
        <f>H66*E66</f>
      </nc>
    </rcc>
    <rcc rId="0" sId="13">
      <nc r="T66">
        <f>I66*E66</f>
      </nc>
    </rcc>
    <rcc rId="0" sId="13">
      <nc r="U66">
        <f>J66*E66</f>
      </nc>
    </rcc>
    <rcc rId="0" sId="13">
      <nc r="V66">
        <f>K66*E66</f>
      </nc>
    </rcc>
  </rr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52:K53">
    <dxf>
      <fill>
        <patternFill patternType="none">
          <bgColor auto="1"/>
        </patternFill>
      </fill>
    </dxf>
  </rfmt>
  <rfmt sheetId="11" sqref="K132">
    <dxf>
      <fill>
        <patternFill patternType="none">
          <bgColor auto="1"/>
        </patternFill>
      </fill>
    </dxf>
  </rfmt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J94">
    <dxf>
      <fill>
        <patternFill patternType="none">
          <bgColor auto="1"/>
        </patternFill>
      </fill>
    </dxf>
  </rfmt>
  <rfmt sheetId="11" sqref="J95:J100">
    <dxf>
      <fill>
        <patternFill patternType="none">
          <bgColor auto="1"/>
        </patternFill>
      </fill>
    </dxf>
  </rfmt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J96">
    <dxf>
      <fill>
        <patternFill patternType="solid">
          <bgColor rgb="FFFFFF00"/>
        </patternFill>
      </fill>
    </dxf>
  </rfmt>
  <rfmt sheetId="11" sqref="J95">
    <dxf>
      <fill>
        <patternFill patternType="solid">
          <bgColor rgb="FFFFFF00"/>
        </patternFill>
      </fill>
    </dxf>
  </rfmt>
  <rfmt sheetId="11" sqref="J94">
    <dxf>
      <fill>
        <patternFill patternType="solid">
          <bgColor rgb="FFFFFF00"/>
        </patternFill>
      </fill>
    </dxf>
  </rfmt>
  <rfmt sheetId="11" sqref="A91">
    <dxf>
      <alignment horizontal="right" readingOrder="0"/>
    </dxf>
  </rfmt>
  <rfmt sheetId="11" sqref="J97">
    <dxf>
      <fill>
        <patternFill patternType="solid">
          <bgColor rgb="FFFFFF00"/>
        </patternFill>
      </fill>
    </dxf>
  </rfmt>
  <rfmt sheetId="11" sqref="J98">
    <dxf>
      <fill>
        <patternFill patternType="solid">
          <bgColor rgb="FFFFFF00"/>
        </patternFill>
      </fill>
    </dxf>
  </rfmt>
  <rfmt sheetId="11" sqref="J99">
    <dxf>
      <fill>
        <patternFill patternType="solid">
          <bgColor rgb="FFFFFF00"/>
        </patternFill>
      </fill>
    </dxf>
  </rfmt>
  <rfmt sheetId="11" sqref="J100">
    <dxf>
      <fill>
        <patternFill patternType="solid">
          <bgColor rgb="FFFFFF00"/>
        </patternFill>
      </fill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169">
    <dxf>
      <fill>
        <patternFill patternType="solid">
          <bgColor rgb="FF00B0F0"/>
        </patternFill>
      </fill>
    </dxf>
  </rfmt>
  <rfmt sheetId="11" sqref="K82:K88">
    <dxf>
      <fill>
        <patternFill patternType="solid">
          <bgColor rgb="FF00B0F0"/>
        </patternFill>
      </fill>
    </dxf>
  </rfmt>
  <rfmt sheetId="11" sqref="K91">
    <dxf>
      <fill>
        <patternFill patternType="solid">
          <bgColor rgb="FF00B0F0"/>
        </patternFill>
      </fill>
    </dxf>
  </rfmt>
  <rfmt sheetId="11" sqref="K13">
    <dxf>
      <fill>
        <patternFill patternType="solid">
          <bgColor rgb="FF00B0F0"/>
        </patternFill>
      </fill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16">
    <dxf>
      <fill>
        <patternFill patternType="solid">
          <bgColor rgb="FF00B0F0"/>
        </patternFill>
      </fill>
    </dxf>
  </rfmt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52:K53">
    <dxf>
      <fill>
        <patternFill patternType="solid">
          <bgColor rgb="FF92D050"/>
        </patternFill>
      </fill>
    </dxf>
  </rfmt>
  <rfmt sheetId="11" sqref="K52:K53">
    <dxf>
      <fill>
        <patternFill>
          <bgColor rgb="FF7030A0"/>
        </patternFill>
      </fill>
    </dxf>
  </rfmt>
  <rfmt sheetId="11" sqref="K161">
    <dxf>
      <fill>
        <patternFill patternType="solid">
          <bgColor rgb="FF7030A0"/>
        </patternFill>
      </fill>
    </dxf>
  </rfmt>
  <rfmt sheetId="11" sqref="K56:K57">
    <dxf>
      <fill>
        <patternFill patternType="solid">
          <bgColor rgb="FF7030A0"/>
        </patternFill>
      </fill>
    </dxf>
  </rfmt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54:K55">
    <dxf>
      <fill>
        <patternFill patternType="solid">
          <bgColor rgb="FF7030A0"/>
        </patternFill>
      </fill>
    </dxf>
  </rfmt>
  <rfmt sheetId="11" sqref="K131:K133">
    <dxf>
      <fill>
        <patternFill patternType="solid">
          <bgColor rgb="FF7030A0"/>
        </patternFill>
      </fill>
    </dxf>
  </rfmt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" sId="13">
    <nc r="G108">
      <v>10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" sId="13">
    <nc r="H108">
      <v>10</v>
    </nc>
  </rcc>
  <rfmt sheetId="13" sqref="H108">
    <dxf>
      <fill>
        <patternFill patternType="solid">
          <bgColor rgb="FF00B0F0"/>
        </patternFill>
      </fill>
    </dxf>
  </rfmt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9">
    <dxf>
      <fill>
        <patternFill patternType="solid">
          <bgColor rgb="FF7030A0"/>
        </patternFill>
      </fill>
    </dxf>
  </rfmt>
  <rfmt sheetId="11" sqref="K11">
    <dxf>
      <fill>
        <patternFill patternType="solid">
          <bgColor rgb="FF7030A0"/>
        </patternFill>
      </fill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9" sId="13" ref="A76:XFD7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76:XFD76" start="0" length="0">
      <dxf>
        <font>
          <sz val="10"/>
          <color indexed="8"/>
          <name val="Arial"/>
          <scheme val="none"/>
        </font>
      </dxf>
    </rfmt>
    <rcc rId="0" sId="13" dxf="1" numFmtId="30">
      <nc r="A76">
        <v>5462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76" t="inlineStr">
        <is>
          <t>Шишкин Р.Г.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76" t="inlineStr">
        <is>
          <t>Вальцовка трубы для теплицы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76">
        <v>12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76">
        <v>85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76">
        <f>E76*D76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76">
        <v>12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I76">
        <v>12</v>
      </nc>
      <ndxf>
        <fill>
          <patternFill patternType="solid">
            <bgColor rgb="FF00B0F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J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76">
        <f>E76*(H76+I76+J76+K76)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76">
        <v>43584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76">
        <v>43585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7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76" start="0" length="0">
      <dxf/>
    </rfmt>
    <rcc rId="0" sId="13">
      <nc r="S76">
        <f>H76*E76</f>
      </nc>
    </rcc>
    <rcc rId="0" sId="13">
      <nc r="T76">
        <f>I76*E76</f>
      </nc>
    </rcc>
    <rcc rId="0" sId="13">
      <nc r="U76">
        <f>J76*E76</f>
      </nc>
    </rcc>
    <rcc rId="0" sId="13">
      <nc r="V76">
        <f>K76*E76</f>
      </nc>
    </rcc>
  </rrc>
  <rrc rId="20" sId="13" ref="A76:XFD7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76:XFD76" start="0" length="0">
      <dxf>
        <font>
          <sz val="10"/>
          <color indexed="8"/>
          <name val="Arial"/>
          <scheme val="none"/>
        </font>
      </dxf>
    </rfmt>
    <rfmt sheetId="13" sqref="A76" start="0" length="0">
      <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13" sqref="B76" start="0" length="0">
      <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76" start="0" length="0">
      <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dxf>
    </rfmt>
    <rfmt sheetId="13" sqref="D76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76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s="1" dxf="1">
      <nc r="F76">
        <f>E76*D76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76">
        <f>E76*(H76+I76+J76+K76)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7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7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7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76" start="0" length="0">
      <dxf/>
    </rfmt>
    <rcc rId="0" sId="13">
      <nc r="S76">
        <f>H76*E76</f>
      </nc>
    </rcc>
    <rcc rId="0" sId="13">
      <nc r="T76">
        <f>I76*E76</f>
      </nc>
    </rcc>
    <rcc rId="0" sId="13">
      <nc r="U76">
        <f>J76*E76</f>
      </nc>
    </rcc>
    <rcc rId="0" sId="13">
      <nc r="V76">
        <f>K76*E76</f>
      </nc>
    </rcc>
  </rrc>
  <rrc rId="21" sId="13" ref="A76:XFD7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76:XFD76" start="0" length="0">
      <dxf>
        <font>
          <sz val="10"/>
          <color indexed="8"/>
          <name val="Arial"/>
          <scheme val="none"/>
        </font>
      </dxf>
    </rfmt>
    <rcc rId="0" sId="13" dxf="1" numFmtId="30">
      <nc r="A76">
        <v>5464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76" t="inlineStr">
        <is>
          <t>ЗАО ПО Ресурс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76" t="inlineStr">
        <is>
          <t>Обечайка D250х1250мм, S=1,2мм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76">
        <v>6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76">
        <v>850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76">
        <f>E76*D76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76">
        <v>6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H76">
        <v>6</v>
      </nc>
      <ndxf>
        <fill>
          <patternFill patternType="solid">
            <bgColor rgb="FFFFFF0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I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76">
        <f>E76*(H76+I76+J76+K76)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76">
        <v>43585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76">
        <v>43593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7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76" start="0" length="0">
      <dxf/>
    </rfmt>
    <rcc rId="0" sId="13">
      <nc r="S76">
        <f>H76*E76</f>
      </nc>
    </rcc>
    <rcc rId="0" sId="13">
      <nc r="T76">
        <f>I76*E76</f>
      </nc>
    </rcc>
    <rcc rId="0" sId="13">
      <nc r="U76">
        <f>J76*E76</f>
      </nc>
    </rcc>
    <rcc rId="0" sId="13">
      <nc r="V76">
        <f>K76*E76</f>
      </nc>
    </rcc>
  </rrc>
  <rrc rId="22" sId="13" ref="A76:XFD7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76:XFD76" start="0" length="0">
      <dxf>
        <font>
          <sz val="10"/>
          <color indexed="8"/>
          <name val="Arial"/>
          <scheme val="none"/>
        </font>
      </dxf>
    </rfmt>
    <rcc rId="0" sId="13" dxf="1" numFmtId="30">
      <nc r="A76">
        <v>5465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76" t="inlineStr">
        <is>
          <t>ЗАО ПО Ресурс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76" t="inlineStr">
        <is>
          <t>Обечайка D400х1250мм, S=1,2мм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76">
        <v>6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76">
        <v>1090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76">
        <f>E76*D76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76">
        <v>6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H76">
        <v>6</v>
      </nc>
      <ndxf>
        <fill>
          <patternFill patternType="solid">
            <bgColor rgb="FFFFFF0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I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76">
        <f>E76*(H76+I76+J76+K76)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76">
        <v>43585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76">
        <v>43593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7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76" start="0" length="0">
      <dxf/>
    </rfmt>
    <rcc rId="0" sId="13">
      <nc r="S76">
        <f>H76*E76</f>
      </nc>
    </rcc>
    <rcc rId="0" sId="13">
      <nc r="T76">
        <f>I76*E76</f>
      </nc>
    </rcc>
    <rcc rId="0" sId="13">
      <nc r="U76">
        <f>J76*E76</f>
      </nc>
    </rcc>
    <rcc rId="0" sId="13">
      <nc r="V76">
        <f>K76*E76</f>
      </nc>
    </rcc>
  </rrc>
  <rrc rId="23" sId="13" ref="A76:XFD7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76:XFD76" start="0" length="0">
      <dxf>
        <font>
          <sz val="10"/>
          <color indexed="8"/>
          <name val="Arial"/>
          <scheme val="none"/>
        </font>
      </dxf>
    </rfmt>
    <rfmt sheetId="13" sqref="A76" start="0" length="0">
      <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B76" start="0" length="0">
      <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76" start="0" length="0">
      <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dxf>
    </rfmt>
    <rfmt sheetId="13" sqref="D76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76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s="1" dxf="1">
      <nc r="F76">
        <f>E76*D76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76">
        <f>E76*(H76+I76+J76+K76)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7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7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7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76" start="0" length="0">
      <dxf/>
    </rfmt>
    <rcc rId="0" sId="13">
      <nc r="S76">
        <f>H76*E76</f>
      </nc>
    </rcc>
    <rcc rId="0" sId="13">
      <nc r="T76">
        <f>I76*E76</f>
      </nc>
    </rcc>
    <rcc rId="0" sId="13">
      <nc r="U76">
        <f>J76*E76</f>
      </nc>
    </rcc>
    <rcc rId="0" sId="13">
      <nc r="V76">
        <f>K76*E76</f>
      </nc>
    </rcc>
  </rrc>
  <rrc rId="24" sId="13" ref="A76:XFD7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76:XFD76" start="0" length="0">
      <dxf>
        <font>
          <sz val="10"/>
          <color indexed="8"/>
          <name val="Arial"/>
          <scheme val="none"/>
        </font>
      </dxf>
    </rfmt>
    <rcc rId="0" sId="13" dxf="1" numFmtId="30">
      <nc r="A76">
        <v>5387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76" t="inlineStr">
        <is>
          <t>Сигма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76" t="inlineStr">
        <is>
          <t>Заготовка Круг Ø16х1000мм Ст.3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76">
        <v>1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76">
        <v>120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76">
        <f>E76*D76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76">
        <v>1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H76">
        <v>1</v>
      </nc>
      <ndxf>
        <fill>
          <patternFill patternType="solid">
            <bgColor rgb="FFFFFF0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I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76">
        <f>E76*(H76+I76+J76+K76)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76">
        <v>43591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76">
        <v>43592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7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76" start="0" length="0">
      <dxf/>
    </rfmt>
    <rcc rId="0" sId="13">
      <nc r="S76">
        <f>H76*E76</f>
      </nc>
    </rcc>
    <rcc rId="0" sId="13">
      <nc r="T76">
        <f>I76*E76</f>
      </nc>
    </rcc>
    <rcc rId="0" sId="13">
      <nc r="U76">
        <f>J76*E76</f>
      </nc>
    </rcc>
    <rcc rId="0" sId="13">
      <nc r="V76">
        <f>K76*E76</f>
      </nc>
    </rcc>
  </rrc>
  <rrc rId="25" sId="13" ref="A76:XFD7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76:XFD76" start="0" length="0">
      <dxf>
        <font>
          <sz val="10"/>
          <color indexed="8"/>
          <name val="Arial"/>
          <scheme val="none"/>
        </font>
      </dxf>
    </rfmt>
    <rcc rId="0" sId="13" dxf="1" numFmtId="30">
      <nc r="A76">
        <v>5388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76" t="inlineStr">
        <is>
          <t>Сигма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76" t="inlineStr">
        <is>
          <t xml:space="preserve">Заготовка Круг Ø20х1000мм Ст.10 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76">
        <v>1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76">
        <v>190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76">
        <f>E76*D76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76">
        <v>1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H76">
        <v>1</v>
      </nc>
      <ndxf>
        <fill>
          <patternFill patternType="solid">
            <bgColor rgb="FFFFFF0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I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76">
        <f>E76*(H76+I76+J76+K76)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76">
        <v>43591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76">
        <v>43592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7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76" start="0" length="0">
      <dxf/>
    </rfmt>
    <rcc rId="0" sId="13">
      <nc r="S76">
        <f>H76*E76</f>
      </nc>
    </rcc>
    <rcc rId="0" sId="13">
      <nc r="T76">
        <f>I76*E76</f>
      </nc>
    </rcc>
    <rcc rId="0" sId="13">
      <nc r="U76">
        <f>J76*E76</f>
      </nc>
    </rcc>
    <rcc rId="0" sId="13">
      <nc r="V76">
        <f>K76*E76</f>
      </nc>
    </rcc>
  </rrc>
  <rrc rId="26" sId="13" ref="A76:XFD7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76:XFD76" start="0" length="0">
      <dxf>
        <font>
          <sz val="10"/>
          <color indexed="8"/>
          <name val="Arial"/>
          <scheme val="none"/>
        </font>
      </dxf>
    </rfmt>
    <rfmt sheetId="13" sqref="A76" start="0" length="0">
      <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B76" start="0" length="0">
      <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76" start="0" length="0">
      <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dxf>
    </rfmt>
    <rfmt sheetId="13" sqref="D76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76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s="1" dxf="1">
      <nc r="F76">
        <f>E76*D76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76">
        <f>E76*(H76+I76+J76+K76)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7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7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7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76" start="0" length="0">
      <dxf/>
    </rfmt>
    <rcc rId="0" sId="13">
      <nc r="S76">
        <f>H76*E76</f>
      </nc>
    </rcc>
    <rcc rId="0" sId="13">
      <nc r="T76">
        <f>I76*E76</f>
      </nc>
    </rcc>
    <rcc rId="0" sId="13">
      <nc r="U76">
        <f>J76*E76</f>
      </nc>
    </rcc>
    <rcc rId="0" sId="13">
      <nc r="V76">
        <f>K76*E76</f>
      </nc>
    </rcc>
  </rrc>
  <rrc rId="27" sId="13" ref="A76:XFD7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76:XFD76" start="0" length="0">
      <dxf>
        <font>
          <sz val="10"/>
          <color indexed="8"/>
          <name val="Arial"/>
          <scheme val="none"/>
        </font>
      </dxf>
    </rfmt>
    <rcc rId="0" sId="13" dxf="1" numFmtId="30">
      <nc r="A76">
        <v>5330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76" t="inlineStr">
        <is>
          <t>ВятМК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76" t="inlineStr">
        <is>
          <t>Матрица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76">
        <v>1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76">
        <v>35000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76">
        <f>E76*D76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76">
        <v>1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I76">
        <v>1</v>
      </nc>
      <ndxf>
        <fill>
          <patternFill patternType="solid">
            <bgColor rgb="FFFFFF0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J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76">
        <f>E76*(H76+I76+J76+K76)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76">
        <v>43592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76">
        <v>43600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7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76" start="0" length="0">
      <dxf/>
    </rfmt>
    <rcc rId="0" sId="13">
      <nc r="S76">
        <f>H76*E76</f>
      </nc>
    </rcc>
    <rcc rId="0" sId="13">
      <nc r="T76">
        <f>I76*E76</f>
      </nc>
    </rcc>
    <rcc rId="0" sId="13">
      <nc r="U76">
        <f>J76*E76</f>
      </nc>
    </rcc>
    <rcc rId="0" sId="13">
      <nc r="V76">
        <f>K76*E76</f>
      </nc>
    </rcc>
  </rrc>
  <rrc rId="28" sId="13" ref="A76:XFD7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76:XFD76" start="0" length="0">
      <dxf>
        <font>
          <sz val="10"/>
          <color indexed="8"/>
          <name val="Arial"/>
          <scheme val="none"/>
        </font>
      </dxf>
    </rfmt>
    <rfmt sheetId="13" sqref="A76" start="0" length="0">
      <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B76" start="0" length="0">
      <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76" start="0" length="0">
      <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dxf>
    </rfmt>
    <rfmt sheetId="13" sqref="D76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76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s="1" dxf="1">
      <nc r="F76">
        <f>E76*D76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76">
        <f>E76*(H76+I76+J76+K76)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7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7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7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76" start="0" length="0">
      <dxf/>
    </rfmt>
    <rcc rId="0" sId="13">
      <nc r="S76">
        <f>H76*E76</f>
      </nc>
    </rcc>
    <rcc rId="0" sId="13">
      <nc r="T76">
        <f>I76*E76</f>
      </nc>
    </rcc>
    <rcc rId="0" sId="13">
      <nc r="U76">
        <f>J76*E76</f>
      </nc>
    </rcc>
    <rcc rId="0" sId="13">
      <nc r="V76">
        <f>K76*E76</f>
      </nc>
    </rcc>
  </rrc>
  <rrc rId="29" sId="13" ref="A76:XFD7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76:XFD76" start="0" length="0">
      <dxf>
        <font>
          <sz val="10"/>
          <color indexed="8"/>
          <name val="Arial"/>
          <scheme val="none"/>
        </font>
      </dxf>
    </rfmt>
    <rcc rId="0" sId="13" dxf="1" numFmtId="30">
      <nc r="A76">
        <v>5469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76" t="inlineStr">
        <is>
          <t>Созинов К.Н.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76" t="inlineStr">
        <is>
          <t>Ось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76">
        <v>1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76">
        <v>1750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76">
        <f>E76*D76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76">
        <v>1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I76">
        <v>1</v>
      </nc>
      <ndxf>
        <fill>
          <patternFill patternType="solid">
            <bgColor rgb="FFFFFF0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J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76">
        <f>E76*(H76+I76+J76+K76)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76">
        <v>43593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76">
        <v>43600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7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76" start="0" length="0">
      <dxf/>
    </rfmt>
    <rcc rId="0" sId="13">
      <nc r="S76">
        <f>H76*E76</f>
      </nc>
    </rcc>
    <rcc rId="0" sId="13">
      <nc r="T76">
        <f>I76*E76</f>
      </nc>
    </rcc>
    <rcc rId="0" sId="13">
      <nc r="U76">
        <f>J76*E76</f>
      </nc>
    </rcc>
    <rcc rId="0" sId="13">
      <nc r="V76">
        <f>K76*E76</f>
      </nc>
    </rcc>
  </rrc>
  <rrc rId="30" sId="13" ref="A76:XFD7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76:XFD76" start="0" length="0">
      <dxf>
        <font>
          <sz val="10"/>
          <color indexed="8"/>
          <name val="Arial"/>
          <scheme val="none"/>
        </font>
      </dxf>
    </rfmt>
    <rcc rId="0" sId="13" dxf="1" numFmtId="30">
      <nc r="A76">
        <v>5497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76" t="inlineStr">
        <is>
          <t>ВятМК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76" t="inlineStr">
        <is>
          <t>Цементация и термообработка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76">
        <v>1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76">
        <v>2000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76">
        <f>E76*D76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76">
        <v>1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I76">
        <v>1</v>
      </nc>
      <ndxf>
        <fill>
          <patternFill patternType="solid">
            <bgColor rgb="FF00B0F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J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76">
        <f>E76*(H76+I76+J76+K76)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7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7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7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76" start="0" length="0">
      <dxf/>
    </rfmt>
    <rcc rId="0" sId="13">
      <nc r="S76">
        <f>H76*E76</f>
      </nc>
    </rcc>
    <rcc rId="0" sId="13">
      <nc r="T76">
        <f>I76*E76</f>
      </nc>
    </rcc>
    <rcc rId="0" sId="13">
      <nc r="U76">
        <f>J76*E76</f>
      </nc>
    </rcc>
    <rcc rId="0" sId="13">
      <nc r="V76">
        <f>K76*E76</f>
      </nc>
    </rcc>
  </rrc>
  <rrc rId="31" sId="13" ref="A76:XFD7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76:XFD76" start="0" length="0">
      <dxf>
        <font>
          <sz val="10"/>
          <color indexed="8"/>
          <name val="Arial"/>
          <scheme val="none"/>
        </font>
      </dxf>
    </rfmt>
    <rfmt sheetId="13" sqref="A76" start="0" length="0">
      <dxf>
        <font>
          <sz val="10"/>
          <color indexed="8"/>
          <name val="Arial"/>
          <scheme val="none"/>
        </font>
        <numFmt numFmtId="30" formatCode="@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13" sqref="B76" start="0" length="0">
      <dxf>
        <font>
          <sz val="10"/>
          <color indexed="8"/>
          <name val="Arial"/>
          <scheme val="none"/>
        </font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76" start="0" length="0">
      <dxf>
        <font>
          <sz val="10"/>
          <color indexed="8"/>
          <name val="Arial"/>
          <scheme val="none"/>
        </font>
        <border outline="0">
          <top style="thin">
            <color indexed="64"/>
          </top>
          <bottom style="thin">
            <color indexed="64"/>
          </bottom>
        </border>
      </dxf>
    </rfmt>
    <rfmt sheetId="13" sqref="D76" start="0" length="0">
      <dxf>
        <font>
          <sz val="10"/>
          <color indexed="8"/>
          <name val="Arial"/>
          <scheme val="none"/>
        </font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76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s="1" dxf="1">
      <nc r="F76">
        <f>E76*D76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76">
        <f>E76*(H76+I76+J76+K76)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7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7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7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76" start="0" length="0">
      <dxf/>
    </rfmt>
  </rrc>
  <rrc rId="32" sId="13" ref="A76:XFD7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76:XFD76" start="0" length="0">
      <dxf>
        <font>
          <sz val="10"/>
          <color indexed="8"/>
          <name val="Arial"/>
          <scheme val="none"/>
        </font>
      </dxf>
    </rfmt>
    <rcc rId="0" sId="13" dxf="1" numFmtId="30">
      <nc r="A76">
        <v>5473</v>
      </nc>
      <ndxf>
        <font>
          <sz val="10"/>
          <color indexed="8"/>
          <name val="Arial"/>
          <scheme val="none"/>
        </font>
        <numFmt numFmtId="30" formatCode="@"/>
        <alignment horizontal="righ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13" dxf="1">
      <nc r="B76" t="inlineStr">
        <is>
          <t>ООО ИПАКЭМ</t>
        </is>
      </nc>
      <ndxf>
        <font>
          <sz val="11"/>
          <color theme="1"/>
          <name val="Calibri"/>
          <scheme val="minor"/>
        </font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76" t="inlineStr">
        <is>
          <t>Шлифовка колец</t>
        </is>
      </nc>
      <ndxf>
        <font>
          <sz val="11"/>
          <color theme="1"/>
          <name val="Calibri"/>
          <scheme val="minor"/>
        </font>
        <border outline="0">
          <top style="thin">
            <color indexed="64"/>
          </top>
          <bottom style="thin">
            <color indexed="64"/>
          </bottom>
        </border>
      </ndxf>
    </rcc>
    <rcc rId="0" sId="13" dxf="1">
      <nc r="D76">
        <v>7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76">
        <v>141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76">
        <f>E76*D76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76">
        <v>7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I76">
        <v>7</v>
      </nc>
      <ndxf>
        <fill>
          <patternFill patternType="solid">
            <bgColor rgb="FF00B0F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J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76">
        <f>E76*(H76+I76+J76+K76)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76">
        <v>43598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76">
        <v>43602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7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76" start="0" length="0">
      <dxf/>
    </rfmt>
    <rcc rId="0" sId="13">
      <nc r="S76">
        <f>H76*E76</f>
      </nc>
    </rcc>
    <rcc rId="0" sId="13">
      <nc r="T76">
        <f>I76*E76</f>
      </nc>
    </rcc>
    <rcc rId="0" sId="13">
      <nc r="U76">
        <f>J76*E76</f>
      </nc>
    </rcc>
    <rcc rId="0" sId="13">
      <nc r="V76">
        <f>K76*E76</f>
      </nc>
    </rcc>
  </rrc>
  <rrc rId="33" sId="13" ref="A76:XFD7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76:XFD76" start="0" length="0">
      <dxf>
        <font>
          <sz val="10"/>
          <color indexed="8"/>
          <name val="Arial"/>
          <scheme val="none"/>
        </font>
      </dxf>
    </rfmt>
    <rcc rId="0" sId="13" dxf="1" numFmtId="30">
      <nc r="A76">
        <v>5509</v>
      </nc>
      <ndxf>
        <font>
          <sz val="10"/>
          <color indexed="8"/>
          <name val="Arial"/>
          <scheme val="none"/>
        </font>
        <numFmt numFmtId="30" formatCode="@"/>
        <alignment horizontal="righ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13" dxf="1">
      <nc r="B76" t="inlineStr">
        <is>
          <t>ООО ИПАКЭМ</t>
        </is>
      </nc>
      <ndxf>
        <font>
          <sz val="10"/>
          <color indexed="8"/>
          <name val="Arial"/>
          <scheme val="minor"/>
        </font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76" t="inlineStr">
        <is>
          <t>Кольцо D59,7xd45x5</t>
        </is>
      </nc>
      <ndxf>
        <font>
          <sz val="10"/>
          <color indexed="8"/>
          <name val="Arial"/>
          <scheme val="minor"/>
        </font>
        <border outline="0">
          <top style="thin">
            <color indexed="64"/>
          </top>
          <bottom style="thin">
            <color indexed="64"/>
          </bottom>
        </border>
      </ndxf>
    </rcc>
    <rcc rId="0" sId="13" dxf="1">
      <nc r="D76">
        <v>10</v>
      </nc>
      <ndxf>
        <font>
          <sz val="10"/>
          <color indexed="8"/>
          <name val="Arial"/>
          <scheme val="minor"/>
        </font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76">
        <v>1000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76">
        <f>E76*D76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76">
        <v>10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7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K76">
        <v>10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s="1" dxf="1">
      <nc r="L76">
        <f>E76*(H76+I76+J76+K76)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76">
        <v>43606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76">
        <v>43615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76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76" start="0" length="0">
      <dxf/>
    </rfmt>
    <rcc rId="0" sId="13">
      <nc r="S76">
        <f>H76*E76</f>
      </nc>
    </rcc>
    <rcc rId="0" sId="13">
      <nc r="T76">
        <f>I76*E76</f>
      </nc>
    </rcc>
    <rcc rId="0" sId="13">
      <nc r="U76">
        <f>J76*E76</f>
      </nc>
    </rcc>
    <rcc rId="0" sId="13">
      <nc r="V76">
        <f>K76*E76</f>
      </nc>
    </rcc>
  </rrc>
  <rrc rId="34" sId="13" ref="A80:XFD80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80:XFD80" start="0" length="0">
      <dxf>
        <font>
          <sz val="10"/>
          <color indexed="8"/>
          <name val="Arial"/>
          <scheme val="none"/>
        </font>
      </dxf>
    </rfmt>
    <rcc rId="0" sId="13" dxf="1" numFmtId="30">
      <nc r="A80">
        <v>5302</v>
      </nc>
      <ndxf>
        <font>
          <sz val="10"/>
          <color indexed="8"/>
          <name val="Arial"/>
          <scheme val="none"/>
        </font>
        <numFmt numFmtId="30" formatCode="@"/>
        <fill>
          <patternFill patternType="solid">
            <bgColor theme="6" tint="-0.249977111117893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80" t="inlineStr">
        <is>
          <t>Нефтегаздиагностика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80" t="inlineStr">
        <is>
          <t>Комплект петель D30 D30 L150 (нерж. ст.)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80">
        <v>50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80">
        <v>5966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80">
        <f>E80*D80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80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80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80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80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K80">
        <v>50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s="1" dxf="1">
      <nc r="L80">
        <f>E80*(H80+I80+J80+K80)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80">
        <v>43601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80">
        <v>43616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80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80" start="0" length="0">
      <dxf/>
    </rfmt>
    <rcc rId="0" sId="13">
      <nc r="S80">
        <f>H80*E80</f>
      </nc>
    </rcc>
    <rcc rId="0" sId="13">
      <nc r="T80">
        <f>I80*E80</f>
      </nc>
    </rcc>
    <rcc rId="0" sId="13">
      <nc r="U80">
        <f>J80*E80</f>
      </nc>
    </rcc>
    <rcc rId="0" sId="13">
      <nc r="V80">
        <f>K80*E80</f>
      </nc>
    </rcc>
  </rrc>
  <rrc rId="35" sId="13" ref="A77:XFD77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77:XFD77" start="0" length="0">
      <dxf>
        <font>
          <sz val="10"/>
          <color indexed="8"/>
          <name val="Arial"/>
          <scheme val="none"/>
        </font>
      </dxf>
    </rfmt>
    <rcc rId="0" sId="13" dxf="1" numFmtId="30">
      <nc r="A77">
        <v>5352</v>
      </nc>
      <ndxf>
        <font>
          <sz val="10"/>
          <color indexed="8"/>
          <name val="Arial"/>
          <scheme val="none"/>
        </font>
        <numFmt numFmtId="30" formatCode="@"/>
        <fill>
          <patternFill patternType="solid">
            <bgColor theme="6" tint="-0.249977111117893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77" t="inlineStr">
        <is>
          <t>МИТО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77" t="inlineStr">
        <is>
          <t>Насос НСФ-2 (Броня)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77">
        <v>10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77">
        <v>5650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77">
        <f>E77*D77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77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77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77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77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K77">
        <v>10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s="1" dxf="1">
      <nc r="L77">
        <f>E77*(H77+I77+J77+K77)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77">
        <v>43573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77">
        <v>43612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77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77" start="0" length="0">
      <dxf/>
    </rfmt>
    <rcc rId="0" sId="13">
      <nc r="S77">
        <f>H77*E77</f>
      </nc>
    </rcc>
    <rcc rId="0" sId="13">
      <nc r="T77">
        <f>I77*E77</f>
      </nc>
    </rcc>
    <rcc rId="0" sId="13">
      <nc r="U77">
        <f>J77*E77</f>
      </nc>
    </rcc>
    <rcc rId="0" sId="13">
      <nc r="V77">
        <f>K77*E77</f>
      </nc>
    </rcc>
  </rrc>
  <rrc rId="36" sId="13" ref="A77:XFD77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77:XFD77" start="0" length="0">
      <dxf>
        <font>
          <sz val="10"/>
          <color indexed="8"/>
          <name val="Arial"/>
          <scheme val="none"/>
        </font>
      </dxf>
    </rfmt>
    <rcc rId="0" sId="13" dxf="1" numFmtId="30">
      <nc r="A77">
        <v>5398</v>
      </nc>
      <ndxf>
        <font>
          <sz val="10"/>
          <color indexed="8"/>
          <name val="Arial"/>
          <scheme val="none"/>
        </font>
        <numFmt numFmtId="30" formatCode="@"/>
        <alignment horizontal="righ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13" dxf="1">
      <nc r="B77" t="inlineStr">
        <is>
          <t>МИТО</t>
        </is>
      </nc>
      <ndxf>
        <font>
          <sz val="10"/>
          <color indexed="8"/>
          <name val="Arial"/>
          <scheme val="none"/>
        </font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77" t="inlineStr">
        <is>
          <t>Шлифовка напрвляющей</t>
        </is>
      </nc>
      <ndxf>
        <font>
          <sz val="10"/>
          <color indexed="8"/>
          <name val="Arial"/>
          <scheme val="none"/>
        </font>
        <border outline="0">
          <top style="thin">
            <color indexed="64"/>
          </top>
          <bottom style="thin">
            <color indexed="64"/>
          </bottom>
        </border>
      </ndxf>
    </rcc>
    <rcc rId="0" sId="13" dxf="1">
      <nc r="D77">
        <v>1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77">
        <v>5280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77">
        <f>E77*D77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77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77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77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77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K77">
        <v>1</v>
      </nc>
      <ndxf>
        <fill>
          <patternFill patternType="solid">
            <bgColor rgb="FF00B0F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s="1" dxf="1">
      <nc r="L77">
        <f>E77*(H77+I77+J77+K77)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77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77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77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77" start="0" length="0">
      <dxf/>
    </rfmt>
    <rcc rId="0" sId="13">
      <nc r="S77">
        <f>H77*E77</f>
      </nc>
    </rcc>
    <rcc rId="0" sId="13">
      <nc r="T77">
        <f>I77*E77</f>
      </nc>
    </rcc>
    <rcc rId="0" sId="13">
      <nc r="U77">
        <f>J77*E77</f>
      </nc>
    </rcc>
    <rcc rId="0" sId="13">
      <nc r="V77">
        <f>K77*E77</f>
      </nc>
    </rcc>
  </rrc>
  <rrc rId="37" sId="13" ref="A81:XFD81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81:XFD81" start="0" length="0">
      <dxf>
        <font>
          <sz val="10"/>
          <color indexed="8"/>
          <name val="Arial"/>
          <scheme val="none"/>
        </font>
      </dxf>
    </rfmt>
    <rcc rId="0" sId="13" dxf="1" numFmtId="30">
      <nc r="A81">
        <v>5484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81" t="inlineStr">
        <is>
          <t>Химзащита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81" t="inlineStr">
        <is>
          <t>Токарная обработка вала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81">
        <v>1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81">
        <v>1980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81">
        <f>E81*D81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81">
        <v>1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8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I81">
        <v>1</v>
      </nc>
      <ndxf>
        <fill>
          <patternFill patternType="solid">
            <bgColor rgb="FF00B0F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J8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8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81">
        <f>E81*(H81+I81+J81+K81)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81">
        <v>43600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81">
        <v>43601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81" start="0" length="0">
      <dxf>
        <font>
          <sz val="10"/>
          <color indexed="8"/>
          <name val="Arial"/>
          <scheme val="none"/>
        </font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81" start="0" length="0">
      <dxf/>
    </rfmt>
    <rcc rId="0" sId="13">
      <nc r="S81">
        <f>H81*E81</f>
      </nc>
    </rcc>
    <rcc rId="0" sId="13">
      <nc r="T81">
        <f>I81*E81</f>
      </nc>
    </rcc>
    <rcc rId="0" sId="13">
      <nc r="U81">
        <f>J81*E81</f>
      </nc>
    </rcc>
    <rcc rId="0" sId="13">
      <nc r="V81">
        <f>K81*E81</f>
      </nc>
    </rcc>
  </rrc>
  <rrc rId="38" sId="13" ref="A81:XFD81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81:XFD81" start="0" length="0">
      <dxf>
        <font>
          <sz val="10"/>
          <color indexed="8"/>
          <name val="Arial"/>
          <scheme val="none"/>
        </font>
      </dxf>
    </rfmt>
    <rcc rId="0" sId="13" dxf="1" numFmtId="30">
      <nc r="A81">
        <v>5562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81" t="inlineStr">
        <is>
          <t>Химсервис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81" t="inlineStr">
        <is>
          <t>Изготовление дет. Колодка (токарная)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81">
        <v>80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81">
        <v>214.8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81">
        <f>E81*D81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8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8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8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8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K81">
        <v>80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s="1" dxf="1">
      <nc r="L81">
        <f>E81*(H81+I81+J81+K81)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81">
        <v>43614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81">
        <v>43616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81" start="0" length="0">
      <dxf>
        <font>
          <sz val="10"/>
          <color indexed="8"/>
          <name val="Arial"/>
          <scheme val="none"/>
        </font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81" start="0" length="0">
      <dxf/>
    </rfmt>
  </rrc>
  <rrc rId="39" sId="13" ref="A82:XFD82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82:XFD82" start="0" length="0">
      <dxf>
        <font>
          <sz val="10"/>
          <color indexed="8"/>
          <name val="Arial"/>
          <scheme val="none"/>
        </font>
      </dxf>
    </rfmt>
    <rcc rId="0" sId="13" dxf="1" numFmtId="30">
      <nc r="A82">
        <v>5485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82" t="inlineStr">
        <is>
          <t>Ракитин С.А.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82" t="inlineStr">
        <is>
          <t>Ремонт вала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82">
        <v>1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82">
        <v>1650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82">
        <f>E82*D82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82">
        <v>1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82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I82">
        <v>1</v>
      </nc>
      <ndxf>
        <fill>
          <patternFill patternType="solid">
            <bgColor rgb="FF00B0F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J82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82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82">
        <f>E82*(H82+I82+J82+K82)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82">
        <v>43601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82">
        <v>43606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82" start="0" length="0">
      <dxf>
        <font>
          <sz val="10"/>
          <color indexed="8"/>
          <name val="Arial"/>
          <scheme val="none"/>
        </font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82" start="0" length="0">
      <dxf/>
    </rfmt>
    <rcc rId="0" sId="13">
      <nc r="S82">
        <f>H82*E82</f>
      </nc>
    </rcc>
    <rcc rId="0" sId="13">
      <nc r="T82">
        <f>I82*E82</f>
      </nc>
    </rcc>
    <rcc rId="0" sId="13">
      <nc r="U82">
        <f>J82*E82</f>
      </nc>
    </rcc>
    <rcc rId="0" sId="13">
      <nc r="V82">
        <f>K82*E82</f>
      </nc>
    </rcc>
  </rrc>
  <rrc rId="40" sId="13" ref="A82:XFD82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82:XFD82" start="0" length="0">
      <dxf>
        <font>
          <sz val="10"/>
          <color indexed="8"/>
          <name val="Arial"/>
          <scheme val="none"/>
        </font>
      </dxf>
    </rfmt>
    <rfmt sheetId="13" sqref="A82" start="0" length="0">
      <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B82" start="0" length="0">
      <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82" start="0" length="0">
      <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dxf>
    </rfmt>
    <rfmt sheetId="13" sqref="D82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82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s="1" dxf="1">
      <nc r="F82">
        <f>E82*D82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82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82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82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82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82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82">
        <f>E82*(H82+I82+J82+K82)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82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82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82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82" start="0" length="0">
      <dxf/>
    </rfmt>
    <rcc rId="0" sId="13">
      <nc r="S82">
        <f>H82*E82</f>
      </nc>
    </rcc>
    <rcc rId="0" sId="13">
      <nc r="T82">
        <f>I82*E82</f>
      </nc>
    </rcc>
    <rcc rId="0" sId="13">
      <nc r="U82">
        <f>J82*E82</f>
      </nc>
    </rcc>
    <rcc rId="0" sId="13">
      <nc r="V82">
        <f>K82*E82</f>
      </nc>
    </rcc>
  </rrc>
  <rrc rId="41" sId="13" ref="A113:XFD113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113:XFD113" start="0" length="0">
      <dxf>
        <font>
          <sz val="10"/>
          <color indexed="8"/>
          <name val="Arial"/>
          <scheme val="none"/>
        </font>
      </dxf>
    </rfmt>
    <rcc rId="0" sId="13" dxf="1" numFmtId="30">
      <nc r="A113">
        <v>5510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113" t="inlineStr">
        <is>
          <t>ИП Костин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113" t="inlineStr">
        <is>
          <t>Цементация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113">
        <v>1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113">
        <v>2000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113">
        <f>E113*D113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113">
        <v>1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113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I113">
        <v>1</v>
      </nc>
      <ndxf>
        <fill>
          <patternFill patternType="solid">
            <bgColor rgb="FF00B0F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J113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113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113">
        <f>E113*(H113+I113+J113+K113)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113">
        <v>43602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113">
        <v>43607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113" start="0" length="0">
      <dxf>
        <font>
          <sz val="10"/>
          <color indexed="8"/>
          <name val="Arial"/>
          <scheme val="none"/>
        </font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113" start="0" length="0">
      <dxf/>
    </rfmt>
  </rrc>
  <rrc rId="42" sId="13" ref="A113:XFD113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113:XFD113" start="0" length="0">
      <dxf>
        <font>
          <sz val="10"/>
          <color indexed="8"/>
          <name val="Arial"/>
          <scheme val="none"/>
        </font>
      </dxf>
    </rfmt>
    <rfmt sheetId="13" sqref="A113" start="0" length="0">
      <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B113" start="0" length="0">
      <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113" start="0" length="0">
      <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dxf>
    </rfmt>
    <rfmt sheetId="13" sqref="D113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113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s="1" dxf="1">
      <nc r="F113">
        <f>E113*D113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113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113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113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113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113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113">
        <f>E113*(H113+I113+J113+K113)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113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113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113" start="0" length="0">
      <dxf>
        <font>
          <sz val="10"/>
          <color indexed="8"/>
          <name val="Arial"/>
          <scheme val="none"/>
        </font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113" start="0" length="0">
      <dxf/>
    </rfmt>
  </rrc>
  <rrc rId="43" sId="13" ref="A113:XFD113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113:XFD113" start="0" length="0">
      <dxf>
        <font>
          <sz val="10"/>
          <color indexed="8"/>
          <name val="Arial"/>
          <scheme val="none"/>
        </font>
      </dxf>
    </rfmt>
    <rcc rId="0" sId="13" dxf="1" numFmtId="30">
      <nc r="A113">
        <v>5547</v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113" t="inlineStr">
        <is>
          <t>ИП Прокашев</t>
        </is>
      </nc>
      <n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C113" t="inlineStr">
        <is>
          <t>Воронение деталей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ndxf>
    </rcc>
    <rcc rId="0" sId="13" dxf="1">
      <nc r="D113">
        <v>1</v>
      </nc>
      <ndxf>
        <font>
          <sz val="11"/>
          <color theme="1"/>
          <name val="Calibri"/>
          <scheme val="minor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113">
        <v>650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113">
        <f>E113*D113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G113">
        <v>1</v>
      </nc>
      <n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H113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113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113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K113">
        <v>1</v>
      </nc>
      <ndxf>
        <fill>
          <patternFill patternType="solid">
            <bgColor rgb="FF00B0F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s="1" dxf="1">
      <nc r="L113">
        <f>E113*(H113+I113+J113+K113)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9">
      <nc r="M113">
        <v>43613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dxf="1" numFmtId="19">
      <nc r="N113">
        <v>43616</v>
      </nc>
      <n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3" sqref="O113" start="0" length="0">
      <dxf>
        <font>
          <sz val="10"/>
          <color indexed="8"/>
          <name val="Arial"/>
          <scheme val="none"/>
        </font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113" start="0" length="0">
      <dxf/>
    </rfmt>
  </rrc>
  <rrc rId="44" sId="13" ref="A113:XFD113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113:XFD113" start="0" length="0">
      <dxf>
        <font>
          <sz val="10"/>
          <color indexed="8"/>
          <name val="Arial"/>
          <scheme val="none"/>
        </font>
      </dxf>
    </rfmt>
    <rfmt sheetId="13" sqref="A113" start="0" length="0">
      <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B113" start="0" length="0">
      <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113" start="0" length="0">
      <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dxf>
    </rfmt>
    <rfmt sheetId="13" sqref="D113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113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s="1" dxf="1">
      <nc r="F113">
        <f>E113*D113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113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113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113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113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113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113">
        <f>E113*(H113+I113+J113+K113)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113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113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113" start="0" length="0">
      <dxf>
        <font>
          <sz val="10"/>
          <color indexed="8"/>
          <name val="Arial"/>
          <scheme val="none"/>
        </font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113" start="0" length="0">
      <dxf/>
    </rfmt>
  </rrc>
  <rrc rId="45" sId="13" ref="A113:XFD113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113:XFD113" start="0" length="0">
      <dxf>
        <font>
          <sz val="10"/>
          <color indexed="8"/>
          <name val="Arial"/>
          <scheme val="none"/>
        </font>
      </dxf>
    </rfmt>
    <rcc rId="0" sId="13" dxf="1">
      <nc r="A113" t="inlineStr">
        <is>
          <t>5555</t>
        </is>
      </nc>
      <n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113" t="inlineStr">
        <is>
          <t>Хлебокомбинат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8"/>
          </top>
          <bottom style="thin">
            <color indexed="8"/>
          </bottom>
        </border>
      </ndxf>
    </rcc>
    <rcc rId="0" sId="13" dxf="1">
      <nc r="C113" t="inlineStr">
        <is>
          <t>Шлифовка дет. Плита</t>
        </is>
      </nc>
      <ndxf>
        <font>
          <sz val="10"/>
          <color indexed="8"/>
          <name val="Arial"/>
          <scheme val="none"/>
        </font>
        <alignment horizontal="left" vertical="center" readingOrder="0"/>
        <border outline="0">
          <right style="thin">
            <color indexed="8"/>
          </right>
          <top style="thin">
            <color indexed="8"/>
          </top>
          <bottom style="thin">
            <color indexed="8"/>
          </bottom>
        </border>
        <protection locked="0"/>
      </ndxf>
    </rcc>
    <rcc rId="0" sId="13" dxf="1">
      <nc r="D113">
        <v>1</v>
      </nc>
      <n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 numFmtId="11">
      <nc r="E113">
        <v>1700</v>
      </nc>
      <n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F113">
        <f>E113*D113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113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113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113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113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dxf="1">
      <nc r="K113">
        <v>1</v>
      </nc>
      <ndxf>
        <fill>
          <patternFill patternType="solid">
            <bgColor rgb="FF00B0F0"/>
          </patternFill>
        </fill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3" s="1" dxf="1">
      <nc r="L113">
        <f>E113*(H113+I113+J113+K113)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113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113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113" start="0" length="0">
      <dxf>
        <font>
          <sz val="10"/>
          <color indexed="8"/>
          <name val="Arial"/>
          <scheme val="none"/>
        </font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113" start="0" length="0">
      <dxf/>
    </rfmt>
  </rrc>
  <rcc rId="46" sId="13">
    <oc r="F36">
      <f>E36*D36</f>
    </oc>
    <nc r="F36">
      <f>E36*D36</f>
    </nc>
  </rcc>
  <rcc rId="47" sId="13">
    <oc r="F37">
      <f>E37*D37</f>
    </oc>
    <nc r="F37">
      <f>E37*D37</f>
    </nc>
  </rcc>
  <rcc rId="48" sId="13">
    <oc r="F38">
      <f>E38*D38</f>
    </oc>
    <nc r="F38">
      <f>E38*D38</f>
    </nc>
  </rcc>
  <rcc rId="49" sId="13">
    <oc r="F39">
      <f>E39*D39</f>
    </oc>
    <nc r="F39">
      <f>E39*D39</f>
    </nc>
  </rcc>
  <rcc rId="50" sId="13">
    <oc r="F40">
      <f>E40*D40</f>
    </oc>
    <nc r="F40">
      <f>E40*D40</f>
    </nc>
  </rcc>
  <rcc rId="51" sId="13">
    <nc r="F41">
      <f>E41*D41</f>
    </nc>
  </rcc>
  <rcc rId="52" sId="13">
    <nc r="F42">
      <f>E42*D42</f>
    </nc>
  </rcc>
  <rcc rId="53" sId="13">
    <nc r="F43">
      <f>E43*D43</f>
    </nc>
  </rcc>
  <rcc rId="54" sId="13">
    <oc r="F44">
      <f>E44*D44</f>
    </oc>
    <nc r="F44">
      <f>E44*D44</f>
    </nc>
  </rcc>
  <rcc rId="55" sId="13">
    <oc r="F45">
      <f>E45*D45</f>
    </oc>
    <nc r="F45">
      <f>E45*D45</f>
    </nc>
  </rcc>
  <rcc rId="56" sId="13">
    <oc r="F46">
      <f>E46*D46</f>
    </oc>
    <nc r="F46">
      <f>E46*D46</f>
    </nc>
  </rcc>
  <rcc rId="57" sId="13">
    <oc r="F47">
      <f>E47*D47</f>
    </oc>
    <nc r="F47">
      <f>E47*D47</f>
    </nc>
  </rcc>
  <rcc rId="58" sId="13">
    <oc r="F48">
      <f>E48*D48</f>
    </oc>
    <nc r="F48">
      <f>E48*D48</f>
    </nc>
  </rcc>
  <rcc rId="59" sId="13">
    <oc r="F49">
      <f>E49*D49</f>
    </oc>
    <nc r="F49">
      <f>E49*D49</f>
    </nc>
  </rcc>
  <rcc rId="60" sId="13">
    <oc r="F50">
      <f>E50*D50</f>
    </oc>
    <nc r="F50">
      <f>E50*D50</f>
    </nc>
  </rcc>
  <rcc rId="61" sId="13">
    <oc r="F51">
      <f>E51*D51</f>
    </oc>
    <nc r="F51">
      <f>E51*D51</f>
    </nc>
  </rcc>
  <rcc rId="62" sId="13">
    <oc r="F52">
      <f>E52*D52</f>
    </oc>
    <nc r="F52">
      <f>E52*D52</f>
    </nc>
  </rcc>
  <rcc rId="63" sId="13">
    <oc r="F53">
      <f>E53*D53</f>
    </oc>
    <nc r="F53">
      <f>E53*D53</f>
    </nc>
  </rcc>
  <rcc rId="64" sId="13">
    <oc r="F54">
      <f>E54*D54</f>
    </oc>
    <nc r="F54">
      <f>E54*D54</f>
    </nc>
  </rcc>
  <rcc rId="65" sId="13">
    <oc r="F55">
      <f>E55*D55</f>
    </oc>
    <nc r="F55">
      <f>E55*D55</f>
    </nc>
  </rcc>
  <rcc rId="66" sId="13">
    <oc r="F56">
      <f>E56*D56</f>
    </oc>
    <nc r="F56">
      <f>E56*D56</f>
    </nc>
  </rcc>
  <rcc rId="67" sId="13">
    <oc r="F57">
      <f>E57*D57</f>
    </oc>
    <nc r="F57">
      <f>E57*D57</f>
    </nc>
  </rcc>
  <rcc rId="68" sId="13">
    <oc r="F58">
      <f>E58*D58</f>
    </oc>
    <nc r="F58">
      <f>E58*D58</f>
    </nc>
  </rcc>
  <rcc rId="69" sId="13">
    <oc r="F59">
      <f>E59*D59</f>
    </oc>
    <nc r="F59">
      <f>E59*D59</f>
    </nc>
  </rcc>
  <rcc rId="70" sId="13">
    <oc r="F60">
      <f>E60*D60</f>
    </oc>
    <nc r="F60">
      <f>E60*D60</f>
    </nc>
  </rcc>
  <rcc rId="71" sId="13">
    <oc r="F61">
      <f>E61*D61</f>
    </oc>
    <nc r="F61">
      <f>E61*D61</f>
    </nc>
  </rcc>
  <rcc rId="72" sId="13">
    <oc r="F62">
      <f>E62*D62</f>
    </oc>
    <nc r="F62">
      <f>E62*D62</f>
    </nc>
  </rcc>
  <rcc rId="73" sId="13">
    <oc r="F63">
      <f>E63*D63</f>
    </oc>
    <nc r="F63">
      <f>E63*D63</f>
    </nc>
  </rcc>
  <rcc rId="74" sId="13">
    <oc r="F64">
      <f>E64*D64</f>
    </oc>
    <nc r="F64">
      <f>E64*D64</f>
    </nc>
  </rcc>
  <rcc rId="75" sId="13">
    <oc r="F65">
      <f>E65*D65</f>
    </oc>
    <nc r="F65">
      <f>E65*D65</f>
    </nc>
  </rcc>
  <rcc rId="76" sId="13">
    <oc r="F66">
      <f>E66*D66</f>
    </oc>
    <nc r="F66">
      <f>E66*D66</f>
    </nc>
  </rcc>
  <rcc rId="77" sId="13">
    <oc r="F67">
      <f>E67*D67</f>
    </oc>
    <nc r="F67">
      <f>E67*D67</f>
    </nc>
  </rcc>
  <rcc rId="78" sId="13">
    <oc r="F68">
      <f>E68*D68</f>
    </oc>
    <nc r="F68">
      <f>E68*D68</f>
    </nc>
  </rcc>
  <rcc rId="79" sId="13">
    <oc r="F69">
      <f>E69*D69</f>
    </oc>
    <nc r="F69">
      <f>E69*D69</f>
    </nc>
  </rcc>
  <rcc rId="80" sId="13">
    <oc r="F70">
      <f>E70*D70</f>
    </oc>
    <nc r="F70">
      <f>E70*D70</f>
    </nc>
  </rcc>
  <rcc rId="81" sId="13">
    <oc r="F71">
      <f>E71*D71</f>
    </oc>
    <nc r="F71">
      <f>E71*D71</f>
    </nc>
  </rcc>
  <rcc rId="82" sId="13">
    <nc r="F72">
      <f>E72*D72</f>
    </nc>
  </rcc>
  <rcc rId="83" sId="13">
    <nc r="F73">
      <f>E73*D73</f>
    </nc>
  </rcc>
  <rcc rId="84" sId="13">
    <nc r="F74">
      <f>E74*D74</f>
    </nc>
  </rcc>
  <rcc rId="85" sId="13">
    <nc r="F75">
      <f>E75*D75</f>
    </nc>
  </rcc>
  <rcc rId="86" sId="13">
    <nc r="F76">
      <f>E76*D76</f>
    </nc>
  </rcc>
  <rcc rId="87" sId="13">
    <nc r="F77">
      <f>E77*D77</f>
    </nc>
  </rcc>
  <rcc rId="88" sId="13">
    <oc r="F78">
      <f>E78*D78</f>
    </oc>
    <nc r="F78">
      <f>E78*D78</f>
    </nc>
  </rcc>
  <rcc rId="89" sId="13">
    <oc r="F79">
      <f>E79*D79</f>
    </oc>
    <nc r="F79">
      <f>E79*D79</f>
    </nc>
  </rcc>
  <rcc rId="90" sId="13">
    <oc r="F80">
      <f>E80*D80</f>
    </oc>
    <nc r="F80">
      <f>E80*D80</f>
    </nc>
  </rcc>
  <rcc rId="91" sId="13">
    <oc r="F81">
      <f>E81*D81</f>
    </oc>
    <nc r="F81">
      <f>E81*D81</f>
    </nc>
  </rcc>
  <rcc rId="92" sId="13">
    <oc r="F82">
      <f>E82*D82</f>
    </oc>
    <nc r="F82">
      <f>E82*D82</f>
    </nc>
  </rcc>
  <rcc rId="93" sId="13">
    <oc r="F83">
      <f>E83*D83</f>
    </oc>
    <nc r="F83">
      <f>E83*D83</f>
    </nc>
  </rcc>
  <rcc rId="94" sId="13">
    <oc r="F84">
      <f>E84*D84</f>
    </oc>
    <nc r="F84">
      <f>E84*D84</f>
    </nc>
  </rcc>
  <rcc rId="95" sId="13">
    <oc r="F85">
      <f>E85*D85</f>
    </oc>
    <nc r="F85">
      <f>E85*D85</f>
    </nc>
  </rcc>
  <rcc rId="96" sId="13">
    <oc r="F86">
      <f>E86*D86</f>
    </oc>
    <nc r="F86">
      <f>E86*D86</f>
    </nc>
  </rcc>
  <rcc rId="97" sId="13">
    <oc r="F87">
      <f>E87*D87</f>
    </oc>
    <nc r="F87">
      <f>E87*D87</f>
    </nc>
  </rcc>
  <rcc rId="98" sId="13">
    <nc r="F88">
      <f>E88*D88</f>
    </nc>
  </rcc>
  <rcc rId="99" sId="13">
    <nc r="F89">
      <f>E89*D89</f>
    </nc>
  </rcc>
  <rcc rId="100" sId="13">
    <nc r="F90">
      <f>E90*D90</f>
    </nc>
  </rcc>
  <rcc rId="101" sId="13">
    <nc r="F91">
      <f>E91*D91</f>
    </nc>
  </rcc>
  <rcc rId="102" sId="13">
    <nc r="F92">
      <f>E92*D92</f>
    </nc>
  </rcc>
  <rcc rId="103" sId="13">
    <nc r="F93">
      <f>E93*D93</f>
    </nc>
  </rcc>
  <rcc rId="104" sId="13">
    <nc r="F94">
      <f>E94*D94</f>
    </nc>
  </rcc>
  <rcc rId="105" sId="13">
    <nc r="F95">
      <f>E95*D95</f>
    </nc>
  </rcc>
  <rcc rId="106" sId="13">
    <nc r="F96">
      <f>E96*D96</f>
    </nc>
  </rcc>
  <rcc rId="107" sId="13">
    <nc r="F97">
      <f>E97*D97</f>
    </nc>
  </rcc>
  <rcc rId="108" sId="13">
    <nc r="F98">
      <f>E98*D98</f>
    </nc>
  </rcc>
  <rcc rId="109" sId="13">
    <nc r="F99">
      <f>E99*D99</f>
    </nc>
  </rcc>
  <rcc rId="110" sId="13">
    <nc r="F100">
      <f>E100*D100</f>
    </nc>
  </rcc>
  <rcc rId="111" sId="13">
    <nc r="F101">
      <f>E101*D101</f>
    </nc>
  </rcc>
  <rcc rId="112" sId="13">
    <nc r="F102">
      <f>E102*D102</f>
    </nc>
  </rcc>
  <rcc rId="113" sId="13">
    <nc r="F103">
      <f>E103*D103</f>
    </nc>
  </rcc>
  <rcc rId="114" sId="13">
    <nc r="F104">
      <f>E104*D104</f>
    </nc>
  </rcc>
  <rcc rId="115" sId="13">
    <nc r="F105">
      <f>E105*D105</f>
    </nc>
  </rcc>
  <rcc rId="116" sId="13">
    <nc r="F106">
      <f>E106*D106</f>
    </nc>
  </rcc>
  <rcc rId="117" sId="13">
    <nc r="F107">
      <f>E107*D107</f>
    </nc>
  </rcc>
  <rcc rId="118" sId="13">
    <nc r="F108">
      <f>E108*D108</f>
    </nc>
  </rcc>
  <rcc rId="119" sId="13">
    <nc r="F109">
      <f>E109*D109</f>
    </nc>
  </rcc>
  <rcc rId="120" sId="13">
    <nc r="F110">
      <f>E110*D110</f>
    </nc>
  </rcc>
  <rcc rId="121" sId="13">
    <nc r="F111">
      <f>E111*D111</f>
    </nc>
  </rcc>
  <rcc rId="122" sId="13">
    <oc r="F112">
      <f>E112*D112</f>
    </oc>
    <nc r="F112">
      <f>E112*D112</f>
    </nc>
  </rcc>
  <rcc rId="123" sId="13">
    <oc r="F113">
      <f>E113*D113</f>
    </oc>
    <nc r="F113">
      <f>E113*D113</f>
    </nc>
  </rcc>
  <rcc rId="124" sId="13">
    <oc r="F114">
      <f>E114*D114</f>
    </oc>
    <nc r="F114">
      <f>E114*D114</f>
    </nc>
  </rcc>
  <rcc rId="125" sId="13">
    <oc r="F115">
      <f>E115*D115</f>
    </oc>
    <nc r="F115">
      <f>E115*D115</f>
    </nc>
  </rcc>
  <rcc rId="126" sId="13">
    <nc r="F116">
      <f>E116*D116</f>
    </nc>
  </rcc>
  <rcc rId="127" sId="13">
    <nc r="F117">
      <f>E117*D117</f>
    </nc>
  </rcc>
  <rcc rId="128" sId="13">
    <oc r="F118">
      <f>E118*D118</f>
    </oc>
    <nc r="F118">
      <f>E118*D118</f>
    </nc>
  </rcc>
  <rcc rId="129" sId="13">
    <nc r="F119">
      <f>E119*D119</f>
    </nc>
  </rcc>
  <rcc rId="130" sId="13">
    <oc r="F120">
      <f>E120*D120</f>
    </oc>
    <nc r="F120">
      <f>E120*D120</f>
    </nc>
  </rcc>
  <rcc rId="131" sId="13">
    <nc r="F121">
      <f>E121*D121</f>
    </nc>
  </rcc>
  <rcc rId="132" sId="13">
    <oc r="F122">
      <f>E122*D122</f>
    </oc>
    <nc r="F122">
      <f>E122*D122</f>
    </nc>
  </rcc>
  <rcc rId="133" sId="13">
    <nc r="F123">
      <f>E123*D123</f>
    </nc>
  </rcc>
  <rcc rId="134" sId="13">
    <oc r="F124">
      <f>E124*D124</f>
    </oc>
    <nc r="F124">
      <f>E124*D124</f>
    </nc>
  </rcc>
  <rcc rId="135" sId="13">
    <oc r="F125">
      <f>E125*D125</f>
    </oc>
    <nc r="F125">
      <f>E125*D125</f>
    </nc>
  </rcc>
  <rcc rId="136" sId="13">
    <oc r="F126">
      <f>E126*D126</f>
    </oc>
    <nc r="F126">
      <f>E126*D126</f>
    </nc>
  </rcc>
  <rcc rId="137" sId="13">
    <oc r="F127">
      <f>E127*D127</f>
    </oc>
    <nc r="F127">
      <f>E127*D127</f>
    </nc>
  </rcc>
  <rcc rId="138" sId="13">
    <oc r="F128">
      <f>E128*D128</f>
    </oc>
    <nc r="F128">
      <f>E128*D128</f>
    </nc>
  </rcc>
  <rcc rId="139" sId="13">
    <oc r="F129">
      <f>E129*D129</f>
    </oc>
    <nc r="F129">
      <f>E129*D129</f>
    </nc>
  </rcc>
  <rcc rId="140" sId="13">
    <oc r="L12">
      <f>E12*(H12+I12+J12+K12)</f>
    </oc>
    <nc r="L12">
      <f>E12*(H12+I12+J12+K12)</f>
    </nc>
  </rcc>
  <rcc rId="141" sId="13">
    <oc r="L13">
      <f>E13*(H13+I13+J13+K13)</f>
    </oc>
    <nc r="L13">
      <f>E13*(H13+I13+J13+K13)</f>
    </nc>
  </rcc>
  <rcc rId="142" sId="13">
    <oc r="L14">
      <f>E14*(H14+I14+J14+K14)</f>
    </oc>
    <nc r="L14">
      <f>E14*(H14+I14+J14+K14)</f>
    </nc>
  </rcc>
  <rcc rId="143" sId="13">
    <oc r="L15">
      <f>E15*(H15+I15+J15+K15)</f>
    </oc>
    <nc r="L15">
      <f>E15*(H15+I15+J15+K15)</f>
    </nc>
  </rcc>
  <rcc rId="144" sId="13">
    <oc r="L16">
      <f>E16*(H16+I16+J16+K16)</f>
    </oc>
    <nc r="L16">
      <f>E16*(H16+I16+J16+K16)</f>
    </nc>
  </rcc>
  <rcc rId="145" sId="13">
    <oc r="L17">
      <f>E17*(H17+I17+J17+K17)</f>
    </oc>
    <nc r="L17">
      <f>E17*(H17+I17+J17+K17)</f>
    </nc>
  </rcc>
  <rcc rId="146" sId="13">
    <oc r="L18">
      <f>E18*(H18+I18+J18+K18)</f>
    </oc>
    <nc r="L18">
      <f>E18*(H18+I18+J18+K18)</f>
    </nc>
  </rcc>
  <rcc rId="147" sId="13">
    <oc r="L19">
      <f>E19*(H19+I19+J19+K19)</f>
    </oc>
    <nc r="L19">
      <f>E19*(H19+I19+J19+K19)</f>
    </nc>
  </rcc>
  <rcc rId="148" sId="13">
    <oc r="L20">
      <f>E20*(H20+I20+J20+K20)</f>
    </oc>
    <nc r="L20">
      <f>E20*(H20+I20+J20+K20)</f>
    </nc>
  </rcc>
  <rcc rId="149" sId="13">
    <oc r="L21">
      <f>E21*(H21+I21+J21+K21)</f>
    </oc>
    <nc r="L21">
      <f>E21*(H21+I21+J21+K21)</f>
    </nc>
  </rcc>
  <rcc rId="150" sId="13">
    <oc r="L22">
      <f>E22*(H22+I22+J22+K22)</f>
    </oc>
    <nc r="L22">
      <f>E22*(H22+I22+J22+K22)</f>
    </nc>
  </rcc>
  <rcc rId="151" sId="13">
    <oc r="L23">
      <f>E23*(H23+I23+J23+K23)</f>
    </oc>
    <nc r="L23">
      <f>E23*(H23+I23+J23+K23)</f>
    </nc>
  </rcc>
  <rcc rId="152" sId="13">
    <oc r="L24">
      <f>E24*(H24+I24+J24+K24)</f>
    </oc>
    <nc r="L24">
      <f>E24*(H24+I24+J24+K24)</f>
    </nc>
  </rcc>
  <rcc rId="153" sId="13">
    <oc r="L25">
      <f>E25*(H25+I25+J25+K25)</f>
    </oc>
    <nc r="L25">
      <f>E25*(H25+I25+J25+K25)</f>
    </nc>
  </rcc>
  <rcc rId="154" sId="13">
    <oc r="L26">
      <f>E26*(H26+I26+J26+K26)</f>
    </oc>
    <nc r="L26">
      <f>E26*(H26+I26+J26+K26)</f>
    </nc>
  </rcc>
  <rcc rId="155" sId="13">
    <oc r="L27">
      <f>E27*(H27+I27+J27+K27)</f>
    </oc>
    <nc r="L27">
      <f>E27*(H27+I27+J27+K27)</f>
    </nc>
  </rcc>
  <rcc rId="156" sId="13">
    <oc r="L28">
      <f>E28*(H28+I28+J28+K28)</f>
    </oc>
    <nc r="L28">
      <f>E28*(H28+I28+J28+K28)</f>
    </nc>
  </rcc>
  <rcc rId="157" sId="13">
    <oc r="L29">
      <f>E29*(H29+I29+J29+K29)</f>
    </oc>
    <nc r="L29">
      <f>E29*(H29+I29+J29+K29)</f>
    </nc>
  </rcc>
  <rcc rId="158" sId="13">
    <oc r="L30">
      <f>E30*(H30+I30+J30+K30)</f>
    </oc>
    <nc r="L30">
      <f>E30*(H30+I30+J30+K30)</f>
    </nc>
  </rcc>
  <rcc rId="159" sId="13">
    <oc r="L31">
      <f>E31*(H31+I31+J31+K31)</f>
    </oc>
    <nc r="L31">
      <f>E31*(H31+I31+J31+K31)</f>
    </nc>
  </rcc>
  <rcc rId="160" sId="13">
    <oc r="L32">
      <f>E32*(H32+I32+J32+K32)</f>
    </oc>
    <nc r="L32">
      <f>E32*(H32+I32+J32+K32)</f>
    </nc>
  </rcc>
  <rcc rId="161" sId="13">
    <oc r="L33">
      <f>E33*(H33+I33+J33+K33)</f>
    </oc>
    <nc r="L33">
      <f>E33*(H33+I33+J33+K33)</f>
    </nc>
  </rcc>
  <rcc rId="162" sId="13">
    <oc r="L34">
      <f>E34*(H34+I34+J34+K34)</f>
    </oc>
    <nc r="L34">
      <f>E34*(H34+I34+J34+K34)</f>
    </nc>
  </rcc>
  <rcc rId="163" sId="13">
    <oc r="L35">
      <f>E35*(H35+I35+J35+K35)</f>
    </oc>
    <nc r="L35">
      <f>E35*(H35+I35+J35+K35)</f>
    </nc>
  </rcc>
  <rcc rId="164" sId="13">
    <oc r="L36">
      <f>E36*(H36+I36+J36+K36)</f>
    </oc>
    <nc r="L36">
      <f>E36*(H36+I36+J36+K36)</f>
    </nc>
  </rcc>
  <rcc rId="165" sId="13">
    <oc r="L37">
      <f>E37*(H37+I37+J37+K37)</f>
    </oc>
    <nc r="L37">
      <f>E37*(H37+I37+J37+K37)</f>
    </nc>
  </rcc>
  <rcc rId="166" sId="13">
    <oc r="L38">
      <f>E38*(H38+I38+J38+K38)</f>
    </oc>
    <nc r="L38">
      <f>E38*(H38+I38+J38+K38)</f>
    </nc>
  </rcc>
  <rcc rId="167" sId="13">
    <oc r="L39">
      <f>E39*(H39+I39+J39+K39)</f>
    </oc>
    <nc r="L39">
      <f>E39*(H39+I39+J39+K39)</f>
    </nc>
  </rcc>
  <rcc rId="168" sId="13">
    <oc r="L40">
      <f>E40*(H40+I40+J40+K40)</f>
    </oc>
    <nc r="L40">
      <f>E40*(H40+I40+J40+K40)</f>
    </nc>
  </rcc>
  <rcc rId="169" sId="13">
    <oc r="L41">
      <f>E41*(H41+I41+J41+K41)</f>
    </oc>
    <nc r="L41">
      <f>E41*(H41+I41+J41+K41)</f>
    </nc>
  </rcc>
  <rcc rId="170" sId="13">
    <oc r="L42">
      <f>E42*(H42+I42+J42+K42)</f>
    </oc>
    <nc r="L42">
      <f>E42*(H42+I42+J42+K42)</f>
    </nc>
  </rcc>
  <rcc rId="171" sId="13">
    <oc r="L43">
      <f>E43*(H43+I43+J43+K43)</f>
    </oc>
    <nc r="L43">
      <f>E43*(H43+I43+J43+K43)</f>
    </nc>
  </rcc>
  <rcc rId="172" sId="13">
    <oc r="L44">
      <f>E44*(H44+I44+J44+K44)</f>
    </oc>
    <nc r="L44">
      <f>E44*(H44+I44+J44+K44)</f>
    </nc>
  </rcc>
  <rcc rId="173" sId="13">
    <oc r="L45">
      <f>E45*(H45+I45+J45+K45)</f>
    </oc>
    <nc r="L45">
      <f>E45*(H45+I45+J45+K45)</f>
    </nc>
  </rcc>
  <rcc rId="174" sId="13">
    <oc r="L46">
      <f>E46*(H46+I46+J46+K46)</f>
    </oc>
    <nc r="L46">
      <f>E46*(H46+I46+J46+K46)</f>
    </nc>
  </rcc>
  <rcc rId="175" sId="13">
    <oc r="L47">
      <f>E47*(H47+I47+J47+K47)</f>
    </oc>
    <nc r="L47">
      <f>E47*(H47+I47+J47+K47)</f>
    </nc>
  </rcc>
  <rcc rId="176" sId="13">
    <oc r="L48">
      <f>E48*(H48+I48+J48+K48)</f>
    </oc>
    <nc r="L48">
      <f>E48*(H48+I48+J48+K48)</f>
    </nc>
  </rcc>
  <rcc rId="177" sId="13">
    <oc r="L49">
      <f>E49*(H49+I49+J49+K49)</f>
    </oc>
    <nc r="L49">
      <f>E49*(H49+I49+J49+K49)</f>
    </nc>
  </rcc>
  <rcc rId="178" sId="13">
    <oc r="L50">
      <f>E50*(H50+I50+J50+K50)</f>
    </oc>
    <nc r="L50">
      <f>E50*(H50+I50+J50+K50)</f>
    </nc>
  </rcc>
  <rcc rId="179" sId="13">
    <oc r="L51">
      <f>E51*(H51+I51+J51+K51)</f>
    </oc>
    <nc r="L51">
      <f>E51*(H51+I51+J51+K51)</f>
    </nc>
  </rcc>
  <rcc rId="180" sId="13">
    <oc r="L52">
      <f>E52*(H52+I52+J52+K52)</f>
    </oc>
    <nc r="L52">
      <f>E52*(H52+I52+J52+K52)</f>
    </nc>
  </rcc>
  <rcc rId="181" sId="13">
    <oc r="L53">
      <f>E53*(H53+I53+J53+K53)</f>
    </oc>
    <nc r="L53">
      <f>E53*(H53+I53+J53+K53)</f>
    </nc>
  </rcc>
  <rcc rId="182" sId="13">
    <oc r="L54">
      <f>E54*(H54+I54+J54+K54)</f>
    </oc>
    <nc r="L54">
      <f>E54*(H54+I54+J54+K54)</f>
    </nc>
  </rcc>
  <rcc rId="183" sId="13">
    <oc r="L55">
      <f>E55*(H55+I55+J55+K55)</f>
    </oc>
    <nc r="L55">
      <f>E55*(H55+I55+J55+K55)</f>
    </nc>
  </rcc>
  <rcc rId="184" sId="13">
    <oc r="L56">
      <f>E56*(H56+I56+J56+K56)</f>
    </oc>
    <nc r="L56">
      <f>E56*(H56+I56+J56+K56)</f>
    </nc>
  </rcc>
  <rcc rId="185" sId="13">
    <oc r="L57">
      <f>E57*(H57+I57+J57+K57)</f>
    </oc>
    <nc r="L57">
      <f>E57*(H57+I57+J57+K57)</f>
    </nc>
  </rcc>
  <rcc rId="186" sId="13">
    <oc r="L58">
      <f>E58*(H58+I58+J58+K58)</f>
    </oc>
    <nc r="L58">
      <f>E58*(H58+I58+J58+K58)</f>
    </nc>
  </rcc>
  <rcc rId="187" sId="13">
    <oc r="L59">
      <f>E59*(H59+I59+J59+K59)</f>
    </oc>
    <nc r="L59">
      <f>E59*(H59+I59+J59+K59)</f>
    </nc>
  </rcc>
  <rcc rId="188" sId="13">
    <oc r="L60">
      <f>E60*(H60+I60+J60+K60)</f>
    </oc>
    <nc r="L60">
      <f>E60*(H60+I60+J60+K60)</f>
    </nc>
  </rcc>
  <rcc rId="189" sId="13">
    <oc r="L61">
      <f>E61*(H61+I61+J61+K61)</f>
    </oc>
    <nc r="L61">
      <f>E61*(H61+I61+J61+K61)</f>
    </nc>
  </rcc>
  <rcc rId="190" sId="13">
    <oc r="L62">
      <f>E62*(H62+I62+J62+K62)</f>
    </oc>
    <nc r="L62">
      <f>E62*(H62+I62+J62+K62)</f>
    </nc>
  </rcc>
  <rcc rId="191" sId="13">
    <oc r="L63">
      <f>E63*(H63+I63+J63+K63)</f>
    </oc>
    <nc r="L63">
      <f>E63*(H63+I63+J63+K63)</f>
    </nc>
  </rcc>
  <rcc rId="192" sId="13">
    <oc r="L64">
      <f>E64*(H64+I64+J64+K64)</f>
    </oc>
    <nc r="L64">
      <f>E64*(H64+I64+J64+K64)</f>
    </nc>
  </rcc>
  <rcc rId="193" sId="13">
    <oc r="L65">
      <f>E65*(H65+I65+J65+K65)</f>
    </oc>
    <nc r="L65">
      <f>E65*(H65+I65+J65+K65)</f>
    </nc>
  </rcc>
  <rcc rId="194" sId="13">
    <oc r="L66">
      <f>E66*(H66+I66+J66+K66)</f>
    </oc>
    <nc r="L66">
      <f>E66*(H66+I66+J66+K66)</f>
    </nc>
  </rcc>
  <rcc rId="195" sId="13">
    <oc r="L67">
      <f>E67*(H67+I67+J67+K67)</f>
    </oc>
    <nc r="L67">
      <f>E67*(H67+I67+J67+K67)</f>
    </nc>
  </rcc>
  <rcc rId="196" sId="13">
    <oc r="L68">
      <f>E68*(H68+I68+J68+K68)</f>
    </oc>
    <nc r="L68">
      <f>E68*(H68+I68+J68+K68)</f>
    </nc>
  </rcc>
  <rcc rId="197" sId="13">
    <oc r="L69">
      <f>E69*(H69+I69+J69+K69)</f>
    </oc>
    <nc r="L69">
      <f>E69*(H69+I69+J69+K69)</f>
    </nc>
  </rcc>
  <rcc rId="198" sId="13">
    <oc r="L70">
      <f>E70*(H70+I70+J70+K70)</f>
    </oc>
    <nc r="L70">
      <f>E70*(H70+I70+J70+K70)</f>
    </nc>
  </rcc>
  <rcc rId="199" sId="13">
    <oc r="L71">
      <f>E71*(H71+I71+J71+K71)</f>
    </oc>
    <nc r="L71">
      <f>E71*(H71+I71+J71+K71)</f>
    </nc>
  </rcc>
  <rcc rId="200" sId="13">
    <oc r="L72">
      <f>E72*(H72+I72+J72+K72)</f>
    </oc>
    <nc r="L72">
      <f>E72*(H72+I72+J72+K72)</f>
    </nc>
  </rcc>
  <rcc rId="201" sId="13">
    <oc r="L73">
      <f>E73*(H73+I73+J73+K73)</f>
    </oc>
    <nc r="L73">
      <f>E73*(H73+I73+J73+K73)</f>
    </nc>
  </rcc>
  <rcc rId="202" sId="13">
    <oc r="L74">
      <f>E74*(H74+I74+J74+K74)</f>
    </oc>
    <nc r="L74">
      <f>E74*(H74+I74+J74+K74)</f>
    </nc>
  </rcc>
  <rcc rId="203" sId="13">
    <oc r="L75">
      <f>E75*(H75+I75+J75+K75)</f>
    </oc>
    <nc r="L75">
      <f>E75*(H75+I75+J75+K75)</f>
    </nc>
  </rcc>
  <rcc rId="204" sId="13">
    <nc r="L76">
      <f>E76*(H76+I76+J76+K76)</f>
    </nc>
  </rcc>
  <rcc rId="205" sId="13">
    <nc r="L77">
      <f>E77*(H77+I77+J77+K77)</f>
    </nc>
  </rcc>
  <rcc rId="206" sId="13">
    <oc r="L78">
      <f>E78*(H78+I78+J78+K78)</f>
    </oc>
    <nc r="L78">
      <f>E78*(H78+I78+J78+K78)</f>
    </nc>
  </rcc>
  <rcc rId="207" sId="13">
    <oc r="L79">
      <f>E79*(H79+I79+J79+K79)</f>
    </oc>
    <nc r="L79">
      <f>E79*(H79+I79+J79+K79)</f>
    </nc>
  </rcc>
  <rcc rId="208" sId="13">
    <oc r="L80">
      <f>E80*(H80+I80+J80+K80)</f>
    </oc>
    <nc r="L80">
      <f>E80*(H80+I80+J80+K80)</f>
    </nc>
  </rcc>
  <rcc rId="209" sId="13">
    <oc r="L81">
      <f>E81*(H81+I81+J81+K81)</f>
    </oc>
    <nc r="L81">
      <f>E81*(H81+I81+J81+K81)</f>
    </nc>
  </rcc>
  <rcc rId="210" sId="13">
    <oc r="L82">
      <f>E82*(H82+I82+J82+K82)</f>
    </oc>
    <nc r="L82">
      <f>E82*(H82+I82+J82+K82)</f>
    </nc>
  </rcc>
  <rcc rId="211" sId="13">
    <oc r="L83">
      <f>E83*(H83+I83+J83+K83)</f>
    </oc>
    <nc r="L83">
      <f>E83*(H83+I83+J83+K83)</f>
    </nc>
  </rcc>
  <rcc rId="212" sId="13">
    <oc r="L84">
      <f>E84*(H84+I84+J84+K84)</f>
    </oc>
    <nc r="L84">
      <f>E84*(H84+I84+J84+K84)</f>
    </nc>
  </rcc>
  <rcc rId="213" sId="13">
    <oc r="L85">
      <f>E85*(H85+I85+J85+K85)</f>
    </oc>
    <nc r="L85">
      <f>E85*(H85+I85+J85+K85)</f>
    </nc>
  </rcc>
  <rcc rId="214" sId="13">
    <oc r="L86">
      <f>E86*(H86+I86+J86+K86)</f>
    </oc>
    <nc r="L86">
      <f>E86*(H86+I86+J86+K86)</f>
    </nc>
  </rcc>
  <rcc rId="215" sId="13">
    <oc r="L87">
      <f>E87*(H87+I87+J87+K87)</f>
    </oc>
    <nc r="L87">
      <f>E87*(H87+I87+J87+K87)</f>
    </nc>
  </rcc>
  <rcc rId="216" sId="13">
    <oc r="L88">
      <f>E88*(H88+I88+J88+K88)</f>
    </oc>
    <nc r="L88">
      <f>E88*(H88+I88+J88+K88)</f>
    </nc>
  </rcc>
  <rcc rId="217" sId="13">
    <oc r="L89">
      <f>E89*(H89+I89+J89+K89)</f>
    </oc>
    <nc r="L89">
      <f>E89*(H89+I89+J89+K89)</f>
    </nc>
  </rcc>
  <rcc rId="218" sId="13">
    <oc r="L90">
      <f>E90*(H90+I90+J90+K90)</f>
    </oc>
    <nc r="L90">
      <f>E90*(H90+I90+J90+K90)</f>
    </nc>
  </rcc>
  <rcc rId="219" sId="13">
    <oc r="L91">
      <f>E91*(H91+I91+J91+K91)</f>
    </oc>
    <nc r="L91">
      <f>E91*(H91+I91+J91+K91)</f>
    </nc>
  </rcc>
  <rcc rId="220" sId="13">
    <oc r="L92">
      <f>E92*(H92+I92+J92+K92)</f>
    </oc>
    <nc r="L92">
      <f>E92*(H92+I92+J92+K92)</f>
    </nc>
  </rcc>
  <rcc rId="221" sId="13">
    <oc r="L93">
      <f>E93*(H93+I93+J93+K93)</f>
    </oc>
    <nc r="L93">
      <f>E93*(H93+I93+J93+K93)</f>
    </nc>
  </rcc>
  <rcc rId="222" sId="13">
    <oc r="L94">
      <f>E94*(H94+I94+J94+K94)</f>
    </oc>
    <nc r="L94">
      <f>E94*(H94+I94+J94+K94)</f>
    </nc>
  </rcc>
  <rcc rId="223" sId="13">
    <oc r="L95">
      <f>E95*(H95+I95+J95+K95)</f>
    </oc>
    <nc r="L95">
      <f>E95*(H95+I95+J95+K95)</f>
    </nc>
  </rcc>
  <rcc rId="224" sId="13">
    <oc r="L96">
      <f>E96*(H96+I96+J96+K96)</f>
    </oc>
    <nc r="L96">
      <f>E96*(H96+I96+J96+K96)</f>
    </nc>
  </rcc>
  <rcc rId="225" sId="13">
    <oc r="L97">
      <f>E97*(H97+I97+J97+K97)</f>
    </oc>
    <nc r="L97">
      <f>E97*(H97+I97+J97+K97)</f>
    </nc>
  </rcc>
  <rcc rId="226" sId="13">
    <oc r="L98">
      <f>E98*(H98+I98+J98+K98)</f>
    </oc>
    <nc r="L98">
      <f>E98*(H98+I98+J98+K98)</f>
    </nc>
  </rcc>
  <rcc rId="227" sId="13">
    <oc r="L99">
      <f>E99*(H99+I99+J99+K99)</f>
    </oc>
    <nc r="L99">
      <f>E99*(H99+I99+J99+K99)</f>
    </nc>
  </rcc>
  <rcc rId="228" sId="13">
    <oc r="L100">
      <f>E100*(H100+I100+J100+K100)</f>
    </oc>
    <nc r="L100">
      <f>E100*(H100+I100+J100+K100)</f>
    </nc>
  </rcc>
  <rcc rId="229" sId="13">
    <oc r="L101">
      <f>E101*(H101+I101+J101+K101)</f>
    </oc>
    <nc r="L101">
      <f>E101*(H101+I101+J101+K101)</f>
    </nc>
  </rcc>
  <rcc rId="230" sId="13">
    <oc r="L102">
      <f>E102*(H102+I102+J102+K102)</f>
    </oc>
    <nc r="L102">
      <f>E102*(H102+I102+J102+K102)</f>
    </nc>
  </rcc>
  <rcc rId="231" sId="13">
    <oc r="L103">
      <f>E103*(H103+I103+J103+K103)</f>
    </oc>
    <nc r="L103">
      <f>E103*(H103+I103+J103+K103)</f>
    </nc>
  </rcc>
  <rcc rId="232" sId="13">
    <oc r="L104">
      <f>E104*(H104+I104+J104+K104)</f>
    </oc>
    <nc r="L104">
      <f>E104*(H104+I104+J104+K104)</f>
    </nc>
  </rcc>
  <rcc rId="233" sId="13">
    <oc r="L105">
      <f>E105*(H105+I105+J105+K105)</f>
    </oc>
    <nc r="L105">
      <f>E105*(H105+I105+J105+K105)</f>
    </nc>
  </rcc>
  <rcc rId="234" sId="13">
    <oc r="L106">
      <f>E106*(H106+I106+J106+K106)</f>
    </oc>
    <nc r="L106">
      <f>E106*(H106+I106+J106+K106)</f>
    </nc>
  </rcc>
  <rcc rId="235" sId="13">
    <oc r="L107">
      <f>E107*(H107+I107+J107+K107)</f>
    </oc>
    <nc r="L107">
      <f>E107*(H107+I107+J107+K107)</f>
    </nc>
  </rcc>
  <rcc rId="236" sId="13">
    <oc r="L108">
      <f>E108*(H108+I108+J108+K108)</f>
    </oc>
    <nc r="L108">
      <f>E108*(H108+I108+J108+K108)</f>
    </nc>
  </rcc>
  <rcc rId="237" sId="13">
    <oc r="L109">
      <f>E109*(H109+I109+J109+K109)</f>
    </oc>
    <nc r="L109">
      <f>E109*(H109+I109+J109+K109)</f>
    </nc>
  </rcc>
  <rcc rId="238" sId="13">
    <oc r="L110">
      <f>E110*(H110+I110+J110+K110)</f>
    </oc>
    <nc r="L110">
      <f>E110*(H110+I110+J110+K110)</f>
    </nc>
  </rcc>
  <rcc rId="239" sId="13">
    <oc r="L111">
      <f>E111*(H111+I111+J111+K111)</f>
    </oc>
    <nc r="L111">
      <f>E111*(H111+I111+J111+K111)</f>
    </nc>
  </rcc>
  <rcc rId="240" sId="13">
    <oc r="L112">
      <f>E112*(H112+I112+J112+K112)</f>
    </oc>
    <nc r="L112">
      <f>E112*(H112+I112+J112+K112)</f>
    </nc>
  </rcc>
  <rcc rId="241" sId="13">
    <oc r="L113">
      <f>E113*(H113+I113+J113+K113)</f>
    </oc>
    <nc r="L113">
      <f>E113*(H113+I113+J113+K113)</f>
    </nc>
  </rcc>
  <rcc rId="242" sId="13">
    <oc r="L114">
      <f>E114*(H114+I114+J114+K114)</f>
    </oc>
    <nc r="L114">
      <f>E114*(H114+I114+J114+K114)</f>
    </nc>
  </rcc>
  <rcc rId="243" sId="13">
    <oc r="L115">
      <f>E115*(H115+I115+J115+K115)</f>
    </oc>
    <nc r="L115">
      <f>E115*(H115+I115+J115+K115)</f>
    </nc>
  </rcc>
  <rcc rId="244" sId="13">
    <oc r="L116">
      <f>E116*(H116+I116+J116+K116)</f>
    </oc>
    <nc r="L116">
      <f>E116*(H116+I116+J116+K116)</f>
    </nc>
  </rcc>
  <rcc rId="245" sId="13">
    <oc r="L117">
      <f>E117*(H117+I117+J117+K117)</f>
    </oc>
    <nc r="L117">
      <f>E117*(H117+I117+J117+K117)</f>
    </nc>
  </rcc>
  <rcc rId="246" sId="13">
    <oc r="L118">
      <f>E118*(H118+I118+J118+K118)</f>
    </oc>
    <nc r="L118">
      <f>E118*(H118+I118+J118+K118)</f>
    </nc>
  </rcc>
  <rcc rId="247" sId="13">
    <oc r="L119">
      <f>E119*(H119+I119+J119+K119)</f>
    </oc>
    <nc r="L119">
      <f>E119*(H119+I119+J119+K119)</f>
    </nc>
  </rcc>
  <rcc rId="248" sId="13">
    <oc r="L120">
      <f>E120*(H120+I120+J120+K120)</f>
    </oc>
    <nc r="L120">
      <f>E120*(H120+I120+J120+K120)</f>
    </nc>
  </rcc>
  <rcc rId="249" sId="13">
    <oc r="L121">
      <f>E121*(H121+I121+J121+K121)</f>
    </oc>
    <nc r="L121">
      <f>E121*(H121+I121+J121+K121)</f>
    </nc>
  </rcc>
  <rcc rId="250" sId="13">
    <oc r="L122">
      <f>E122*(H122+I122+J122+K122)</f>
    </oc>
    <nc r="L122">
      <f>E122*(H122+I122+J122+K122)</f>
    </nc>
  </rcc>
  <rcc rId="251" sId="13">
    <oc r="L123">
      <f>E123*(H123+I123+J123+K123)</f>
    </oc>
    <nc r="L123">
      <f>E123*(H123+I123+J123+K123)</f>
    </nc>
  </rcc>
  <rcc rId="252" sId="13">
    <oc r="L124">
      <f>E124*(H124+I124+J124+K124)</f>
    </oc>
    <nc r="L124">
      <f>E124*(H124+I124+J124+K124)</f>
    </nc>
  </rcc>
  <rcc rId="253" sId="13">
    <oc r="L125">
      <f>E125*(H125+I125+J125+K125)</f>
    </oc>
    <nc r="L125">
      <f>E125*(H125+I125+J125+K125)</f>
    </nc>
  </rcc>
  <rcc rId="254" sId="13">
    <oc r="L126">
      <f>E126*(H126+I126+J126+K126)</f>
    </oc>
    <nc r="L126">
      <f>E126*(H126+I126+J126+K126)</f>
    </nc>
  </rcc>
  <rcc rId="255" sId="13">
    <oc r="L127">
      <f>E127*(H127+I127+J127+K127)</f>
    </oc>
    <nc r="L127">
      <f>E127*(H127+I127+J127+K127)</f>
    </nc>
  </rcc>
  <rcc rId="256" sId="13">
    <oc r="L128">
      <f>E128*(H128+I128+J128+K128)</f>
    </oc>
    <nc r="L128">
      <f>E128*(H128+I128+J128+K128)</f>
    </nc>
  </rcc>
  <rfmt sheetId="13" sqref="H13:H16">
    <dxf>
      <fill>
        <patternFill patternType="none">
          <bgColor auto="1"/>
        </patternFill>
      </fill>
    </dxf>
  </rfmt>
  <rrc rId="257" sId="13" ref="A55:XFD55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55:XFD55" start="0" length="0">
      <dxf>
        <font>
          <sz val="10"/>
          <color indexed="8"/>
          <name val="Arial"/>
          <scheme val="none"/>
        </font>
      </dxf>
    </rfmt>
    <rfmt sheetId="13" sqref="A55" start="0" length="0">
      <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B55" start="0" length="0">
      <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55" start="0" length="0">
      <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dxf>
    </rfmt>
    <rfmt sheetId="13" sqref="D55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55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s="1" dxf="1">
      <nc r="F55">
        <f>E55*D55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5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5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5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5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5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55">
        <f>E55*(H55+I55+J55+K55)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55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55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55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55" start="0" length="0">
      <dxf/>
    </rfmt>
    <rcc rId="0" sId="13">
      <nc r="S55">
        <f>H55*E55</f>
      </nc>
    </rcc>
    <rcc rId="0" sId="13">
      <nc r="T55">
        <f>I55*E55</f>
      </nc>
    </rcc>
    <rcc rId="0" sId="13">
      <nc r="U55">
        <f>J55*E55</f>
      </nc>
    </rcc>
    <rcc rId="0" sId="13">
      <nc r="V55">
        <f>K55*E55</f>
      </nc>
    </rcc>
  </rrc>
  <rrc rId="258" sId="13" ref="A55:XFD55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55:XFD55" start="0" length="0">
      <dxf>
        <font>
          <sz val="10"/>
          <color indexed="8"/>
          <name val="Arial"/>
          <scheme val="none"/>
        </font>
      </dxf>
    </rfmt>
    <rfmt sheetId="13" sqref="A55" start="0" length="0">
      <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B55" start="0" length="0">
      <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55" start="0" length="0">
      <dxf>
        <font>
          <sz val="10"/>
          <color indexed="8"/>
          <name val="Arial"/>
          <scheme val="none"/>
        </font>
        <border outline="0">
          <top style="thin">
            <color indexed="64"/>
          </top>
          <bottom style="thin">
            <color indexed="64"/>
          </bottom>
        </border>
      </dxf>
    </rfmt>
    <rfmt sheetId="13" sqref="D55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55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s="1" dxf="1">
      <nc r="F55">
        <f>E55*D55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5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5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5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5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5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55">
        <f>E55*(H55+I55+J55+K55)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55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55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55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55" start="0" length="0">
      <dxf/>
    </rfmt>
  </rrc>
  <rrc rId="259" sId="13" ref="A55:XFD55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55:XFD55" start="0" length="0">
      <dxf>
        <font>
          <sz val="10"/>
          <color indexed="8"/>
          <name val="Arial"/>
          <scheme val="none"/>
        </font>
      </dxf>
    </rfmt>
    <rfmt sheetId="13" sqref="A55" start="0" length="0">
      <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B55" start="0" length="0">
      <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55" start="0" length="0">
      <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dxf>
    </rfmt>
    <rfmt sheetId="13" sqref="D55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55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s="1" dxf="1">
      <nc r="F55">
        <f>E55*D55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5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5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5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5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5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55">
        <f>E55*(H55+I55+J55+K55)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55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55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55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55" start="0" length="0">
      <dxf/>
    </rfmt>
  </rrc>
  <rrc rId="260" sId="13" ref="A55:XFD55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55:XFD55" start="0" length="0">
      <dxf>
        <font>
          <sz val="10"/>
          <color indexed="8"/>
          <name val="Arial"/>
          <scheme val="none"/>
        </font>
      </dxf>
    </rfmt>
    <rfmt sheetId="13" sqref="A55" start="0" length="0">
      <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B55" start="0" length="0">
      <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55" start="0" length="0">
      <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dxf>
    </rfmt>
    <rfmt sheetId="13" sqref="D55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55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s="1" dxf="1">
      <nc r="F55">
        <f>E55*D55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5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5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5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5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55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55">
        <f>E55*(H55+I55+J55+K55)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55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55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55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55" start="0" length="0">
      <dxf/>
    </rfmt>
    <rcc rId="0" sId="13">
      <nc r="S55">
        <f>H55*E55</f>
      </nc>
    </rcc>
    <rcc rId="0" sId="13">
      <nc r="T55">
        <f>I55*E55</f>
      </nc>
    </rcc>
    <rcc rId="0" sId="13">
      <nc r="U55">
        <f>J55*E55</f>
      </nc>
    </rcc>
    <rcc rId="0" sId="13">
      <nc r="V55">
        <f>K55*E55</f>
      </nc>
    </rcc>
  </rrc>
  <rrc rId="261" sId="13" ref="A57:XFD57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57:XFD57" start="0" length="0">
      <dxf>
        <font>
          <sz val="10"/>
          <color indexed="8"/>
          <name val="Arial"/>
          <scheme val="none"/>
        </font>
      </dxf>
    </rfmt>
    <rfmt sheetId="13" sqref="A57" start="0" length="0">
      <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B57" start="0" length="0">
      <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57" start="0" length="0">
      <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dxf>
    </rfmt>
    <rfmt sheetId="13" sqref="D57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57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s="1" dxf="1">
      <nc r="F57">
        <f>E57*D57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57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57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57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57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57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57">
        <f>E57*(H57+I57+J57+K57)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57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57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57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57" start="0" length="0">
      <dxf/>
    </rfmt>
    <rcc rId="0" sId="13">
      <nc r="S57">
        <f>H57*E57</f>
      </nc>
    </rcc>
    <rcc rId="0" sId="13">
      <nc r="T57">
        <f>I57*E57</f>
      </nc>
    </rcc>
    <rcc rId="0" sId="13">
      <nc r="U57">
        <f>J57*E57</f>
      </nc>
    </rcc>
    <rcc rId="0" sId="13">
      <nc r="V57">
        <f>K57*E57</f>
      </nc>
    </rcc>
  </rrc>
  <rrc rId="262" sId="13" ref="A68:XFD68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68:XFD68" start="0" length="0">
      <dxf>
        <font>
          <sz val="10"/>
          <color indexed="8"/>
          <name val="Arial"/>
          <scheme val="none"/>
        </font>
      </dxf>
    </rfmt>
    <rfmt sheetId="13" sqref="A68" start="0" length="0">
      <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B68" start="0" length="0">
      <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68" start="0" length="0">
      <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dxf>
    </rfmt>
    <rfmt sheetId="13" sqref="D68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68" start="0" length="0">
      <dxf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s="1" dxf="1">
      <nc r="F68">
        <f>E68*D68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68">
        <f>E68*(H68+I68+J68+K68)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68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68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68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68" start="0" length="0">
      <dxf/>
    </rfmt>
  </rrc>
  <rrc rId="263" sId="13" ref="A68:XFD68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68:XFD68" start="0" length="0">
      <dxf>
        <font>
          <sz val="10"/>
          <color indexed="8"/>
          <name val="Arial"/>
          <scheme val="none"/>
        </font>
      </dxf>
    </rfmt>
    <rfmt sheetId="13" sqref="A68" start="0" length="0">
      <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B68" start="0" length="0">
      <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68" start="0" length="0">
      <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dxf>
    </rfmt>
    <rfmt sheetId="13" sqref="D68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68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s="1" dxf="1">
      <nc r="F68">
        <f>E68*D68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68">
        <f>E68*(H68+I68+J68+K68)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68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68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68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68" start="0" length="0">
      <dxf/>
    </rfmt>
  </rrc>
  <rrc rId="264" sId="13" ref="A68:XFD68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68:XFD68" start="0" length="0">
      <dxf>
        <font>
          <sz val="10"/>
          <color indexed="8"/>
          <name val="Arial"/>
          <scheme val="none"/>
        </font>
      </dxf>
    </rfmt>
    <rfmt sheetId="13" sqref="A68" start="0" length="0">
      <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B68" start="0" length="0">
      <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68" start="0" length="0">
      <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dxf>
    </rfmt>
    <rfmt sheetId="13" sqref="D68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68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s="1" dxf="1">
      <nc r="F68">
        <f>E68*D68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68">
        <f>E68*(H68+I68+J68+K68)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68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68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68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68" start="0" length="0">
      <dxf/>
    </rfmt>
  </rrc>
  <rrc rId="265" sId="13" ref="A68:XFD68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68:XFD68" start="0" length="0">
      <dxf>
        <font>
          <sz val="10"/>
          <color indexed="8"/>
          <name val="Arial"/>
          <scheme val="none"/>
        </font>
      </dxf>
    </rfmt>
    <rfmt sheetId="13" sqref="A68" start="0" length="0">
      <dxf>
        <font>
          <sz val="10"/>
          <color indexed="8"/>
          <name val="Arial"/>
          <scheme val="none"/>
        </font>
        <numFmt numFmtId="30" formatCode="@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13" sqref="B68" start="0" length="0">
      <dxf>
        <font>
          <sz val="10"/>
          <color indexed="8"/>
          <name val="Arial"/>
          <scheme val="none"/>
        </font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68" start="0" length="0">
      <dxf>
        <font>
          <sz val="10"/>
          <color indexed="8"/>
          <name val="Arial"/>
          <scheme val="none"/>
        </font>
        <border outline="0">
          <top style="thin">
            <color indexed="64"/>
          </top>
          <bottom style="thin">
            <color indexed="64"/>
          </bottom>
        </border>
      </dxf>
    </rfmt>
    <rfmt sheetId="13" sqref="D68" start="0" length="0">
      <dxf>
        <font>
          <sz val="10"/>
          <color indexed="8"/>
          <name val="Arial"/>
          <scheme val="none"/>
        </font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68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s="1" dxf="1">
      <nc r="F68">
        <f>E68*D68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68">
        <f>E68*(H68+I68+J68+K68)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68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68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68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68" start="0" length="0">
      <dxf/>
    </rfmt>
  </rrc>
  <rrc rId="266" sId="13" ref="A68:XFD68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68:XFD68" start="0" length="0">
      <dxf>
        <font>
          <sz val="10"/>
          <color indexed="8"/>
          <name val="Arial"/>
          <scheme val="none"/>
        </font>
      </dxf>
    </rfmt>
    <rfmt sheetId="13" sqref="A68" start="0" length="0">
      <dxf>
        <font>
          <sz val="10"/>
          <color indexed="8"/>
          <name val="Arial"/>
          <scheme val="none"/>
        </font>
        <numFmt numFmtId="30" formatCode="@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13" sqref="B68" start="0" length="0">
      <dxf>
        <font>
          <sz val="10"/>
          <color indexed="8"/>
          <name val="Arial"/>
          <scheme val="none"/>
        </font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68" start="0" length="0">
      <dxf>
        <font>
          <sz val="10"/>
          <color indexed="8"/>
          <name val="Arial"/>
          <scheme val="none"/>
        </font>
        <border outline="0">
          <top style="thin">
            <color indexed="64"/>
          </top>
          <bottom style="thin">
            <color indexed="64"/>
          </bottom>
        </border>
      </dxf>
    </rfmt>
    <rfmt sheetId="13" sqref="D68" start="0" length="0">
      <dxf>
        <font>
          <sz val="10"/>
          <color indexed="8"/>
          <name val="Arial"/>
          <scheme val="none"/>
        </font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68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s="1" dxf="1">
      <nc r="F68">
        <f>E68*D68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68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68">
        <f>E68*(H68+I68+J68+K68)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68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68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68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68" start="0" length="0">
      <dxf/>
    </rfmt>
  </rrc>
  <rcc rId="267" sId="13">
    <nc r="D68">
      <v>150</v>
    </nc>
  </rcc>
  <rcc rId="268" sId="13">
    <nc r="D69">
      <v>150</v>
    </nc>
  </rcc>
  <rcc rId="269" sId="13" numFmtId="11">
    <nc r="E53">
      <v>44000</v>
    </nc>
  </rcc>
  <rrc rId="270" sId="13" ref="A71:XFD71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06317133_151B_4DBC_8EB3_9345BA061F91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rfmt sheetId="13" xfDxf="1" sqref="A71:XFD71" start="0" length="0">
      <dxf>
        <font>
          <sz val="10"/>
          <color indexed="8"/>
          <name val="Arial"/>
          <scheme val="none"/>
        </font>
      </dxf>
    </rfmt>
    <rfmt sheetId="13" sqref="A71" start="0" length="0">
      <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B71" start="0" length="0">
      <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71" start="0" length="0">
      <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dxf>
    </rfmt>
    <rfmt sheetId="13" sqref="D71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71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s="1" dxf="1">
      <nc r="F71">
        <f>E71*D71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7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7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7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7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71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71">
        <f>E71*(H71+I71+J71+K71)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71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71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71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P71" start="0" length="0">
      <dxf/>
    </rfmt>
    <rcc rId="0" sId="13">
      <nc r="S71">
        <f>H71*E71</f>
      </nc>
    </rcc>
    <rcc rId="0" sId="13">
      <nc r="T71">
        <f>I71*E71</f>
      </nc>
    </rcc>
    <rcc rId="0" sId="13">
      <nc r="U71">
        <f>J71*E71</f>
      </nc>
    </rcc>
    <rcc rId="0" sId="13">
      <nc r="V71">
        <f>K71*E71</f>
      </nc>
    </rcc>
  </rrc>
  <rcc rId="271" sId="13" numFmtId="11">
    <nc r="E103">
      <v>180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51">
    <dxf>
      <fill>
        <patternFill patternType="solid">
          <bgColor rgb="FF7030A0"/>
        </patternFill>
      </fill>
    </dxf>
  </rfmt>
  <rfmt sheetId="11" sqref="K102:K104" start="0" length="2147483647">
    <dxf>
      <font>
        <color rgb="FF7030A0"/>
      </font>
    </dxf>
  </rfmt>
  <rfmt sheetId="11" sqref="K102:K104" start="0" length="2147483647">
    <dxf>
      <font/>
    </dxf>
  </rfmt>
  <rfmt sheetId="11" sqref="K102:K104" start="0" length="2147483647">
    <dxf>
      <font/>
    </dxf>
  </rfmt>
  <rfmt sheetId="11" sqref="K102:K104" start="0" length="2147483647">
    <dxf>
      <font/>
    </dxf>
  </rfmt>
  <rfmt sheetId="11" sqref="K102:K104">
    <dxf>
      <fill>
        <patternFill patternType="solid">
          <bgColor rgb="FF7030A0"/>
        </patternFill>
      </fill>
    </dxf>
  </rfmt>
  <rfmt sheetId="11" sqref="J107">
    <dxf>
      <fill>
        <patternFill patternType="solid">
          <bgColor rgb="FF7030A0"/>
        </patternFill>
      </fill>
    </dxf>
  </rfmt>
  <rfmt sheetId="11" sqref="K129">
    <dxf>
      <fill>
        <patternFill patternType="solid">
          <bgColor rgb="FF7030A0"/>
        </patternFill>
      </fill>
    </dxf>
  </rfmt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J101">
    <dxf>
      <fill>
        <patternFill patternType="solid">
          <bgColor rgb="FF7030A0"/>
        </patternFill>
      </fill>
    </dxf>
  </rfmt>
  <rfmt sheetId="11" sqref="K134">
    <dxf>
      <fill>
        <patternFill patternType="solid">
          <bgColor rgb="FF7030A0"/>
        </patternFill>
      </fill>
    </dxf>
  </rfmt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51">
    <dxf>
      <fill>
        <patternFill patternType="none">
          <bgColor auto="1"/>
        </patternFill>
      </fill>
    </dxf>
  </rfmt>
  <rfmt sheetId="11" sqref="K164">
    <dxf>
      <fill>
        <patternFill patternType="solid">
          <bgColor rgb="FF7030A0"/>
        </patternFill>
      </fill>
    </dxf>
  </rfmt>
  <rfmt sheetId="11" sqref="K159">
    <dxf>
      <fill>
        <patternFill patternType="solid">
          <bgColor rgb="FF7030A0"/>
        </patternFill>
      </fill>
    </dxf>
  </rfmt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7" sId="13" ref="A28:XFD30" action="insert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undo index="0" exp="area" ref3D="1" dr="$S$1:$V$1048576" dn="Z_06317133_151B_4DBC_8EB3_9345BA061F91_.wvu.Cols" sId="13"/>
  </rrc>
  <rcc rId="458" sId="13">
    <oc r="F24">
      <f>E24*D24</f>
    </oc>
    <nc r="F24">
      <f>E24*D24</f>
    </nc>
  </rcc>
  <rcc rId="459" sId="13">
    <oc r="F25">
      <f>E25*D25</f>
    </oc>
    <nc r="F25">
      <f>E25*D25</f>
    </nc>
  </rcc>
  <rcc rId="460" sId="13">
    <oc r="F26">
      <f>E26*D26</f>
    </oc>
    <nc r="F26">
      <f>E26*D26</f>
    </nc>
  </rcc>
  <rcc rId="461" sId="13">
    <oc r="F27">
      <f>E27*D27</f>
    </oc>
    <nc r="F27">
      <f>E27*D27</f>
    </nc>
  </rcc>
  <rcc rId="462" sId="13">
    <nc r="F28">
      <f>E28*D28</f>
    </nc>
  </rcc>
  <rcc rId="463" sId="13">
    <nc r="F29">
      <f>E29*D29</f>
    </nc>
  </rcc>
  <rcc rId="464" sId="13">
    <nc r="F30">
      <f>E30*D30</f>
    </nc>
  </rcc>
  <rcc rId="465" sId="13">
    <nc r="F31">
      <f>E31*D31</f>
    </nc>
  </rcc>
  <rcc rId="466" sId="13">
    <oc r="F32">
      <f>E32*D32</f>
    </oc>
    <nc r="F32">
      <f>E32*D32</f>
    </nc>
  </rcc>
  <rcc rId="467" sId="13">
    <oc r="F33">
      <f>E33*D33</f>
    </oc>
    <nc r="F33">
      <f>E33*D33</f>
    </nc>
  </rcc>
  <rcc rId="468" sId="13">
    <oc r="L26">
      <f>E26*(H26+I26+J26+K26)</f>
    </oc>
    <nc r="L26">
      <f>E26*(H26+I26+J26+K26)</f>
    </nc>
  </rcc>
  <rcc rId="469" sId="13">
    <oc r="L27">
      <f>E27*(H27+I27+J27+K27)</f>
    </oc>
    <nc r="L27">
      <f>E27*(H27+I27+J27+K27)</f>
    </nc>
  </rcc>
  <rcc rId="470" sId="13">
    <nc r="L28">
      <f>E28*(H28+I28+J28+K28)</f>
    </nc>
  </rcc>
  <rcc rId="471" sId="13">
    <nc r="L29">
      <f>E29*(H29+I29+J29+K29)</f>
    </nc>
  </rcc>
  <rcc rId="472" sId="13">
    <nc r="L30">
      <f>E30*(H30+I30+J30+K30)</f>
    </nc>
  </rcc>
  <rcc rId="473" sId="13">
    <oc r="L31">
      <f>E31*(H31+I31+J31+K31)</f>
    </oc>
    <nc r="L31">
      <f>E31*(H31+I31+J31+K31)</f>
    </nc>
  </rcc>
  <rcc rId="474" sId="13">
    <oc r="L32">
      <f>E32*(H32+I32+J32+K32)</f>
    </oc>
    <nc r="L32">
      <f>E32*(H32+I32+J32+K32)</f>
    </nc>
  </rcc>
  <rcv guid="{06317133-151B-4DBC-8EB3-9345BA061F91}" action="delete"/>
  <rdn rId="0" localSheetId="3" customView="1" name="Z_06317133_151B_4DBC_8EB3_9345BA061F91_.wvu.PrintTitles" hidden="1" oldHidden="1">
    <formula>'январь 2019'!$4:$7</formula>
    <oldFormula>'январь 2019'!$4:$7</oldFormula>
  </rdn>
  <rdn rId="0" localSheetId="5" customView="1" name="Z_06317133_151B_4DBC_8EB3_9345BA061F91_.wvu.PrintTitles" hidden="1" oldHidden="1">
    <formula>'февраль 2019'!$4:$7</formula>
    <oldFormula>'февраль 2019'!$4:$7</oldFormula>
  </rdn>
  <rdn rId="0" localSheetId="6" customView="1" name="Z_06317133_151B_4DBC_8EB3_9345BA061F91_.wvu.PrintArea" hidden="1" oldHidden="1">
    <formula>'март 2019 Эпотос-К'!$B$7:$G$93</formula>
    <oldFormula>'март 2019 Эпотос-К'!$B$7:$G$93</oldFormula>
  </rdn>
  <rdn rId="0" localSheetId="7" customView="1" name="Z_06317133_151B_4DBC_8EB3_9345BA061F91_.wvu.PrintTitles" hidden="1" oldHidden="1">
    <formula>'март 2019'!$4:$7</formula>
    <oldFormula>'март 2019'!$4:$7</oldFormula>
  </rdn>
  <rdn rId="0" localSheetId="8" customView="1" name="Z_06317133_151B_4DBC_8EB3_9345BA061F91_.wvu.PrintArea" hidden="1" oldHidden="1">
    <formula>'апрель 2019 Эпотос-К'!$B$7:$G$93</formula>
    <oldFormula>'апрель 2019 Эпотос-К'!$B$7:$G$93</oldFormula>
  </rdn>
  <rdn rId="0" localSheetId="9" customView="1" name="Z_06317133_151B_4DBC_8EB3_9345BA061F91_.wvu.PrintTitles" hidden="1" oldHidden="1">
    <formula>'апрель 2019'!$4:$7</formula>
    <oldFormula>'апрель 2019'!$4:$7</oldFormula>
  </rdn>
  <rdn rId="0" localSheetId="10" customView="1" name="Z_06317133_151B_4DBC_8EB3_9345BA061F91_.wvu.PrintArea" hidden="1" oldHidden="1">
    <formula>'май 2019 Эпотос-К'!$A$7:$B$82</formula>
    <oldFormula>'май 2019 Эпотос-К'!$A$7:$B$82</oldFormula>
  </rdn>
  <rdn rId="0" localSheetId="10" customView="1" name="Z_06317133_151B_4DBC_8EB3_9345BA061F91_.wvu.Cols" hidden="1" oldHidden="1">
    <formula>'май 2019 Эпотос-К'!$S:$V</formula>
    <oldFormula>'май 2019 Эпотос-К'!$S:$V</oldFormula>
  </rdn>
  <rdn rId="0" localSheetId="11" customView="1" name="Z_06317133_151B_4DBC_8EB3_9345BA061F91_.wvu.PrintTitles" hidden="1" oldHidden="1">
    <formula>'май 2019'!$4:$7</formula>
    <oldFormula>'май 2019'!$4:$7</oldFormula>
  </rdn>
  <rdn rId="0" localSheetId="11" customView="1" name="Z_06317133_151B_4DBC_8EB3_9345BA061F91_.wvu.Cols" hidden="1" oldHidden="1">
    <formula>'май 2019'!$S:$V</formula>
    <oldFormula>'май 2019'!$S:$V</oldFormula>
  </rdn>
  <rdn rId="0" localSheetId="12" customView="1" name="Z_06317133_151B_4DBC_8EB3_9345BA061F91_.wvu.PrintArea" hidden="1" oldHidden="1">
    <formula>'июнь 2019 Эпотос-К'!$B$47:$D$56</formula>
    <oldFormula>'июнь 2019 Эпотос-К'!$B$47:$D$56</oldFormula>
  </rdn>
  <rdn rId="0" localSheetId="12" customView="1" name="Z_06317133_151B_4DBC_8EB3_9345BA061F91_.wvu.Cols" hidden="1" oldHidden="1">
    <formula>'июнь 2019 Эпотос-К'!$S:$V</formula>
    <oldFormula>'июнь 2019 Эпотос-К'!$S:$V</oldFormula>
  </rdn>
  <rdn rId="0" localSheetId="13" customView="1" name="Z_06317133_151B_4DBC_8EB3_9345BA061F91_.wvu.PrintTitles" hidden="1" oldHidden="1">
    <formula>'июнь 2019'!$4:$7</formula>
    <oldFormula>'июнь 2019'!$4:$7</oldFormula>
  </rdn>
  <rdn rId="0" localSheetId="13" customView="1" name="Z_06317133_151B_4DBC_8EB3_9345BA061F91_.wvu.Cols" hidden="1" oldHidden="1">
    <formula>'июнь 2019'!$S:$V</formula>
    <oldFormula>'июнь 2019'!$S:$V</oldFormula>
  </rdn>
  <rdn rId="0" localSheetId="14" customView="1" name="Z_06317133_151B_4DBC_8EB3_9345BA061F91_.wvu.PrintArea" hidden="1" oldHidden="1">
    <formula>'обзор 2019'!$B$3:$M$18</formula>
    <oldFormula>'обзор 2019'!$B$3:$M$18</oldFormula>
  </rdn>
  <rdn rId="0" localSheetId="15" customView="1" name="Z_06317133_151B_4DBC_8EB3_9345BA061F91_.wvu.PrintArea" hidden="1" oldHidden="1">
    <formula>'обзор 2018'!$B$3:$M$18</formula>
    <oldFormula>'обзор 2018'!$B$3:$M$18</oldFormula>
  </rdn>
  <rdn rId="0" localSheetId="16" customView="1" name="Z_06317133_151B_4DBC_8EB3_9345BA061F91_.wvu.PrintArea" hidden="1" oldHidden="1">
    <formula>'обзор 2017'!$B$3:$M$18</formula>
    <oldFormula>'обзор 2017'!$B$3:$M$18</oldFormula>
  </rdn>
  <rdn rId="0" localSheetId="17" customView="1" name="Z_06317133_151B_4DBC_8EB3_9345BA061F91_.wvu.PrintArea" hidden="1" oldHidden="1">
    <formula>'обзор 2016'!$B$3:$Q$19</formula>
    <oldFormula>'обзор 2016'!$B$3:$Q$19</oldFormula>
  </rdn>
  <rdn rId="0" localSheetId="17" customView="1" name="Z_06317133_151B_4DBC_8EB3_9345BA061F91_.wvu.Cols" hidden="1" oldHidden="1">
    <formula>'обзор 2016'!$A:$A</formula>
    <oldFormula>'обзор 2016'!$A:$A</oldFormula>
  </rdn>
  <rdn rId="0" localSheetId="18" customView="1" name="Z_06317133_151B_4DBC_8EB3_9345BA061F91_.wvu.PrintArea" hidden="1" oldHidden="1">
    <formula>'объёмы 2019'!$A$3:$U$98</formula>
    <oldFormula>'объёмы 2019'!$A$3:$U$98</oldFormula>
  </rdn>
  <rdn rId="0" localSheetId="18" customView="1" name="Z_06317133_151B_4DBC_8EB3_9345BA061F91_.wvu.PrintTitles" hidden="1" oldHidden="1">
    <formula>'объёмы 2019'!$5:$6</formula>
    <oldFormula>'объёмы 2019'!$5:$6</oldFormula>
  </rdn>
  <rcv guid="{06317133-151B-4DBC-8EB3-9345BA061F91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="1" sqref="A27" start="0" length="0">
    <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27" start="0" length="0">
    <dxf>
      <font>
        <sz val="10"/>
        <color indexed="8"/>
        <name val="Arial"/>
        <scheme val="none"/>
      </font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27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D27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A28" start="0" length="0">
    <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28" start="0" length="0">
    <dxf>
      <font>
        <sz val="10"/>
        <color indexed="8"/>
        <name val="Arial"/>
        <scheme val="none"/>
      </font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28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D28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A29" start="0" length="0">
    <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29" start="0" length="0">
    <dxf>
      <font>
        <sz val="10"/>
        <color indexed="8"/>
        <name val="Arial"/>
        <scheme val="none"/>
      </font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29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D29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E27" start="0" length="0">
    <dxf>
      <font>
        <sz val="10"/>
        <color indexed="8"/>
        <name val="Arial"/>
        <scheme val="none"/>
      </font>
      <alignment horizontal="right" vertical="top" readingOrder="0"/>
      <border outline="0">
        <left style="thin">
          <color indexed="64"/>
        </left>
        <right style="thin">
          <color indexed="64"/>
        </right>
      </border>
    </dxf>
  </rfmt>
  <rfmt sheetId="13" s="1" sqref="E28" start="0" length="0">
    <dxf>
      <font>
        <sz val="10"/>
        <color indexed="8"/>
        <name val="Arial"/>
        <scheme val="none"/>
      </font>
      <alignment horizontal="right" vertical="top" readingOrder="0"/>
      <border outline="0">
        <left style="thin">
          <color indexed="64"/>
        </left>
        <right style="thin">
          <color indexed="64"/>
        </right>
      </border>
    </dxf>
  </rfmt>
  <rfmt sheetId="13" s="1" sqref="E29" start="0" length="0">
    <dxf>
      <font>
        <sz val="10"/>
        <color indexed="8"/>
        <name val="Arial"/>
        <scheme val="none"/>
      </font>
      <border outline="0">
        <left style="thin">
          <color indexed="64"/>
        </left>
        <right style="thin">
          <color indexed="64"/>
        </right>
        <top/>
      </border>
    </dxf>
  </rfmt>
  <rcc rId="496" sId="13" odxf="1" s="1" dxf="1" numFmtId="30">
    <nc r="A27">
      <v>5585</v>
    </nc>
    <n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497" sId="13" odxf="1" s="1" dxf="1">
    <nc r="B27" t="inlineStr">
      <is>
        <t>Полиспен</t>
      </is>
    </nc>
    <ndxf>
      <font>
        <sz val="10"/>
        <color indexed="8"/>
        <name val="Arial"/>
        <scheme val="none"/>
      </font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498" sId="13" odxf="1" s="1" dxf="1">
    <nc r="C27" t="inlineStr">
      <is>
        <t>Вал для фрез L=1250мм</t>
      </is>
    </nc>
    <ndxf>
      <font>
        <sz val="10"/>
        <color indexed="8"/>
        <name val="Arial"/>
        <scheme val="none"/>
      </font>
      <border outline="0">
        <left/>
        <right/>
        <top style="thin">
          <color indexed="64"/>
        </top>
        <bottom style="thin">
          <color indexed="64"/>
        </bottom>
      </border>
    </ndxf>
  </rcc>
  <rcc rId="499" sId="13" odxf="1" s="1" dxf="1">
    <nc r="D27">
      <v>1</v>
    </nc>
    <n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500" sId="13" odxf="1" s="1" dxf="1" numFmtId="11">
    <nc r="E27">
      <v>17900</v>
    </nc>
    <ndxf>
      <font>
        <sz val="10"/>
        <color indexed="8"/>
        <name val="Arial"/>
        <scheme val="none"/>
      </font>
      <alignment horizontal="general" vertical="bottom" readingOrder="0"/>
      <border outline="0">
        <left style="medium">
          <color indexed="64"/>
        </left>
        <right style="medium">
          <color indexed="64"/>
        </right>
      </border>
    </ndxf>
  </rcc>
  <rcc rId="501" sId="13">
    <oc r="F27">
      <f>E27*D27</f>
    </oc>
    <nc r="F27">
      <f>E27*D27</f>
    </nc>
  </rcc>
  <rcc rId="502" sId="13">
    <oc r="L27">
      <f>E27*(H27+I27+J27+K27)</f>
    </oc>
    <nc r="L27">
      <f>E27*(H27+I27+J27+K27)</f>
    </nc>
  </rcc>
  <rcc rId="503" sId="13">
    <oc r="S27">
      <f>H27*E27</f>
    </oc>
    <nc r="S27">
      <f>H27*E27</f>
    </nc>
  </rcc>
  <rcc rId="504" sId="13">
    <oc r="T27">
      <f>I27*E27</f>
    </oc>
    <nc r="T27">
      <f>I27*E27</f>
    </nc>
  </rcc>
  <rcc rId="505" sId="13">
    <oc r="U27">
      <f>J27*E27</f>
    </oc>
    <nc r="U27">
      <f>J27*E27</f>
    </nc>
  </rcc>
  <rcc rId="506" sId="13">
    <oc r="V27">
      <f>K27*E27</f>
    </oc>
    <nc r="V27">
      <f>K27*E27</f>
    </nc>
  </rcc>
  <rcc rId="507" sId="13" odxf="1" s="1" dxf="1" numFmtId="30">
    <nc r="A28">
      <v>5586</v>
    </nc>
    <n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508" sId="13" odxf="1" s="1" dxf="1">
    <nc r="B28" t="inlineStr">
      <is>
        <t>Полиспен</t>
      </is>
    </nc>
    <ndxf>
      <font>
        <sz val="10"/>
        <color indexed="8"/>
        <name val="Arial"/>
        <scheme val="none"/>
      </font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509" sId="13" odxf="1" s="1" dxf="1">
    <nc r="C28" t="inlineStr">
      <is>
        <t>Вал для фрез L=1357мм</t>
      </is>
    </nc>
    <ndxf>
      <font>
        <sz val="10"/>
        <color indexed="8"/>
        <name val="Arial"/>
        <scheme val="none"/>
      </font>
      <border outline="0">
        <left/>
        <right/>
        <top style="thin">
          <color indexed="64"/>
        </top>
        <bottom style="thin">
          <color indexed="64"/>
        </bottom>
      </border>
    </ndxf>
  </rcc>
  <rcc rId="510" sId="13" odxf="1" s="1" dxf="1">
    <nc r="D28">
      <v>1</v>
    </nc>
    <n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511" sId="13" odxf="1" s="1" dxf="1" numFmtId="11">
    <nc r="E28">
      <v>18500</v>
    </nc>
    <ndxf>
      <font>
        <sz val="10"/>
        <color indexed="8"/>
        <name val="Arial"/>
        <scheme val="none"/>
      </font>
      <alignment horizontal="general" vertical="bottom" readingOrder="0"/>
      <border outline="0">
        <left style="medium">
          <color indexed="64"/>
        </left>
        <right style="medium">
          <color indexed="64"/>
        </right>
      </border>
    </ndxf>
  </rcc>
  <rcc rId="512" sId="13">
    <oc r="F28">
      <f>E28*D28</f>
    </oc>
    <nc r="F28">
      <f>E28*D28</f>
    </nc>
  </rcc>
  <rcc rId="513" sId="13">
    <oc r="L28">
      <f>E28*(H28+I28+J28+K28)</f>
    </oc>
    <nc r="L28">
      <f>E28*(H28+I28+J28+K28)</f>
    </nc>
  </rcc>
  <rcc rId="514" sId="13" odxf="1" s="1" dxf="1" numFmtId="30">
    <nc r="A29">
      <v>5587</v>
    </nc>
    <n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515" sId="13" odxf="1" s="1" dxf="1">
    <nc r="B29" t="inlineStr">
      <is>
        <t>Полиспен</t>
      </is>
    </nc>
    <ndxf>
      <font>
        <sz val="10"/>
        <color indexed="8"/>
        <name val="Arial"/>
        <scheme val="none"/>
      </font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516" sId="13" odxf="1" s="1" dxf="1">
    <nc r="C29" t="inlineStr">
      <is>
        <t>Фреза тип 2 (D420мм)</t>
      </is>
    </nc>
    <ndxf>
      <font>
        <sz val="10"/>
        <color indexed="8"/>
        <name val="Arial"/>
        <scheme val="none"/>
      </font>
      <border outline="0">
        <left/>
        <right/>
        <top style="thin">
          <color indexed="64"/>
        </top>
        <bottom style="thin">
          <color indexed="64"/>
        </bottom>
      </border>
    </ndxf>
  </rcc>
  <rcc rId="517" sId="13" odxf="1" s="1" dxf="1">
    <nc r="D29">
      <v>15</v>
    </nc>
    <n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518" sId="13" odxf="1" s="1" dxf="1" numFmtId="11">
    <nc r="E29">
      <v>1860</v>
    </nc>
    <n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519" sId="13">
    <oc r="F29">
      <f>E29*D29</f>
    </oc>
    <nc r="F29">
      <f>E29*D29</f>
    </nc>
  </rcc>
  <rcc rId="520" sId="13">
    <oc r="L29">
      <f>E29*(H29+I29+J29+K29)</f>
    </oc>
    <nc r="L29">
      <f>E29*(H29+I29+J29+K29)</f>
    </nc>
  </rcc>
  <rrc rId="521" sId="13" ref="A27:XFD27" action="insert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undo index="0" exp="area" ref3D="1" dr="$S$1:$V$1048576" dn="Z_06317133_151B_4DBC_8EB3_9345BA061F91_.wvu.Cols" sId="13"/>
  </rrc>
  <rcc rId="522" sId="13" numFmtId="19">
    <nc r="M28">
      <v>43620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" sId="13" numFmtId="19">
    <nc r="N28">
      <v>43644</v>
    </nc>
  </rcc>
  <rcc rId="524" sId="13" numFmtId="19">
    <nc r="M29">
      <v>43620</v>
    </nc>
  </rcc>
  <rcc rId="525" sId="13" numFmtId="19">
    <nc r="N29">
      <v>43644</v>
    </nc>
  </rcc>
  <rcc rId="526" sId="13" numFmtId="19">
    <nc r="M30">
      <v>43620</v>
    </nc>
  </rcc>
  <rcc rId="527" sId="13" numFmtId="19">
    <nc r="N30">
      <v>43644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8" sId="13" ref="A57:XFD58" action="insertRow">
    <undo index="0" exp="area" ref3D="1" dr="$S$1:$V$1048576" dn="Z_06317133_151B_4DBC_8EB3_9345BA061F91_.wvu.Cols" sId="13"/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</rrc>
  <rcc rId="529" sId="13">
    <oc r="F53">
      <f>E53*D53</f>
    </oc>
    <nc r="F53">
      <f>E53*D53</f>
    </nc>
  </rcc>
  <rcc rId="530" sId="13">
    <oc r="F54">
      <f>E54*D54</f>
    </oc>
    <nc r="F54">
      <f>E54*D54</f>
    </nc>
  </rcc>
  <rcc rId="531" sId="13">
    <oc r="F55">
      <f>E55*D55</f>
    </oc>
    <nc r="F55">
      <f>E55*D55</f>
    </nc>
  </rcc>
  <rcc rId="532" sId="13">
    <oc r="F56">
      <f>E56*D56</f>
    </oc>
    <nc r="F56">
      <f>E56*D56</f>
    </nc>
  </rcc>
  <rcc rId="533" sId="13">
    <nc r="F57">
      <f>E57*D57</f>
    </nc>
  </rcc>
  <rcc rId="534" sId="13">
    <nc r="F58">
      <f>E58*D58</f>
    </nc>
  </rcc>
  <rcc rId="535" sId="13">
    <oc r="F59">
      <f>E59*D59</f>
    </oc>
    <nc r="F59">
      <f>E59*D59</f>
    </nc>
  </rcc>
  <rcc rId="536" sId="13">
    <oc r="F60">
      <f>E60*D60</f>
    </oc>
    <nc r="F60">
      <f>E60*D60</f>
    </nc>
  </rcc>
  <rcc rId="537" sId="13">
    <oc r="L53">
      <f>E53*(H53+I53+J53+K53)</f>
    </oc>
    <nc r="L53">
      <f>E53*(H53+I53+J53+K53)</f>
    </nc>
  </rcc>
  <rcc rId="538" sId="13">
    <oc r="L54">
      <f>E54*(H54+I54+J54+K54)</f>
    </oc>
    <nc r="L54">
      <f>E54*(H54+I54+J54+K54)</f>
    </nc>
  </rcc>
  <rcc rId="539" sId="13">
    <oc r="L55">
      <f>E55*(H55+I55+J55+K55)</f>
    </oc>
    <nc r="L55">
      <f>E55*(H55+I55+J55+K55)</f>
    </nc>
  </rcc>
  <rcc rId="540" sId="13">
    <oc r="L56">
      <f>E56*(H56+I56+J56+K56)</f>
    </oc>
    <nc r="L56">
      <f>E56*(H56+I56+J56+K56)</f>
    </nc>
  </rcc>
  <rcc rId="541" sId="13">
    <nc r="L57">
      <f>E57*(H57+I57+J57+K57)</f>
    </nc>
  </rcc>
  <rcc rId="542" sId="13">
    <nc r="L58">
      <f>E58*(H58+I58+J58+K58)</f>
    </nc>
  </rcc>
  <rcc rId="543" sId="13">
    <oc r="L59">
      <f>E59*(H59+I59+J59+K59)</f>
    </oc>
    <nc r="L59">
      <f>E59*(H59+I59+J59+K59)</f>
    </nc>
  </rcc>
  <rcc rId="544" sId="13">
    <oc r="L60">
      <f>E60*(H60+I60+J60+K60)</f>
    </oc>
    <nc r="L60">
      <f>E60*(H60+I60+J60+K60)</f>
    </nc>
  </rcc>
  <rcc rId="545" sId="13">
    <oc r="L61">
      <f>E61*(H61+I61+J61+K61)</f>
    </oc>
    <nc r="L61">
      <f>E61*(H61+I61+J61+K61)</f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="1" sqref="A56" start="0" length="0">
    <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56" start="0" length="0">
    <dxf>
      <font>
        <sz val="10"/>
        <color indexed="8"/>
        <name val="Arial"/>
        <scheme val="none"/>
      </font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56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D56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A57" start="0" length="0">
    <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57" start="0" length="0">
    <dxf>
      <font>
        <sz val="10"/>
        <color indexed="8"/>
        <name val="Arial"/>
        <scheme val="none"/>
      </font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57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D57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E56" start="0" length="0">
    <dxf>
      <font>
        <sz val="10"/>
        <color indexed="8"/>
        <name val="Arial"/>
        <scheme val="none"/>
      </font>
      <alignment horizontal="right" vertical="center" readingOrder="0"/>
      <border outline="0">
        <left style="thin">
          <color indexed="64"/>
        </left>
        <right style="thin">
          <color indexed="64"/>
        </right>
      </border>
    </dxf>
  </rfmt>
  <rfmt sheetId="13" s="1" sqref="E57" start="0" length="0">
    <dxf>
      <font>
        <sz val="10"/>
        <color indexed="8"/>
        <name val="Arial"/>
        <scheme val="none"/>
      </font>
      <alignment horizontal="right" vertical="center" readingOrder="0"/>
      <border outline="0">
        <left style="thin">
          <color indexed="64"/>
        </left>
        <right style="thin">
          <color indexed="64"/>
        </right>
      </border>
    </dxf>
  </rfmt>
  <rcc rId="546" sId="13" odxf="1" s="1" dxf="1" numFmtId="30">
    <nc r="A56">
      <v>5574</v>
    </nc>
    <n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547" sId="13" odxf="1" s="1" dxf="1">
    <nc r="B56" t="inlineStr">
      <is>
        <t>ТПК РЕПЛАЙН</t>
      </is>
    </nc>
    <ndxf>
      <font>
        <sz val="10"/>
        <color indexed="8"/>
        <name val="Arial"/>
        <scheme val="none"/>
      </font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548" sId="13" odxf="1" s="1" dxf="1">
    <nc r="C56" t="inlineStr">
      <is>
        <t>Изготовление дет.Корпус 1 (D65)</t>
      </is>
    </nc>
    <ndxf>
      <font>
        <sz val="10"/>
        <color indexed="8"/>
        <name val="Arial"/>
        <scheme val="none"/>
      </font>
      <border outline="0">
        <left/>
        <right/>
        <top style="thin">
          <color indexed="64"/>
        </top>
        <bottom style="thin">
          <color indexed="64"/>
        </bottom>
      </border>
    </ndxf>
  </rcc>
  <rcc rId="549" sId="13" odxf="1" s="1" dxf="1">
    <nc r="D56">
      <v>4</v>
    </nc>
    <n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550" sId="13" odxf="1" s="1" dxf="1" numFmtId="11">
    <nc r="E56">
      <v>2500</v>
    </nc>
    <ndxf>
      <font>
        <sz val="10"/>
        <color indexed="8"/>
        <name val="Arial"/>
        <scheme val="none"/>
      </font>
      <alignment horizontal="general" vertical="bottom" readingOrder="0"/>
      <border outline="0">
        <left style="medium">
          <color indexed="64"/>
        </left>
        <right style="medium">
          <color indexed="64"/>
        </right>
      </border>
    </ndxf>
  </rcc>
  <rcc rId="551" sId="13">
    <oc r="F56">
      <f>E56*D56</f>
    </oc>
    <nc r="F56">
      <f>E56*D56</f>
    </nc>
  </rcc>
  <rcc rId="552" sId="13">
    <oc r="L56">
      <f>E56*(H56+I56+J56+K56)</f>
    </oc>
    <nc r="L56">
      <f>E56*(H56+I56+J56+K56)</f>
    </nc>
  </rcc>
  <rfmt sheetId="13" sqref="O56" start="0" length="0">
    <dxf>
      <border outline="0">
        <bottom style="thin">
          <color indexed="64"/>
        </bottom>
      </border>
    </dxf>
  </rfmt>
  <rcc rId="553" sId="13" odxf="1" s="1" dxf="1" numFmtId="30">
    <nc r="A57">
      <v>5575</v>
    </nc>
    <n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554" sId="13" odxf="1" s="1" dxf="1">
    <nc r="B57" t="inlineStr">
      <is>
        <t>ТПК РЕПЛАЙН</t>
      </is>
    </nc>
    <ndxf>
      <font>
        <sz val="10"/>
        <color indexed="8"/>
        <name val="Arial"/>
        <scheme val="none"/>
      </font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555" sId="13" odxf="1" s="1" dxf="1">
    <nc r="C57" t="inlineStr">
      <is>
        <t>Изготовление дет.Корпус 2 (D90)</t>
      </is>
    </nc>
    <ndxf>
      <font>
        <sz val="10"/>
        <color indexed="8"/>
        <name val="Arial"/>
        <scheme val="none"/>
      </font>
      <border outline="0">
        <left/>
        <right/>
        <top style="thin">
          <color indexed="64"/>
        </top>
        <bottom style="thin">
          <color indexed="64"/>
        </bottom>
      </border>
    </ndxf>
  </rcc>
  <rcc rId="556" sId="13" odxf="1" s="1" dxf="1">
    <nc r="D57">
      <v>4</v>
    </nc>
    <n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557" sId="13" odxf="1" s="1" dxf="1" numFmtId="11">
    <nc r="E57">
      <v>2000</v>
    </nc>
    <ndxf>
      <font>
        <sz val="10"/>
        <color indexed="8"/>
        <name val="Arial"/>
        <scheme val="none"/>
      </font>
      <alignment horizontal="general" vertical="bottom" readingOrder="0"/>
      <border outline="0">
        <left style="medium">
          <color indexed="64"/>
        </left>
        <right style="medium">
          <color indexed="64"/>
        </right>
      </border>
    </ndxf>
  </rcc>
  <rcc rId="558" sId="13">
    <oc r="F57">
      <f>E57*D57</f>
    </oc>
    <nc r="F57">
      <f>E57*D57</f>
    </nc>
  </rcc>
  <rcc rId="559" sId="13">
    <oc r="L57">
      <f>E57*(H57+I57+J57+K57)</f>
    </oc>
    <nc r="L57">
      <f>E57*(H57+I57+J57+K57)</f>
    </nc>
  </rcc>
  <rfmt sheetId="13" sqref="O57" start="0" length="0">
    <dxf>
      <border outline="0">
        <bottom style="thin">
          <color indexed="64"/>
        </bottom>
      </border>
    </dxf>
  </rfmt>
  <rcc rId="560" sId="13" numFmtId="19">
    <nc r="M56">
      <v>43620</v>
    </nc>
  </rcc>
  <rcc rId="561" sId="13" numFmtId="19">
    <nc r="N56">
      <v>43630</v>
    </nc>
  </rcc>
  <rcc rId="562" sId="13" numFmtId="19">
    <nc r="M57">
      <v>43620</v>
    </nc>
  </rcc>
  <rcc rId="563" sId="13" numFmtId="19">
    <nc r="N57">
      <v>43630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" sId="13" numFmtId="11">
    <oc r="E32">
      <v>1242</v>
    </oc>
    <nc r="E32"/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" sId="13">
    <oc r="S9">
      <f>H9*E9</f>
    </oc>
    <nc r="S9">
      <f>H9*E9</f>
    </nc>
  </rcc>
  <rcc rId="566" sId="13">
    <oc r="T9">
      <f>I9*E9</f>
    </oc>
    <nc r="T9">
      <f>I9*E9</f>
    </nc>
  </rcc>
  <rcc rId="567" sId="13">
    <oc r="U9">
      <f>J9*E9</f>
    </oc>
    <nc r="U9">
      <f>J9*E9</f>
    </nc>
  </rcc>
  <rcc rId="568" sId="13">
    <oc r="V9">
      <f>K9*E9</f>
    </oc>
    <nc r="V9">
      <f>K9*E9</f>
    </nc>
  </rcc>
  <rcc rId="569" sId="13">
    <oc r="S10">
      <f>H10*E10</f>
    </oc>
    <nc r="S10">
      <f>H10*E10</f>
    </nc>
  </rcc>
  <rcc rId="570" sId="13">
    <oc r="T10">
      <f>I10*E10</f>
    </oc>
    <nc r="T10">
      <f>I10*E10</f>
    </nc>
  </rcc>
  <rcc rId="571" sId="13">
    <oc r="U10">
      <f>J10*E10</f>
    </oc>
    <nc r="U10">
      <f>J10*E10</f>
    </nc>
  </rcc>
  <rcc rId="572" sId="13">
    <oc r="V10">
      <f>K10*E10</f>
    </oc>
    <nc r="V10">
      <f>K10*E10</f>
    </nc>
  </rcc>
  <rcc rId="573" sId="13">
    <oc r="S11">
      <f>H11*E11</f>
    </oc>
    <nc r="S11">
      <f>H11*E11</f>
    </nc>
  </rcc>
  <rcc rId="574" sId="13">
    <oc r="T11">
      <f>I11*E11</f>
    </oc>
    <nc r="T11">
      <f>I11*E11</f>
    </nc>
  </rcc>
  <rcc rId="575" sId="13">
    <oc r="U11">
      <f>J11*E11</f>
    </oc>
    <nc r="U11">
      <f>J11*E11</f>
    </nc>
  </rcc>
  <rcc rId="576" sId="13">
    <oc r="V11">
      <f>K11*E11</f>
    </oc>
    <nc r="V11">
      <f>K11*E11</f>
    </nc>
  </rcc>
  <rcc rId="577" sId="13">
    <oc r="S12">
      <f>H12*E12</f>
    </oc>
    <nc r="S12">
      <f>H12*E12</f>
    </nc>
  </rcc>
  <rcc rId="578" sId="13">
    <oc r="T12">
      <f>I12*E12</f>
    </oc>
    <nc r="T12">
      <f>I12*E12</f>
    </nc>
  </rcc>
  <rcc rId="579" sId="13">
    <oc r="U12">
      <f>J12*E12</f>
    </oc>
    <nc r="U12">
      <f>J12*E12</f>
    </nc>
  </rcc>
  <rcc rId="580" sId="13">
    <oc r="V12">
      <f>K12*E12</f>
    </oc>
    <nc r="V12">
      <f>K12*E12</f>
    </nc>
  </rcc>
  <rcc rId="581" sId="13">
    <oc r="S13">
      <f>H13*E13</f>
    </oc>
    <nc r="S13">
      <f>H13*E13</f>
    </nc>
  </rcc>
  <rcc rId="582" sId="13">
    <oc r="T13">
      <f>I13*E13</f>
    </oc>
    <nc r="T13">
      <f>I13*E13</f>
    </nc>
  </rcc>
  <rcc rId="583" sId="13">
    <oc r="U13">
      <f>J13*E13</f>
    </oc>
    <nc r="U13">
      <f>J13*E13</f>
    </nc>
  </rcc>
  <rcc rId="584" sId="13">
    <oc r="V13">
      <f>K13*E13</f>
    </oc>
    <nc r="V13">
      <f>K13*E13</f>
    </nc>
  </rcc>
  <rcc rId="585" sId="13">
    <oc r="S14">
      <f>H14*E14</f>
    </oc>
    <nc r="S14">
      <f>H14*E14</f>
    </nc>
  </rcc>
  <rcc rId="586" sId="13">
    <oc r="T14">
      <f>I14*E14</f>
    </oc>
    <nc r="T14">
      <f>I14*E14</f>
    </nc>
  </rcc>
  <rcc rId="587" sId="13">
    <oc r="U14">
      <f>J14*E14</f>
    </oc>
    <nc r="U14">
      <f>J14*E14</f>
    </nc>
  </rcc>
  <rcc rId="588" sId="13">
    <oc r="V14">
      <f>K14*E14</f>
    </oc>
    <nc r="V14">
      <f>K14*E14</f>
    </nc>
  </rcc>
  <rcc rId="589" sId="13">
    <oc r="S15">
      <f>H15*E15</f>
    </oc>
    <nc r="S15">
      <f>H15*E15</f>
    </nc>
  </rcc>
  <rcc rId="590" sId="13">
    <oc r="T15">
      <f>I15*E15</f>
    </oc>
    <nc r="T15">
      <f>I15*E15</f>
    </nc>
  </rcc>
  <rcc rId="591" sId="13">
    <oc r="U15">
      <f>J15*E15</f>
    </oc>
    <nc r="U15">
      <f>J15*E15</f>
    </nc>
  </rcc>
  <rcc rId="592" sId="13">
    <oc r="V15">
      <f>K15*E15</f>
    </oc>
    <nc r="V15">
      <f>K15*E15</f>
    </nc>
  </rcc>
  <rcc rId="593" sId="13">
    <oc r="S16">
      <f>H16*E16</f>
    </oc>
    <nc r="S16">
      <f>H16*E16</f>
    </nc>
  </rcc>
  <rcc rId="594" sId="13">
    <oc r="T16">
      <f>I16*E16</f>
    </oc>
    <nc r="T16">
      <f>I16*E16</f>
    </nc>
  </rcc>
  <rcc rId="595" sId="13">
    <oc r="U16">
      <f>J16*E16</f>
    </oc>
    <nc r="U16">
      <f>J16*E16</f>
    </nc>
  </rcc>
  <rcc rId="596" sId="13">
    <oc r="V16">
      <f>K16*E16</f>
    </oc>
    <nc r="V16">
      <f>K16*E16</f>
    </nc>
  </rcc>
  <rcc rId="597" sId="13">
    <oc r="S17">
      <f>H17*E17</f>
    </oc>
    <nc r="S17">
      <f>H17*E17</f>
    </nc>
  </rcc>
  <rcc rId="598" sId="13">
    <oc r="T17">
      <f>I17*E17</f>
    </oc>
    <nc r="T17">
      <f>I17*E17</f>
    </nc>
  </rcc>
  <rcc rId="599" sId="13">
    <oc r="U17">
      <f>J17*E17</f>
    </oc>
    <nc r="U17">
      <f>J17*E17</f>
    </nc>
  </rcc>
  <rcc rId="600" sId="13">
    <oc r="V17">
      <f>K17*E17</f>
    </oc>
    <nc r="V17">
      <f>K17*E17</f>
    </nc>
  </rcc>
  <rcc rId="601" sId="13">
    <oc r="S18">
      <f>H18*E18</f>
    </oc>
    <nc r="S18">
      <f>H18*E18</f>
    </nc>
  </rcc>
  <rcc rId="602" sId="13">
    <oc r="T18">
      <f>I18*E18</f>
    </oc>
    <nc r="T18">
      <f>I18*E18</f>
    </nc>
  </rcc>
  <rcc rId="603" sId="13">
    <oc r="U18">
      <f>J18*E18</f>
    </oc>
    <nc r="U18">
      <f>J18*E18</f>
    </nc>
  </rcc>
  <rcc rId="604" sId="13">
    <oc r="V18">
      <f>K18*E18</f>
    </oc>
    <nc r="V18">
      <f>K18*E18</f>
    </nc>
  </rcc>
  <rcc rId="605" sId="13">
    <oc r="S19">
      <f>H19*E19</f>
    </oc>
    <nc r="S19">
      <f>H19*E19</f>
    </nc>
  </rcc>
  <rcc rId="606" sId="13">
    <oc r="T19">
      <f>I19*E19</f>
    </oc>
    <nc r="T19">
      <f>I19*E19</f>
    </nc>
  </rcc>
  <rcc rId="607" sId="13">
    <oc r="U19">
      <f>J19*E19</f>
    </oc>
    <nc r="U19">
      <f>J19*E19</f>
    </nc>
  </rcc>
  <rcc rId="608" sId="13">
    <oc r="V19">
      <f>K19*E19</f>
    </oc>
    <nc r="V19">
      <f>K19*E19</f>
    </nc>
  </rcc>
  <rcc rId="609" sId="13">
    <oc r="S20">
      <f>H20*E20</f>
    </oc>
    <nc r="S20">
      <f>H20*E20</f>
    </nc>
  </rcc>
  <rcc rId="610" sId="13">
    <oc r="T20">
      <f>I20*E20</f>
    </oc>
    <nc r="T20">
      <f>I20*E20</f>
    </nc>
  </rcc>
  <rcc rId="611" sId="13">
    <oc r="U20">
      <f>J20*E20</f>
    </oc>
    <nc r="U20">
      <f>J20*E20</f>
    </nc>
  </rcc>
  <rcc rId="612" sId="13">
    <oc r="V20">
      <f>K20*E20</f>
    </oc>
    <nc r="V20">
      <f>K20*E20</f>
    </nc>
  </rcc>
  <rcc rId="613" sId="13">
    <oc r="S21">
      <f>H21*E21</f>
    </oc>
    <nc r="S21">
      <f>H21*E21</f>
    </nc>
  </rcc>
  <rcc rId="614" sId="13">
    <oc r="T21">
      <f>I21*E21</f>
    </oc>
    <nc r="T21">
      <f>I21*E21</f>
    </nc>
  </rcc>
  <rcc rId="615" sId="13">
    <oc r="U21">
      <f>J21*E21</f>
    </oc>
    <nc r="U21">
      <f>J21*E21</f>
    </nc>
  </rcc>
  <rcc rId="616" sId="13">
    <oc r="V21">
      <f>K21*E21</f>
    </oc>
    <nc r="V21">
      <f>K21*E21</f>
    </nc>
  </rcc>
  <rcc rId="617" sId="13">
    <oc r="S22">
      <f>H22*E22</f>
    </oc>
    <nc r="S22">
      <f>H22*E22</f>
    </nc>
  </rcc>
  <rcc rId="618" sId="13">
    <oc r="T22">
      <f>I22*E22</f>
    </oc>
    <nc r="T22">
      <f>I22*E22</f>
    </nc>
  </rcc>
  <rcc rId="619" sId="13">
    <oc r="U22">
      <f>J22*E22</f>
    </oc>
    <nc r="U22">
      <f>J22*E22</f>
    </nc>
  </rcc>
  <rcc rId="620" sId="13">
    <oc r="V22">
      <f>K22*E22</f>
    </oc>
    <nc r="V22">
      <f>K22*E22</f>
    </nc>
  </rcc>
  <rcc rId="621" sId="13">
    <oc r="S23">
      <f>H23*E23</f>
    </oc>
    <nc r="S23">
      <f>H23*E23</f>
    </nc>
  </rcc>
  <rcc rId="622" sId="13">
    <oc r="T23">
      <f>I23*E23</f>
    </oc>
    <nc r="T23">
      <f>I23*E23</f>
    </nc>
  </rcc>
  <rcc rId="623" sId="13">
    <oc r="U23">
      <f>J23*E23</f>
    </oc>
    <nc r="U23">
      <f>J23*E23</f>
    </nc>
  </rcc>
  <rcc rId="624" sId="13">
    <oc r="V23">
      <f>K23*E23</f>
    </oc>
    <nc r="V23">
      <f>K23*E23</f>
    </nc>
  </rcc>
  <rcc rId="625" sId="13">
    <oc r="S24">
      <f>H24*E24</f>
    </oc>
    <nc r="S24">
      <f>H24*E24</f>
    </nc>
  </rcc>
  <rcc rId="626" sId="13">
    <oc r="T24">
      <f>I24*E24</f>
    </oc>
    <nc r="T24">
      <f>I24*E24</f>
    </nc>
  </rcc>
  <rcc rId="627" sId="13">
    <oc r="U24">
      <f>J24*E24</f>
    </oc>
    <nc r="U24">
      <f>J24*E24</f>
    </nc>
  </rcc>
  <rcc rId="628" sId="13">
    <oc r="V24">
      <f>K24*E24</f>
    </oc>
    <nc r="V24">
      <f>K24*E24</f>
    </nc>
  </rcc>
  <rcc rId="629" sId="13">
    <oc r="S25">
      <f>H25*E25</f>
    </oc>
    <nc r="S25">
      <f>H25*E25</f>
    </nc>
  </rcc>
  <rcc rId="630" sId="13">
    <oc r="T25">
      <f>I25*E25</f>
    </oc>
    <nc r="T25">
      <f>I25*E25</f>
    </nc>
  </rcc>
  <rcc rId="631" sId="13">
    <oc r="U25">
      <f>J25*E25</f>
    </oc>
    <nc r="U25">
      <f>J25*E25</f>
    </nc>
  </rcc>
  <rcc rId="632" sId="13">
    <oc r="V25">
      <f>K25*E25</f>
    </oc>
    <nc r="V25">
      <f>K25*E25</f>
    </nc>
  </rcc>
  <rcc rId="633" sId="13">
    <oc r="S26">
      <f>H26*E26</f>
    </oc>
    <nc r="S26">
      <f>H26*E26</f>
    </nc>
  </rcc>
  <rcc rId="634" sId="13">
    <oc r="T26">
      <f>I26*E26</f>
    </oc>
    <nc r="T26">
      <f>I26*E26</f>
    </nc>
  </rcc>
  <rcc rId="635" sId="13">
    <oc r="U26">
      <f>J26*E26</f>
    </oc>
    <nc r="U26">
      <f>J26*E26</f>
    </nc>
  </rcc>
  <rcc rId="636" sId="13">
    <oc r="V26">
      <f>K26*E26</f>
    </oc>
    <nc r="V26">
      <f>K26*E26</f>
    </nc>
  </rcc>
  <rcc rId="637" sId="13">
    <nc r="S27">
      <f>H27*E27</f>
    </nc>
  </rcc>
  <rcc rId="638" sId="13">
    <nc r="T27">
      <f>I27*E27</f>
    </nc>
  </rcc>
  <rcc rId="639" sId="13">
    <nc r="U27">
      <f>J27*E27</f>
    </nc>
  </rcc>
  <rcc rId="640" sId="13">
    <nc r="V27">
      <f>K27*E27</f>
    </nc>
  </rcc>
  <rcc rId="641" sId="13">
    <oc r="S28">
      <f>H28*E28</f>
    </oc>
    <nc r="S28">
      <f>H28*E28</f>
    </nc>
  </rcc>
  <rcc rId="642" sId="13">
    <oc r="T28">
      <f>I28*E28</f>
    </oc>
    <nc r="T28">
      <f>I28*E28</f>
    </nc>
  </rcc>
  <rcc rId="643" sId="13">
    <oc r="U28">
      <f>J28*E28</f>
    </oc>
    <nc r="U28">
      <f>J28*E28</f>
    </nc>
  </rcc>
  <rcc rId="644" sId="13">
    <oc r="V28">
      <f>K28*E28</f>
    </oc>
    <nc r="V28">
      <f>K28*E28</f>
    </nc>
  </rcc>
  <rcc rId="645" sId="13">
    <nc r="S29">
      <f>H29*E29</f>
    </nc>
  </rcc>
  <rcc rId="646" sId="13">
    <nc r="T29">
      <f>I29*E29</f>
    </nc>
  </rcc>
  <rcc rId="647" sId="13">
    <nc r="U29">
      <f>J29*E29</f>
    </nc>
  </rcc>
  <rcc rId="648" sId="13">
    <nc r="V29">
      <f>K29*E29</f>
    </nc>
  </rcc>
  <rcc rId="649" sId="13">
    <nc r="S30">
      <f>H30*E30</f>
    </nc>
  </rcc>
  <rcc rId="650" sId="13">
    <nc r="T30">
      <f>I30*E30</f>
    </nc>
  </rcc>
  <rcc rId="651" sId="13">
    <nc r="U30">
      <f>J30*E30</f>
    </nc>
  </rcc>
  <rcc rId="652" sId="13">
    <nc r="V30">
      <f>K30*E30</f>
    </nc>
  </rcc>
  <rcc rId="653" sId="13">
    <nc r="S31">
      <f>H31*E31</f>
    </nc>
  </rcc>
  <rcc rId="654" sId="13">
    <nc r="T31">
      <f>I31*E31</f>
    </nc>
  </rcc>
  <rcc rId="655" sId="13">
    <nc r="U31">
      <f>J31*E31</f>
    </nc>
  </rcc>
  <rcc rId="656" sId="13">
    <nc r="V31">
      <f>K31*E31</f>
    </nc>
  </rcc>
  <rcc rId="657" sId="13">
    <oc r="S32">
      <f>H32*E32</f>
    </oc>
    <nc r="S32">
      <f>H32*E32</f>
    </nc>
  </rcc>
  <rcc rId="658" sId="13">
    <oc r="T32">
      <f>I32*E32</f>
    </oc>
    <nc r="T32">
      <f>I32*E32</f>
    </nc>
  </rcc>
  <rcc rId="659" sId="13">
    <oc r="U32">
      <f>J32*E32</f>
    </oc>
    <nc r="U32">
      <f>J32*E32</f>
    </nc>
  </rcc>
  <rcc rId="660" sId="13">
    <oc r="V32">
      <f>K32*E32</f>
    </oc>
    <nc r="V32">
      <f>K32*E32</f>
    </nc>
  </rcc>
  <rcc rId="661" sId="13">
    <oc r="S33">
      <f>H33*E33</f>
    </oc>
    <nc r="S33">
      <f>H33*E33</f>
    </nc>
  </rcc>
  <rcc rId="662" sId="13">
    <oc r="T33">
      <f>I33*E33</f>
    </oc>
    <nc r="T33">
      <f>I33*E33</f>
    </nc>
  </rcc>
  <rcc rId="663" sId="13">
    <oc r="U33">
      <f>J33*E33</f>
    </oc>
    <nc r="U33">
      <f>J33*E33</f>
    </nc>
  </rcc>
  <rcc rId="664" sId="13">
    <oc r="V33">
      <f>K33*E33</f>
    </oc>
    <nc r="V33">
      <f>K33*E33</f>
    </nc>
  </rcc>
  <rcc rId="665" sId="13">
    <oc r="S34">
      <f>H34*E34</f>
    </oc>
    <nc r="S34">
      <f>H34*E34</f>
    </nc>
  </rcc>
  <rcc rId="666" sId="13">
    <oc r="T34">
      <f>I34*E34</f>
    </oc>
    <nc r="T34">
      <f>I34*E34</f>
    </nc>
  </rcc>
  <rcc rId="667" sId="13">
    <oc r="U34">
      <f>J34*E34</f>
    </oc>
    <nc r="U34">
      <f>J34*E34</f>
    </nc>
  </rcc>
  <rcc rId="668" sId="13">
    <oc r="V34">
      <f>K34*E34</f>
    </oc>
    <nc r="V34">
      <f>K34*E34</f>
    </nc>
  </rcc>
  <rcc rId="669" sId="13">
    <oc r="S35">
      <f>H35*E35</f>
    </oc>
    <nc r="S35">
      <f>H35*E35</f>
    </nc>
  </rcc>
  <rcc rId="670" sId="13">
    <oc r="T35">
      <f>I35*E35</f>
    </oc>
    <nc r="T35">
      <f>I35*E35</f>
    </nc>
  </rcc>
  <rcc rId="671" sId="13">
    <oc r="U35">
      <f>J35*E35</f>
    </oc>
    <nc r="U35">
      <f>J35*E35</f>
    </nc>
  </rcc>
  <rcc rId="672" sId="13">
    <oc r="V35">
      <f>K35*E35</f>
    </oc>
    <nc r="V35">
      <f>K35*E35</f>
    </nc>
  </rcc>
  <rcc rId="673" sId="13">
    <oc r="S36">
      <f>H36*E36</f>
    </oc>
    <nc r="S36">
      <f>H36*E36</f>
    </nc>
  </rcc>
  <rcc rId="674" sId="13">
    <oc r="T36">
      <f>I36*E36</f>
    </oc>
    <nc r="T36">
      <f>I36*E36</f>
    </nc>
  </rcc>
  <rcc rId="675" sId="13">
    <oc r="U36">
      <f>J36*E36</f>
    </oc>
    <nc r="U36">
      <f>J36*E36</f>
    </nc>
  </rcc>
  <rcc rId="676" sId="13">
    <oc r="V36">
      <f>K36*E36</f>
    </oc>
    <nc r="V36">
      <f>K36*E36</f>
    </nc>
  </rcc>
  <rcc rId="677" sId="13">
    <oc r="S37">
      <f>H37*E37</f>
    </oc>
    <nc r="S37">
      <f>H37*E37</f>
    </nc>
  </rcc>
  <rcc rId="678" sId="13">
    <oc r="T37">
      <f>I37*E37</f>
    </oc>
    <nc r="T37">
      <f>I37*E37</f>
    </nc>
  </rcc>
  <rcc rId="679" sId="13">
    <oc r="U37">
      <f>J37*E37</f>
    </oc>
    <nc r="U37">
      <f>J37*E37</f>
    </nc>
  </rcc>
  <rcc rId="680" sId="13">
    <oc r="V37">
      <f>K37*E37</f>
    </oc>
    <nc r="V37">
      <f>K37*E37</f>
    </nc>
  </rcc>
  <rcc rId="681" sId="13">
    <oc r="S38">
      <f>H38*E38</f>
    </oc>
    <nc r="S38">
      <f>H38*E38</f>
    </nc>
  </rcc>
  <rcc rId="682" sId="13">
    <oc r="T38">
      <f>I38*E38</f>
    </oc>
    <nc r="T38">
      <f>I38*E38</f>
    </nc>
  </rcc>
  <rcc rId="683" sId="13">
    <oc r="U38">
      <f>J38*E38</f>
    </oc>
    <nc r="U38">
      <f>J38*E38</f>
    </nc>
  </rcc>
  <rcc rId="684" sId="13">
    <oc r="V38">
      <f>K38*E38</f>
    </oc>
    <nc r="V38">
      <f>K38*E38</f>
    </nc>
  </rcc>
  <rcc rId="685" sId="13">
    <oc r="S39">
      <f>H39*E39</f>
    </oc>
    <nc r="S39">
      <f>H39*E39</f>
    </nc>
  </rcc>
  <rcc rId="686" sId="13">
    <oc r="T39">
      <f>I39*E39</f>
    </oc>
    <nc r="T39">
      <f>I39*E39</f>
    </nc>
  </rcc>
  <rcc rId="687" sId="13">
    <oc r="U39">
      <f>J39*E39</f>
    </oc>
    <nc r="U39">
      <f>J39*E39</f>
    </nc>
  </rcc>
  <rcc rId="688" sId="13">
    <oc r="V39">
      <f>K39*E39</f>
    </oc>
    <nc r="V39">
      <f>K39*E39</f>
    </nc>
  </rcc>
  <rcc rId="689" sId="13">
    <oc r="S40">
      <f>H40*E40</f>
    </oc>
    <nc r="S40">
      <f>H40*E40</f>
    </nc>
  </rcc>
  <rcc rId="690" sId="13">
    <oc r="T40">
      <f>I40*E40</f>
    </oc>
    <nc r="T40">
      <f>I40*E40</f>
    </nc>
  </rcc>
  <rcc rId="691" sId="13">
    <oc r="U40">
      <f>J40*E40</f>
    </oc>
    <nc r="U40">
      <f>J40*E40</f>
    </nc>
  </rcc>
  <rcc rId="692" sId="13">
    <oc r="V40">
      <f>K40*E40</f>
    </oc>
    <nc r="V40">
      <f>K40*E40</f>
    </nc>
  </rcc>
  <rcc rId="693" sId="13">
    <oc r="S41">
      <f>H41*E41</f>
    </oc>
    <nc r="S41">
      <f>H41*E41</f>
    </nc>
  </rcc>
  <rcc rId="694" sId="13">
    <oc r="T41">
      <f>I41*E41</f>
    </oc>
    <nc r="T41">
      <f>I41*E41</f>
    </nc>
  </rcc>
  <rcc rId="695" sId="13">
    <oc r="U41">
      <f>J41*E41</f>
    </oc>
    <nc r="U41">
      <f>J41*E41</f>
    </nc>
  </rcc>
  <rcc rId="696" sId="13">
    <oc r="V41">
      <f>K41*E41</f>
    </oc>
    <nc r="V41">
      <f>K41*E41</f>
    </nc>
  </rcc>
  <rcc rId="697" sId="13">
    <oc r="S42">
      <f>H42*E42</f>
    </oc>
    <nc r="S42">
      <f>H42*E42</f>
    </nc>
  </rcc>
  <rcc rId="698" sId="13">
    <oc r="T42">
      <f>I42*E42</f>
    </oc>
    <nc r="T42">
      <f>I42*E42</f>
    </nc>
  </rcc>
  <rcc rId="699" sId="13">
    <oc r="U42">
      <f>J42*E42</f>
    </oc>
    <nc r="U42">
      <f>J42*E42</f>
    </nc>
  </rcc>
  <rcc rId="700" sId="13">
    <oc r="V42">
      <f>K42*E42</f>
    </oc>
    <nc r="V42">
      <f>K42*E42</f>
    </nc>
  </rcc>
  <rcc rId="701" sId="13">
    <oc r="S43">
      <f>H43*E43</f>
    </oc>
    <nc r="S43">
      <f>H43*E43</f>
    </nc>
  </rcc>
  <rcc rId="702" sId="13">
    <oc r="T43">
      <f>I43*E43</f>
    </oc>
    <nc r="T43">
      <f>I43*E43</f>
    </nc>
  </rcc>
  <rcc rId="703" sId="13">
    <oc r="U43">
      <f>J43*E43</f>
    </oc>
    <nc r="U43">
      <f>J43*E43</f>
    </nc>
  </rcc>
  <rcc rId="704" sId="13">
    <oc r="V43">
      <f>K43*E43</f>
    </oc>
    <nc r="V43">
      <f>K43*E43</f>
    </nc>
  </rcc>
  <rcc rId="705" sId="13">
    <oc r="S44">
      <f>H44*E44</f>
    </oc>
    <nc r="S44">
      <f>H44*E44</f>
    </nc>
  </rcc>
  <rcc rId="706" sId="13">
    <oc r="T44">
      <f>I44*E44</f>
    </oc>
    <nc r="T44">
      <f>I44*E44</f>
    </nc>
  </rcc>
  <rcc rId="707" sId="13">
    <oc r="U44">
      <f>J44*E44</f>
    </oc>
    <nc r="U44">
      <f>J44*E44</f>
    </nc>
  </rcc>
  <rcc rId="708" sId="13">
    <oc r="V44">
      <f>K44*E44</f>
    </oc>
    <nc r="V44">
      <f>K44*E44</f>
    </nc>
  </rcc>
  <rcc rId="709" sId="13">
    <nc r="S45">
      <f>H45*E45</f>
    </nc>
  </rcc>
  <rcc rId="710" sId="13">
    <nc r="T45">
      <f>I45*E45</f>
    </nc>
  </rcc>
  <rcc rId="711" sId="13">
    <nc r="U45">
      <f>J45*E45</f>
    </nc>
  </rcc>
  <rcc rId="712" sId="13">
    <nc r="V45">
      <f>K45*E45</f>
    </nc>
  </rcc>
  <rcc rId="713" sId="13">
    <nc r="S46">
      <f>H46*E46</f>
    </nc>
  </rcc>
  <rcc rId="714" sId="13">
    <nc r="T46">
      <f>I46*E46</f>
    </nc>
  </rcc>
  <rcc rId="715" sId="13">
    <nc r="U46">
      <f>J46*E46</f>
    </nc>
  </rcc>
  <rcc rId="716" sId="13">
    <nc r="V46">
      <f>K46*E46</f>
    </nc>
  </rcc>
  <rcc rId="717" sId="13">
    <nc r="S47">
      <f>H47*E47</f>
    </nc>
  </rcc>
  <rcc rId="718" sId="13">
    <nc r="T47">
      <f>I47*E47</f>
    </nc>
  </rcc>
  <rcc rId="719" sId="13">
    <nc r="U47">
      <f>J47*E47</f>
    </nc>
  </rcc>
  <rcc rId="720" sId="13">
    <nc r="V47">
      <f>K47*E47</f>
    </nc>
  </rcc>
  <rcc rId="721" sId="13">
    <oc r="S48">
      <f>H48*E48</f>
    </oc>
    <nc r="S48">
      <f>H48*E48</f>
    </nc>
  </rcc>
  <rcc rId="722" sId="13">
    <oc r="T48">
      <f>I48*E48</f>
    </oc>
    <nc r="T48">
      <f>I48*E48</f>
    </nc>
  </rcc>
  <rcc rId="723" sId="13">
    <oc r="U48">
      <f>J48*E48</f>
    </oc>
    <nc r="U48">
      <f>J48*E48</f>
    </nc>
  </rcc>
  <rcc rId="724" sId="13">
    <oc r="V48">
      <f>K48*E48</f>
    </oc>
    <nc r="V48">
      <f>K48*E48</f>
    </nc>
  </rcc>
  <rcc rId="725" sId="13">
    <oc r="S49">
      <f>H49*E49</f>
    </oc>
    <nc r="S49">
      <f>H49*E49</f>
    </nc>
  </rcc>
  <rcc rId="726" sId="13">
    <oc r="T49">
      <f>I49*E49</f>
    </oc>
    <nc r="T49">
      <f>I49*E49</f>
    </nc>
  </rcc>
  <rcc rId="727" sId="13">
    <oc r="U49">
      <f>J49*E49</f>
    </oc>
    <nc r="U49">
      <f>J49*E49</f>
    </nc>
  </rcc>
  <rcc rId="728" sId="13">
    <oc r="V49">
      <f>K49*E49</f>
    </oc>
    <nc r="V49">
      <f>K49*E49</f>
    </nc>
  </rcc>
  <rcc rId="729" sId="13">
    <oc r="S50">
      <f>H50*E50</f>
    </oc>
    <nc r="S50">
      <f>H50*E50</f>
    </nc>
  </rcc>
  <rcc rId="730" sId="13">
    <oc r="T50">
      <f>I50*E50</f>
    </oc>
    <nc r="T50">
      <f>I50*E50</f>
    </nc>
  </rcc>
  <rcc rId="731" sId="13">
    <oc r="U50">
      <f>J50*E50</f>
    </oc>
    <nc r="U50">
      <f>J50*E50</f>
    </nc>
  </rcc>
  <rcc rId="732" sId="13">
    <oc r="V50">
      <f>K50*E50</f>
    </oc>
    <nc r="V50">
      <f>K50*E50</f>
    </nc>
  </rcc>
  <rcc rId="733" sId="13">
    <oc r="S51">
      <f>H51*E51</f>
    </oc>
    <nc r="S51">
      <f>H51*E51</f>
    </nc>
  </rcc>
  <rcc rId="734" sId="13">
    <oc r="T51">
      <f>I51*E51</f>
    </oc>
    <nc r="T51">
      <f>I51*E51</f>
    </nc>
  </rcc>
  <rcc rId="735" sId="13">
    <oc r="U51">
      <f>J51*E51</f>
    </oc>
    <nc r="U51">
      <f>J51*E51</f>
    </nc>
  </rcc>
  <rcc rId="736" sId="13">
    <oc r="V51">
      <f>K51*E51</f>
    </oc>
    <nc r="V51">
      <f>K51*E51</f>
    </nc>
  </rcc>
  <rcc rId="737" sId="13">
    <oc r="S52">
      <f>H52*E52</f>
    </oc>
    <nc r="S52">
      <f>H52*E52</f>
    </nc>
  </rcc>
  <rcc rId="738" sId="13">
    <oc r="T52">
      <f>I52*E52</f>
    </oc>
    <nc r="T52">
      <f>I52*E52</f>
    </nc>
  </rcc>
  <rcc rId="739" sId="13">
    <oc r="U52">
      <f>J52*E52</f>
    </oc>
    <nc r="U52">
      <f>J52*E52</f>
    </nc>
  </rcc>
  <rcc rId="740" sId="13">
    <oc r="V52">
      <f>K52*E52</f>
    </oc>
    <nc r="V52">
      <f>K52*E52</f>
    </nc>
  </rcc>
  <rcc rId="741" sId="13">
    <oc r="S53">
      <f>H53*E53</f>
    </oc>
    <nc r="S53">
      <f>H53*E53</f>
    </nc>
  </rcc>
  <rcc rId="742" sId="13">
    <oc r="T53">
      <f>I53*E53</f>
    </oc>
    <nc r="T53">
      <f>I53*E53</f>
    </nc>
  </rcc>
  <rcc rId="743" sId="13">
    <oc r="U53">
      <f>J53*E53</f>
    </oc>
    <nc r="U53">
      <f>J53*E53</f>
    </nc>
  </rcc>
  <rcc rId="744" sId="13">
    <oc r="V53">
      <f>K53*E53</f>
    </oc>
    <nc r="V53">
      <f>K53*E53</f>
    </nc>
  </rcc>
  <rcc rId="745" sId="13">
    <oc r="S54">
      <f>H54*E54</f>
    </oc>
    <nc r="S54">
      <f>H54*E54</f>
    </nc>
  </rcc>
  <rcc rId="746" sId="13">
    <oc r="T54">
      <f>I54*E54</f>
    </oc>
    <nc r="T54">
      <f>I54*E54</f>
    </nc>
  </rcc>
  <rcc rId="747" sId="13">
    <oc r="U54">
      <f>J54*E54</f>
    </oc>
    <nc r="U54">
      <f>J54*E54</f>
    </nc>
  </rcc>
  <rcc rId="748" sId="13">
    <oc r="V54">
      <f>K54*E54</f>
    </oc>
    <nc r="V54">
      <f>K54*E54</f>
    </nc>
  </rcc>
  <rcc rId="749" sId="13">
    <oc r="S55">
      <f>H55*E55</f>
    </oc>
    <nc r="S55">
      <f>H55*E55</f>
    </nc>
  </rcc>
  <rcc rId="750" sId="13">
    <oc r="T55">
      <f>I55*E55</f>
    </oc>
    <nc r="T55">
      <f>I55*E55</f>
    </nc>
  </rcc>
  <rcc rId="751" sId="13">
    <oc r="U55">
      <f>J55*E55</f>
    </oc>
    <nc r="U55">
      <f>J55*E55</f>
    </nc>
  </rcc>
  <rcc rId="752" sId="13">
    <oc r="V55">
      <f>K55*E55</f>
    </oc>
    <nc r="V55">
      <f>K55*E55</f>
    </nc>
  </rcc>
  <rcc rId="753" sId="13">
    <nc r="S56">
      <f>H56*E56</f>
    </nc>
  </rcc>
  <rcc rId="754" sId="13">
    <nc r="T56">
      <f>I56*E56</f>
    </nc>
  </rcc>
  <rcc rId="755" sId="13">
    <nc r="U56">
      <f>J56*E56</f>
    </nc>
  </rcc>
  <rcc rId="756" sId="13">
    <nc r="V56">
      <f>K56*E56</f>
    </nc>
  </rcc>
  <rcc rId="757" sId="13">
    <nc r="S57">
      <f>H57*E57</f>
    </nc>
  </rcc>
  <rcc rId="758" sId="13">
    <nc r="T57">
      <f>I57*E57</f>
    </nc>
  </rcc>
  <rcc rId="759" sId="13">
    <nc r="U57">
      <f>J57*E57</f>
    </nc>
  </rcc>
  <rcc rId="760" sId="13">
    <nc r="V57">
      <f>K57*E57</f>
    </nc>
  </rcc>
  <rcc rId="761" sId="13">
    <nc r="S58">
      <f>H58*E58</f>
    </nc>
  </rcc>
  <rcc rId="762" sId="13">
    <nc r="T58">
      <f>I58*E58</f>
    </nc>
  </rcc>
  <rcc rId="763" sId="13">
    <nc r="U58">
      <f>J58*E58</f>
    </nc>
  </rcc>
  <rcc rId="764" sId="13">
    <nc r="V58">
      <f>K58*E58</f>
    </nc>
  </rcc>
  <rcc rId="765" sId="13">
    <oc r="S59">
      <f>H59*E59</f>
    </oc>
    <nc r="S59">
      <f>H59*E59</f>
    </nc>
  </rcc>
  <rcc rId="766" sId="13">
    <oc r="T59">
      <f>I59*E59</f>
    </oc>
    <nc r="T59">
      <f>I59*E59</f>
    </nc>
  </rcc>
  <rcc rId="767" sId="13">
    <oc r="U59">
      <f>J59*E59</f>
    </oc>
    <nc r="U59">
      <f>J59*E59</f>
    </nc>
  </rcc>
  <rcc rId="768" sId="13">
    <oc r="V59">
      <f>K59*E59</f>
    </oc>
    <nc r="V59">
      <f>K59*E59</f>
    </nc>
  </rcc>
  <rcc rId="769" sId="13">
    <nc r="S60">
      <f>H60*E60</f>
    </nc>
  </rcc>
  <rcc rId="770" sId="13">
    <nc r="T60">
      <f>I60*E60</f>
    </nc>
  </rcc>
  <rcc rId="771" sId="13">
    <nc r="U60">
      <f>J60*E60</f>
    </nc>
  </rcc>
  <rcc rId="772" sId="13">
    <nc r="V60">
      <f>K60*E60</f>
    </nc>
  </rcc>
  <rcc rId="773" sId="13">
    <oc r="S61">
      <f>H61*E61</f>
    </oc>
    <nc r="S61">
      <f>H61*E61</f>
    </nc>
  </rcc>
  <rcc rId="774" sId="13">
    <oc r="T61">
      <f>I61*E61</f>
    </oc>
    <nc r="T61">
      <f>I61*E61</f>
    </nc>
  </rcc>
  <rcc rId="775" sId="13">
    <oc r="U61">
      <f>J61*E61</f>
    </oc>
    <nc r="U61">
      <f>J61*E61</f>
    </nc>
  </rcc>
  <rcc rId="776" sId="13">
    <oc r="V61">
      <f>K61*E61</f>
    </oc>
    <nc r="V61">
      <f>K61*E61</f>
    </nc>
  </rcc>
  <rcc rId="777" sId="13">
    <oc r="S62">
      <f>H62*E62</f>
    </oc>
    <nc r="S62">
      <f>H62*E62</f>
    </nc>
  </rcc>
  <rcc rId="778" sId="13">
    <oc r="T62">
      <f>I62*E62</f>
    </oc>
    <nc r="T62">
      <f>I62*E62</f>
    </nc>
  </rcc>
  <rcc rId="779" sId="13">
    <oc r="U62">
      <f>J62*E62</f>
    </oc>
    <nc r="U62">
      <f>J62*E62</f>
    </nc>
  </rcc>
  <rcc rId="780" sId="13">
    <oc r="V62">
      <f>K62*E62</f>
    </oc>
    <nc r="V62">
      <f>K62*E62</f>
    </nc>
  </rcc>
  <rcc rId="781" sId="13">
    <oc r="S63">
      <f>H63*E63</f>
    </oc>
    <nc r="S63">
      <f>H63*E63</f>
    </nc>
  </rcc>
  <rcc rId="782" sId="13">
    <oc r="T63">
      <f>I63*E63</f>
    </oc>
    <nc r="T63">
      <f>I63*E63</f>
    </nc>
  </rcc>
  <rcc rId="783" sId="13">
    <oc r="U63">
      <f>J63*E63</f>
    </oc>
    <nc r="U63">
      <f>J63*E63</f>
    </nc>
  </rcc>
  <rcc rId="784" sId="13">
    <oc r="V63">
      <f>K63*E63</f>
    </oc>
    <nc r="V63">
      <f>K63*E63</f>
    </nc>
  </rcc>
  <rcc rId="785" sId="13">
    <oc r="S64">
      <f>H64*E64</f>
    </oc>
    <nc r="S64">
      <f>H64*E64</f>
    </nc>
  </rcc>
  <rcc rId="786" sId="13">
    <oc r="T64">
      <f>I64*E64</f>
    </oc>
    <nc r="T64">
      <f>I64*E64</f>
    </nc>
  </rcc>
  <rcc rId="787" sId="13">
    <oc r="U64">
      <f>J64*E64</f>
    </oc>
    <nc r="U64">
      <f>J64*E64</f>
    </nc>
  </rcc>
  <rcc rId="788" sId="13">
    <oc r="V64">
      <f>K64*E64</f>
    </oc>
    <nc r="V64">
      <f>K64*E64</f>
    </nc>
  </rcc>
  <rcc rId="789" sId="13">
    <oc r="S65">
      <f>H65*E65</f>
    </oc>
    <nc r="S65">
      <f>H65*E65</f>
    </nc>
  </rcc>
  <rcc rId="790" sId="13">
    <oc r="T65">
      <f>I65*E65</f>
    </oc>
    <nc r="T65">
      <f>I65*E65</f>
    </nc>
  </rcc>
  <rcc rId="791" sId="13">
    <oc r="U65">
      <f>J65*E65</f>
    </oc>
    <nc r="U65">
      <f>J65*E65</f>
    </nc>
  </rcc>
  <rcc rId="792" sId="13">
    <oc r="V65">
      <f>K65*E65</f>
    </oc>
    <nc r="V65">
      <f>K65*E65</f>
    </nc>
  </rcc>
  <rcc rId="793" sId="13">
    <oc r="S66">
      <f>H66*E66</f>
    </oc>
    <nc r="S66">
      <f>H66*E66</f>
    </nc>
  </rcc>
  <rcc rId="794" sId="13">
    <oc r="T66">
      <f>I66*E66</f>
    </oc>
    <nc r="T66">
      <f>I66*E66</f>
    </nc>
  </rcc>
  <rcc rId="795" sId="13">
    <oc r="U66">
      <f>J66*E66</f>
    </oc>
    <nc r="U66">
      <f>J66*E66</f>
    </nc>
  </rcc>
  <rcc rId="796" sId="13">
    <oc r="V66">
      <f>K66*E66</f>
    </oc>
    <nc r="V66">
      <f>K66*E66</f>
    </nc>
  </rcc>
  <rcc rId="797" sId="13">
    <oc r="S67">
      <f>H67*E67</f>
    </oc>
    <nc r="S67">
      <f>H67*E67</f>
    </nc>
  </rcc>
  <rcc rId="798" sId="13">
    <oc r="T67">
      <f>I67*E67</f>
    </oc>
    <nc r="T67">
      <f>I67*E67</f>
    </nc>
  </rcc>
  <rcc rId="799" sId="13">
    <oc r="U67">
      <f>J67*E67</f>
    </oc>
    <nc r="U67">
      <f>J67*E67</f>
    </nc>
  </rcc>
  <rcc rId="800" sId="13">
    <oc r="V67">
      <f>K67*E67</f>
    </oc>
    <nc r="V67">
      <f>K67*E67</f>
    </nc>
  </rcc>
  <rcc rId="801" sId="13">
    <oc r="S68">
      <f>H68*E68</f>
    </oc>
    <nc r="S68">
      <f>H68*E68</f>
    </nc>
  </rcc>
  <rcc rId="802" sId="13">
    <oc r="T68">
      <f>I68*E68</f>
    </oc>
    <nc r="T68">
      <f>I68*E68</f>
    </nc>
  </rcc>
  <rcc rId="803" sId="13">
    <oc r="U68">
      <f>J68*E68</f>
    </oc>
    <nc r="U68">
      <f>J68*E68</f>
    </nc>
  </rcc>
  <rcc rId="804" sId="13">
    <oc r="V68">
      <f>K68*E68</f>
    </oc>
    <nc r="V68">
      <f>K68*E68</f>
    </nc>
  </rcc>
  <rcc rId="805" sId="13">
    <oc r="S69">
      <f>H69*E69</f>
    </oc>
    <nc r="S69">
      <f>H69*E69</f>
    </nc>
  </rcc>
  <rcc rId="806" sId="13">
    <oc r="T69">
      <f>I69*E69</f>
    </oc>
    <nc r="T69">
      <f>I69*E69</f>
    </nc>
  </rcc>
  <rcc rId="807" sId="13">
    <oc r="U69">
      <f>J69*E69</f>
    </oc>
    <nc r="U69">
      <f>J69*E69</f>
    </nc>
  </rcc>
  <rcc rId="808" sId="13">
    <oc r="V69">
      <f>K69*E69</f>
    </oc>
    <nc r="V69">
      <f>K69*E69</f>
    </nc>
  </rcc>
  <rcc rId="809" sId="13">
    <oc r="S70">
      <f>H70*E70</f>
    </oc>
    <nc r="S70">
      <f>H70*E70</f>
    </nc>
  </rcc>
  <rcc rId="810" sId="13">
    <oc r="T70">
      <f>I70*E70</f>
    </oc>
    <nc r="T70">
      <f>I70*E70</f>
    </nc>
  </rcc>
  <rcc rId="811" sId="13">
    <oc r="U70">
      <f>J70*E70</f>
    </oc>
    <nc r="U70">
      <f>J70*E70</f>
    </nc>
  </rcc>
  <rcc rId="812" sId="13">
    <oc r="V70">
      <f>K70*E70</f>
    </oc>
    <nc r="V70">
      <f>K70*E70</f>
    </nc>
  </rcc>
  <rcc rId="813" sId="13">
    <oc r="S71">
      <f>H71*E71</f>
    </oc>
    <nc r="S71">
      <f>H71*E71</f>
    </nc>
  </rcc>
  <rcc rId="814" sId="13">
    <oc r="T71">
      <f>I71*E71</f>
    </oc>
    <nc r="T71">
      <f>I71*E71</f>
    </nc>
  </rcc>
  <rcc rId="815" sId="13">
    <oc r="U71">
      <f>J71*E71</f>
    </oc>
    <nc r="U71">
      <f>J71*E71</f>
    </nc>
  </rcc>
  <rcc rId="816" sId="13">
    <oc r="V71">
      <f>K71*E71</f>
    </oc>
    <nc r="V71">
      <f>K71*E71</f>
    </nc>
  </rcc>
  <rcc rId="817" sId="13">
    <oc r="S72">
      <f>H72*E72</f>
    </oc>
    <nc r="S72">
      <f>H72*E72</f>
    </nc>
  </rcc>
  <rcc rId="818" sId="13">
    <oc r="T72">
      <f>I72*E72</f>
    </oc>
    <nc r="T72">
      <f>I72*E72</f>
    </nc>
  </rcc>
  <rcc rId="819" sId="13">
    <oc r="U72">
      <f>J72*E72</f>
    </oc>
    <nc r="U72">
      <f>J72*E72</f>
    </nc>
  </rcc>
  <rcc rId="820" sId="13">
    <oc r="V72">
      <f>K72*E72</f>
    </oc>
    <nc r="V72">
      <f>K72*E72</f>
    </nc>
  </rcc>
  <rcc rId="821" sId="13">
    <nc r="S73">
      <f>H73*E73</f>
    </nc>
  </rcc>
  <rcc rId="822" sId="13">
    <nc r="T73">
      <f>I73*E73</f>
    </nc>
  </rcc>
  <rcc rId="823" sId="13">
    <nc r="U73">
      <f>J73*E73</f>
    </nc>
  </rcc>
  <rcc rId="824" sId="13">
    <nc r="V73">
      <f>K73*E73</f>
    </nc>
  </rcc>
  <rcc rId="825" sId="13">
    <nc r="S74">
      <f>H74*E74</f>
    </nc>
  </rcc>
  <rcc rId="826" sId="13">
    <nc r="T74">
      <f>I74*E74</f>
    </nc>
  </rcc>
  <rcc rId="827" sId="13">
    <nc r="U74">
      <f>J74*E74</f>
    </nc>
  </rcc>
  <rcc rId="828" sId="13">
    <nc r="V74">
      <f>K74*E74</f>
    </nc>
  </rcc>
  <rcc rId="829" sId="13">
    <nc r="S75">
      <f>H75*E75</f>
    </nc>
  </rcc>
  <rcc rId="830" sId="13">
    <nc r="T75">
      <f>I75*E75</f>
    </nc>
  </rcc>
  <rcc rId="831" sId="13">
    <nc r="U75">
      <f>J75*E75</f>
    </nc>
  </rcc>
  <rcc rId="832" sId="13">
    <nc r="V75">
      <f>K75*E75</f>
    </nc>
  </rcc>
  <rcc rId="833" sId="13">
    <oc r="S76">
      <f>H76*E76</f>
    </oc>
    <nc r="S76">
      <f>H76*E76</f>
    </nc>
  </rcc>
  <rcc rId="834" sId="13">
    <oc r="T76">
      <f>I76*E76</f>
    </oc>
    <nc r="T76">
      <f>I76*E76</f>
    </nc>
  </rcc>
  <rcc rId="835" sId="13">
    <oc r="U76">
      <f>J76*E76</f>
    </oc>
    <nc r="U76">
      <f>J76*E76</f>
    </nc>
  </rcc>
  <rcc rId="836" sId="13">
    <oc r="V76">
      <f>K76*E76</f>
    </oc>
    <nc r="V76">
      <f>K76*E76</f>
    </nc>
  </rcc>
  <rcc rId="837" sId="13">
    <oc r="S77">
      <f>H77*E77</f>
    </oc>
    <nc r="S77">
      <f>H77*E77</f>
    </nc>
  </rcc>
  <rcc rId="838" sId="13">
    <oc r="T77">
      <f>I77*E77</f>
    </oc>
    <nc r="T77">
      <f>I77*E77</f>
    </nc>
  </rcc>
  <rcc rId="839" sId="13">
    <oc r="U77">
      <f>J77*E77</f>
    </oc>
    <nc r="U77">
      <f>J77*E77</f>
    </nc>
  </rcc>
  <rcc rId="840" sId="13">
    <oc r="V77">
      <f>K77*E77</f>
    </oc>
    <nc r="V77">
      <f>K77*E77</f>
    </nc>
  </rcc>
  <rcc rId="841" sId="13">
    <oc r="S78">
      <f>H78*E78</f>
    </oc>
    <nc r="S78">
      <f>H78*E78</f>
    </nc>
  </rcc>
  <rcc rId="842" sId="13">
    <oc r="T78">
      <f>I78*E78</f>
    </oc>
    <nc r="T78">
      <f>I78*E78</f>
    </nc>
  </rcc>
  <rcc rId="843" sId="13">
    <oc r="U78">
      <f>J78*E78</f>
    </oc>
    <nc r="U78">
      <f>J78*E78</f>
    </nc>
  </rcc>
  <rcc rId="844" sId="13">
    <oc r="V78">
      <f>K78*E78</f>
    </oc>
    <nc r="V78">
      <f>K78*E78</f>
    </nc>
  </rcc>
  <rcc rId="845" sId="13">
    <oc r="S79">
      <f>H79*E79</f>
    </oc>
    <nc r="S79">
      <f>H79*E79</f>
    </nc>
  </rcc>
  <rcc rId="846" sId="13">
    <oc r="T79">
      <f>I79*E79</f>
    </oc>
    <nc r="T79">
      <f>I79*E79</f>
    </nc>
  </rcc>
  <rcc rId="847" sId="13">
    <oc r="U79">
      <f>J79*E79</f>
    </oc>
    <nc r="U79">
      <f>J79*E79</f>
    </nc>
  </rcc>
  <rcc rId="848" sId="13">
    <oc r="V79">
      <f>K79*E79</f>
    </oc>
    <nc r="V79">
      <f>K79*E79</f>
    </nc>
  </rcc>
  <rcc rId="849" sId="13">
    <oc r="S80">
      <f>H80*E80</f>
    </oc>
    <nc r="S80">
      <f>H80*E80</f>
    </nc>
  </rcc>
  <rcc rId="850" sId="13">
    <oc r="T80">
      <f>I80*E80</f>
    </oc>
    <nc r="T80">
      <f>I80*E80</f>
    </nc>
  </rcc>
  <rcc rId="851" sId="13">
    <oc r="U80">
      <f>J80*E80</f>
    </oc>
    <nc r="U80">
      <f>J80*E80</f>
    </nc>
  </rcc>
  <rcc rId="852" sId="13">
    <oc r="V80">
      <f>K80*E80</f>
    </oc>
    <nc r="V80">
      <f>K80*E80</f>
    </nc>
  </rcc>
  <rcc rId="853" sId="13">
    <oc r="S81">
      <f>H81*E81</f>
    </oc>
    <nc r="S81">
      <f>H81*E81</f>
    </nc>
  </rcc>
  <rcc rId="854" sId="13">
    <oc r="T81">
      <f>I81*E81</f>
    </oc>
    <nc r="T81">
      <f>I81*E81</f>
    </nc>
  </rcc>
  <rcc rId="855" sId="13">
    <oc r="U81">
      <f>J81*E81</f>
    </oc>
    <nc r="U81">
      <f>J81*E81</f>
    </nc>
  </rcc>
  <rcc rId="856" sId="13">
    <oc r="V81">
      <f>K81*E81</f>
    </oc>
    <nc r="V81">
      <f>K81*E81</f>
    </nc>
  </rcc>
  <rcc rId="857" sId="13">
    <oc r="S82">
      <f>H82*E82</f>
    </oc>
    <nc r="S82">
      <f>H82*E82</f>
    </nc>
  </rcc>
  <rcc rId="858" sId="13">
    <oc r="T82">
      <f>I82*E82</f>
    </oc>
    <nc r="T82">
      <f>I82*E82</f>
    </nc>
  </rcc>
  <rcc rId="859" sId="13">
    <oc r="U82">
      <f>J82*E82</f>
    </oc>
    <nc r="U82">
      <f>J82*E82</f>
    </nc>
  </rcc>
  <rcc rId="860" sId="13">
    <oc r="V82">
      <f>K82*E82</f>
    </oc>
    <nc r="V82">
      <f>K82*E82</f>
    </nc>
  </rcc>
  <rcc rId="861" sId="13">
    <nc r="S83">
      <f>H83*E83</f>
    </nc>
  </rcc>
  <rcc rId="862" sId="13">
    <nc r="T83">
      <f>I83*E83</f>
    </nc>
  </rcc>
  <rcc rId="863" sId="13">
    <nc r="U83">
      <f>J83*E83</f>
    </nc>
  </rcc>
  <rcc rId="864" sId="13">
    <nc r="V83">
      <f>K83*E83</f>
    </nc>
  </rcc>
  <rcc rId="865" sId="13">
    <nc r="S84">
      <f>H84*E84</f>
    </nc>
  </rcc>
  <rcc rId="866" sId="13">
    <nc r="T84">
      <f>I84*E84</f>
    </nc>
  </rcc>
  <rcc rId="867" sId="13">
    <nc r="U84">
      <f>J84*E84</f>
    </nc>
  </rcc>
  <rcc rId="868" sId="13">
    <nc r="V84">
      <f>K84*E84</f>
    </nc>
  </rcc>
  <rcc rId="869" sId="13">
    <nc r="S85">
      <f>H85*E85</f>
    </nc>
  </rcc>
  <rcc rId="870" sId="13">
    <nc r="T85">
      <f>I85*E85</f>
    </nc>
  </rcc>
  <rcc rId="871" sId="13">
    <nc r="U85">
      <f>J85*E85</f>
    </nc>
  </rcc>
  <rcc rId="872" sId="13">
    <nc r="V85">
      <f>K85*E85</f>
    </nc>
  </rcc>
  <rcc rId="873" sId="13">
    <nc r="S86">
      <f>H86*E86</f>
    </nc>
  </rcc>
  <rcc rId="874" sId="13">
    <nc r="T86">
      <f>I86*E86</f>
    </nc>
  </rcc>
  <rcc rId="875" sId="13">
    <nc r="U86">
      <f>J86*E86</f>
    </nc>
  </rcc>
  <rcc rId="876" sId="13">
    <nc r="V86">
      <f>K86*E86</f>
    </nc>
  </rcc>
  <rcc rId="877" sId="13">
    <nc r="S87">
      <f>H87*E87</f>
    </nc>
  </rcc>
  <rcc rId="878" sId="13">
    <nc r="T87">
      <f>I87*E87</f>
    </nc>
  </rcc>
  <rcc rId="879" sId="13">
    <nc r="U87">
      <f>J87*E87</f>
    </nc>
  </rcc>
  <rcc rId="880" sId="13">
    <nc r="V87">
      <f>K87*E87</f>
    </nc>
  </rcc>
  <rcc rId="881" sId="13">
    <nc r="S88">
      <f>H88*E88</f>
    </nc>
  </rcc>
  <rcc rId="882" sId="13">
    <nc r="T88">
      <f>I88*E88</f>
    </nc>
  </rcc>
  <rcc rId="883" sId="13">
    <nc r="U88">
      <f>J88*E88</f>
    </nc>
  </rcc>
  <rcc rId="884" sId="13">
    <nc r="V88">
      <f>K88*E88</f>
    </nc>
  </rcc>
  <rcc rId="885" sId="13">
    <nc r="S89">
      <f>H89*E89</f>
    </nc>
  </rcc>
  <rcc rId="886" sId="13">
    <nc r="T89">
      <f>I89*E89</f>
    </nc>
  </rcc>
  <rcc rId="887" sId="13">
    <nc r="U89">
      <f>J89*E89</f>
    </nc>
  </rcc>
  <rcc rId="888" sId="13">
    <nc r="V89">
      <f>K89*E89</f>
    </nc>
  </rcc>
  <rcc rId="889" sId="13">
    <nc r="S90">
      <f>H90*E90</f>
    </nc>
  </rcc>
  <rcc rId="890" sId="13">
    <nc r="T90">
      <f>I90*E90</f>
    </nc>
  </rcc>
  <rcc rId="891" sId="13">
    <nc r="U90">
      <f>J90*E90</f>
    </nc>
  </rcc>
  <rcc rId="892" sId="13">
    <nc r="V90">
      <f>K90*E90</f>
    </nc>
  </rcc>
  <rcc rId="893" sId="13">
    <nc r="S91">
      <f>H91*E91</f>
    </nc>
  </rcc>
  <rcc rId="894" sId="13">
    <nc r="T91">
      <f>I91*E91</f>
    </nc>
  </rcc>
  <rcc rId="895" sId="13">
    <nc r="U91">
      <f>J91*E91</f>
    </nc>
  </rcc>
  <rcc rId="896" sId="13">
    <nc r="V91">
      <f>K91*E91</f>
    </nc>
  </rcc>
  <rcc rId="897" sId="13">
    <nc r="S92">
      <f>H92*E92</f>
    </nc>
  </rcc>
  <rcc rId="898" sId="13">
    <nc r="T92">
      <f>I92*E92</f>
    </nc>
  </rcc>
  <rcc rId="899" sId="13">
    <nc r="U92">
      <f>J92*E92</f>
    </nc>
  </rcc>
  <rcc rId="900" sId="13">
    <nc r="V92">
      <f>K92*E92</f>
    </nc>
  </rcc>
  <rcc rId="901" sId="13">
    <nc r="S93">
      <f>H93*E93</f>
    </nc>
  </rcc>
  <rcc rId="902" sId="13">
    <nc r="T93">
      <f>I93*E93</f>
    </nc>
  </rcc>
  <rcc rId="903" sId="13">
    <nc r="U93">
      <f>J93*E93</f>
    </nc>
  </rcc>
  <rcc rId="904" sId="13">
    <nc r="V93">
      <f>K93*E93</f>
    </nc>
  </rcc>
  <rcc rId="905" sId="13">
    <nc r="S94">
      <f>H94*E94</f>
    </nc>
  </rcc>
  <rcc rId="906" sId="13">
    <nc r="T94">
      <f>I94*E94</f>
    </nc>
  </rcc>
  <rcc rId="907" sId="13">
    <nc r="U94">
      <f>J94*E94</f>
    </nc>
  </rcc>
  <rcc rId="908" sId="13">
    <nc r="V94">
      <f>K94*E94</f>
    </nc>
  </rcc>
  <rcc rId="909" sId="13">
    <nc r="S95">
      <f>H95*E95</f>
    </nc>
  </rcc>
  <rcc rId="910" sId="13">
    <nc r="T95">
      <f>I95*E95</f>
    </nc>
  </rcc>
  <rcc rId="911" sId="13">
    <nc r="U95">
      <f>J95*E95</f>
    </nc>
  </rcc>
  <rcc rId="912" sId="13">
    <nc r="V95">
      <f>K95*E95</f>
    </nc>
  </rcc>
  <rcc rId="913" sId="13">
    <nc r="S96">
      <f>H96*E96</f>
    </nc>
  </rcc>
  <rcc rId="914" sId="13">
    <nc r="T96">
      <f>I96*E96</f>
    </nc>
  </rcc>
  <rcc rId="915" sId="13">
    <nc r="U96">
      <f>J96*E96</f>
    </nc>
  </rcc>
  <rcc rId="916" sId="13">
    <nc r="V96">
      <f>K96*E96</f>
    </nc>
  </rcc>
  <rcc rId="917" sId="13">
    <nc r="S97">
      <f>H97*E97</f>
    </nc>
  </rcc>
  <rcc rId="918" sId="13">
    <nc r="T97">
      <f>I97*E97</f>
    </nc>
  </rcc>
  <rcc rId="919" sId="13">
    <nc r="U97">
      <f>J97*E97</f>
    </nc>
  </rcc>
  <rcc rId="920" sId="13">
    <nc r="V97">
      <f>K97*E97</f>
    </nc>
  </rcc>
  <rcc rId="921" sId="13">
    <nc r="S98">
      <f>H98*E98</f>
    </nc>
  </rcc>
  <rcc rId="922" sId="13">
    <nc r="T98">
      <f>I98*E98</f>
    </nc>
  </rcc>
  <rcc rId="923" sId="13">
    <nc r="U98">
      <f>J98*E98</f>
    </nc>
  </rcc>
  <rcc rId="924" sId="13">
    <nc r="V98">
      <f>K98*E98</f>
    </nc>
  </rcc>
  <rcc rId="925" sId="13">
    <nc r="S99">
      <f>H99*E99</f>
    </nc>
  </rcc>
  <rcc rId="926" sId="13">
    <nc r="T99">
      <f>I99*E99</f>
    </nc>
  </rcc>
  <rcc rId="927" sId="13">
    <nc r="U99">
      <f>J99*E99</f>
    </nc>
  </rcc>
  <rcc rId="928" sId="13">
    <nc r="V99">
      <f>K99*E99</f>
    </nc>
  </rcc>
  <rcc rId="929" sId="13">
    <nc r="S100">
      <f>H100*E100</f>
    </nc>
  </rcc>
  <rcc rId="930" sId="13">
    <nc r="T100">
      <f>I100*E100</f>
    </nc>
  </rcc>
  <rcc rId="931" sId="13">
    <nc r="U100">
      <f>J100*E100</f>
    </nc>
  </rcc>
  <rcc rId="932" sId="13">
    <nc r="V100">
      <f>K100*E100</f>
    </nc>
  </rcc>
  <rcc rId="933" sId="13">
    <nc r="S101">
      <f>H101*E101</f>
    </nc>
  </rcc>
  <rcc rId="934" sId="13">
    <nc r="T101">
      <f>I101*E101</f>
    </nc>
  </rcc>
  <rcc rId="935" sId="13">
    <nc r="U101">
      <f>J101*E101</f>
    </nc>
  </rcc>
  <rcc rId="936" sId="13">
    <nc r="V101">
      <f>K101*E101</f>
    </nc>
  </rcc>
  <rcc rId="937" sId="13">
    <nc r="S102">
      <f>H102*E102</f>
    </nc>
  </rcc>
  <rcc rId="938" sId="13">
    <nc r="T102">
      <f>I102*E102</f>
    </nc>
  </rcc>
  <rcc rId="939" sId="13">
    <nc r="U102">
      <f>J102*E102</f>
    </nc>
  </rcc>
  <rcc rId="940" sId="13">
    <nc r="V102">
      <f>K102*E102</f>
    </nc>
  </rcc>
  <rcc rId="941" sId="13">
    <nc r="S103">
      <f>H103*E103</f>
    </nc>
  </rcc>
  <rcc rId="942" sId="13">
    <nc r="T103">
      <f>I103*E103</f>
    </nc>
  </rcc>
  <rcc rId="943" sId="13">
    <nc r="U103">
      <f>J103*E103</f>
    </nc>
  </rcc>
  <rcc rId="944" sId="13">
    <nc r="V103">
      <f>K103*E103</f>
    </nc>
  </rcc>
  <rcc rId="945" sId="13">
    <nc r="S104">
      <f>H104*E104</f>
    </nc>
  </rcc>
  <rcc rId="946" sId="13">
    <nc r="T104">
      <f>I104*E104</f>
    </nc>
  </rcc>
  <rcc rId="947" sId="13">
    <nc r="U104">
      <f>J104*E104</f>
    </nc>
  </rcc>
  <rcc rId="948" sId="13">
    <nc r="V104">
      <f>K104*E104</f>
    </nc>
  </rcc>
  <rcc rId="949" sId="13">
    <nc r="S105">
      <f>H105*E105</f>
    </nc>
  </rcc>
  <rcc rId="950" sId="13">
    <nc r="T105">
      <f>I105*E105</f>
    </nc>
  </rcc>
  <rcc rId="951" sId="13">
    <nc r="U105">
      <f>J105*E105</f>
    </nc>
  </rcc>
  <rcc rId="952" sId="13">
    <nc r="V105">
      <f>K105*E105</f>
    </nc>
  </rcc>
  <rcc rId="953" sId="13">
    <nc r="S106">
      <f>H106*E106</f>
    </nc>
  </rcc>
  <rcc rId="954" sId="13">
    <nc r="T106">
      <f>I106*E106</f>
    </nc>
  </rcc>
  <rcc rId="955" sId="13">
    <nc r="U106">
      <f>J106*E106</f>
    </nc>
  </rcc>
  <rcc rId="956" sId="13">
    <nc r="V106">
      <f>K106*E106</f>
    </nc>
  </rcc>
  <rcc rId="957" sId="13">
    <nc r="S107">
      <f>H107*E107</f>
    </nc>
  </rcc>
  <rcc rId="958" sId="13">
    <nc r="T107">
      <f>I107*E107</f>
    </nc>
  </rcc>
  <rcc rId="959" sId="13">
    <nc r="U107">
      <f>J107*E107</f>
    </nc>
  </rcc>
  <rcc rId="960" sId="13">
    <nc r="V107">
      <f>K107*E107</f>
    </nc>
  </rcc>
  <rcc rId="961" sId="13">
    <nc r="S108">
      <f>H108*E108</f>
    </nc>
  </rcc>
  <rcc rId="962" sId="13">
    <nc r="T108">
      <f>I108*E108</f>
    </nc>
  </rcc>
  <rcc rId="963" sId="13">
    <nc r="U108">
      <f>J108*E108</f>
    </nc>
  </rcc>
  <rcc rId="964" sId="13">
    <nc r="V108">
      <f>K108*E108</f>
    </nc>
  </rcc>
  <rcc rId="965" sId="13">
    <nc r="S109">
      <f>H109*E109</f>
    </nc>
  </rcc>
  <rcc rId="966" sId="13">
    <nc r="T109">
      <f>I109*E109</f>
    </nc>
  </rcc>
  <rcc rId="967" sId="13">
    <nc r="U109">
      <f>J109*E109</f>
    </nc>
  </rcc>
  <rcc rId="968" sId="13">
    <nc r="V109">
      <f>K109*E109</f>
    </nc>
  </rcc>
  <rcc rId="969" sId="13">
    <nc r="S110">
      <f>H110*E110</f>
    </nc>
  </rcc>
  <rcc rId="970" sId="13">
    <nc r="T110">
      <f>I110*E110</f>
    </nc>
  </rcc>
  <rcc rId="971" sId="13">
    <nc r="U110">
      <f>J110*E110</f>
    </nc>
  </rcc>
  <rcc rId="972" sId="13">
    <nc r="V110">
      <f>K110*E110</f>
    </nc>
  </rcc>
  <rcc rId="973" sId="13">
    <nc r="S111">
      <f>H111*E111</f>
    </nc>
  </rcc>
  <rcc rId="974" sId="13">
    <nc r="T111">
      <f>I111*E111</f>
    </nc>
  </rcc>
  <rcc rId="975" sId="13">
    <nc r="U111">
      <f>J111*E111</f>
    </nc>
  </rcc>
  <rcc rId="976" sId="13">
    <nc r="V111">
      <f>K111*E111</f>
    </nc>
  </rcc>
  <rcc rId="977" sId="13">
    <nc r="S112">
      <f>H112*E112</f>
    </nc>
  </rcc>
  <rcc rId="978" sId="13">
    <nc r="T112">
      <f>I112*E112</f>
    </nc>
  </rcc>
  <rcc rId="979" sId="13">
    <nc r="U112">
      <f>J112*E112</f>
    </nc>
  </rcc>
  <rcc rId="980" sId="13">
    <nc r="V112">
      <f>K112*E112</f>
    </nc>
  </rcc>
  <rcc rId="981" sId="13">
    <nc r="S113">
      <f>H113*E113</f>
    </nc>
  </rcc>
  <rcc rId="982" sId="13">
    <nc r="T113">
      <f>I113*E113</f>
    </nc>
  </rcc>
  <rcc rId="983" sId="13">
    <nc r="U113">
      <f>J113*E113</f>
    </nc>
  </rcc>
  <rcc rId="984" sId="13">
    <nc r="V113">
      <f>K113*E113</f>
    </nc>
  </rcc>
  <rcc rId="985" sId="13">
    <nc r="S114">
      <f>H114*E114</f>
    </nc>
  </rcc>
  <rcc rId="986" sId="13">
    <nc r="T114">
      <f>I114*E114</f>
    </nc>
  </rcc>
  <rcc rId="987" sId="13">
    <nc r="U114">
      <f>J114*E114</f>
    </nc>
  </rcc>
  <rcc rId="988" sId="13">
    <nc r="V114">
      <f>K114*E114</f>
    </nc>
  </rcc>
  <rcc rId="989" sId="13">
    <nc r="S115">
      <f>H115*E115</f>
    </nc>
  </rcc>
  <rcc rId="990" sId="13">
    <nc r="T115">
      <f>I115*E115</f>
    </nc>
  </rcc>
  <rcc rId="991" sId="13">
    <nc r="U115">
      <f>J115*E115</f>
    </nc>
  </rcc>
  <rcc rId="992" sId="13">
    <nc r="V115">
      <f>K115*E115</f>
    </nc>
  </rcc>
  <rcc rId="993" sId="13">
    <nc r="S116">
      <f>H116*E116</f>
    </nc>
  </rcc>
  <rcc rId="994" sId="13">
    <nc r="T116">
      <f>I116*E116</f>
    </nc>
  </rcc>
  <rcc rId="995" sId="13">
    <nc r="U116">
      <f>J116*E116</f>
    </nc>
  </rcc>
  <rcc rId="996" sId="13">
    <nc r="V116">
      <f>K116*E116</f>
    </nc>
  </rcc>
  <rcc rId="997" sId="13">
    <nc r="S117">
      <f>H117*E117</f>
    </nc>
  </rcc>
  <rcc rId="998" sId="13">
    <nc r="T117">
      <f>I117*E117</f>
    </nc>
  </rcc>
  <rcc rId="999" sId="13">
    <nc r="U117">
      <f>J117*E117</f>
    </nc>
  </rcc>
  <rcc rId="1000" sId="13">
    <nc r="V117">
      <f>K117*E117</f>
    </nc>
  </rcc>
  <rcc rId="1001" sId="13">
    <nc r="S118">
      <f>H118*E118</f>
    </nc>
  </rcc>
  <rcc rId="1002" sId="13">
    <nc r="T118">
      <f>I118*E118</f>
    </nc>
  </rcc>
  <rcc rId="1003" sId="13">
    <nc r="U118">
      <f>J118*E118</f>
    </nc>
  </rcc>
  <rcc rId="1004" sId="13">
    <nc r="V118">
      <f>K118*E118</f>
    </nc>
  </rcc>
  <rcc rId="1005" sId="13">
    <nc r="S119">
      <f>H119*E119</f>
    </nc>
  </rcc>
  <rcc rId="1006" sId="13">
    <nc r="T119">
      <f>I119*E119</f>
    </nc>
  </rcc>
  <rcc rId="1007" sId="13">
    <nc r="U119">
      <f>J119*E119</f>
    </nc>
  </rcc>
  <rcc rId="1008" sId="13">
    <nc r="V119">
      <f>K119*E119</f>
    </nc>
  </rcc>
  <rcc rId="1009" sId="13">
    <nc r="S120">
      <f>H120*E120</f>
    </nc>
  </rcc>
  <rcc rId="1010" sId="13">
    <nc r="T120">
      <f>I120*E120</f>
    </nc>
  </rcc>
  <rcc rId="1011" sId="13">
    <nc r="U120">
      <f>J120*E120</f>
    </nc>
  </rcc>
  <rcc rId="1012" sId="13">
    <nc r="V120">
      <f>K120*E120</f>
    </nc>
  </rcc>
  <rcc rId="1013" sId="13">
    <nc r="S121">
      <f>H121*E121</f>
    </nc>
  </rcc>
  <rcc rId="1014" sId="13">
    <nc r="T121">
      <f>I121*E121</f>
    </nc>
  </rcc>
  <rcc rId="1015" sId="13">
    <nc r="U121">
      <f>J121*E121</f>
    </nc>
  </rcc>
  <rcc rId="1016" sId="13">
    <nc r="V121">
      <f>K121*E121</f>
    </nc>
  </rcc>
  <rcc rId="1017" sId="13">
    <nc r="S122">
      <f>H122*E122</f>
    </nc>
  </rcc>
  <rcc rId="1018" sId="13">
    <nc r="T122">
      <f>I122*E122</f>
    </nc>
  </rcc>
  <rcc rId="1019" sId="13">
    <nc r="U122">
      <f>J122*E122</f>
    </nc>
  </rcc>
  <rcc rId="1020" sId="13">
    <nc r="V122">
      <f>K122*E122</f>
    </nc>
  </rcc>
  <rcc rId="1021" sId="13">
    <nc r="S123">
      <f>H123*E123</f>
    </nc>
  </rcc>
  <rcc rId="1022" sId="13">
    <nc r="T123">
      <f>I123*E123</f>
    </nc>
  </rcc>
  <rcc rId="1023" sId="13">
    <nc r="U123">
      <f>J123*E123</f>
    </nc>
  </rcc>
  <rcc rId="1024" sId="13">
    <nc r="V123">
      <f>K123*E123</f>
    </nc>
  </rcc>
  <rcc rId="1025" sId="13">
    <oc r="S124">
      <f>H124*E124</f>
    </oc>
    <nc r="S124">
      <f>H124*E124</f>
    </nc>
  </rcc>
  <rcc rId="1026" sId="13">
    <oc r="T124">
      <f>I124*E124</f>
    </oc>
    <nc r="T124">
      <f>I124*E124</f>
    </nc>
  </rcc>
  <rcc rId="1027" sId="13">
    <oc r="U124">
      <f>J124*E124</f>
    </oc>
    <nc r="U124">
      <f>J124*E124</f>
    </nc>
  </rcc>
  <rcc rId="1028" sId="13">
    <oc r="V124">
      <f>K124*E124</f>
    </oc>
    <nc r="V124">
      <f>K124*E124</f>
    </nc>
  </rcc>
  <rcc rId="1029" sId="13">
    <oc r="S125">
      <f>H125*E125</f>
    </oc>
    <nc r="S125">
      <f>H125*E125</f>
    </nc>
  </rcc>
  <rcc rId="1030" sId="13">
    <oc r="T125">
      <f>I125*E125</f>
    </oc>
    <nc r="T125">
      <f>I125*E125</f>
    </nc>
  </rcc>
  <rcc rId="1031" sId="13">
    <oc r="U125">
      <f>J125*E125</f>
    </oc>
    <nc r="U125">
      <f>J125*E125</f>
    </nc>
  </rcc>
  <rcc rId="1032" sId="13">
    <oc r="V125">
      <f>K125*E125</f>
    </oc>
    <nc r="V125">
      <f>K125*E125</f>
    </nc>
  </rcc>
  <rfmt sheetId="13" sqref="S128" start="0" length="0">
    <dxf>
      <font>
        <sz val="10"/>
        <color indexed="8"/>
        <name val="Arial"/>
        <scheme val="none"/>
      </font>
    </dxf>
  </rfmt>
  <rfmt sheetId="13" sqref="T128" start="0" length="0">
    <dxf>
      <font>
        <sz val="10"/>
        <color indexed="8"/>
        <name val="Arial"/>
        <scheme val="none"/>
      </font>
    </dxf>
  </rfmt>
  <rfmt sheetId="13" sqref="U128" start="0" length="0">
    <dxf>
      <font>
        <sz val="10"/>
        <color indexed="8"/>
        <name val="Arial"/>
        <scheme val="none"/>
      </font>
    </dxf>
  </rfmt>
  <rfmt sheetId="13" sqref="V128" start="0" length="0">
    <dxf>
      <font>
        <sz val="10"/>
        <color indexed="8"/>
        <name val="Arial"/>
        <scheme val="none"/>
      </font>
    </dxf>
  </rfmt>
  <rfmt sheetId="13" sqref="S129" start="0" length="0">
    <dxf>
      <font>
        <sz val="10"/>
        <color indexed="8"/>
        <name val="Arial"/>
        <scheme val="none"/>
      </font>
    </dxf>
  </rfmt>
  <rfmt sheetId="13" sqref="T129" start="0" length="0">
    <dxf>
      <font>
        <sz val="10"/>
        <color indexed="8"/>
        <name val="Arial"/>
        <scheme val="none"/>
      </font>
    </dxf>
  </rfmt>
  <rfmt sheetId="13" sqref="U129" start="0" length="0">
    <dxf>
      <font>
        <sz val="10"/>
        <color indexed="8"/>
        <name val="Arial"/>
        <scheme val="none"/>
      </font>
    </dxf>
  </rfmt>
  <rfmt sheetId="13" sqref="V129" start="0" length="0">
    <dxf>
      <font>
        <sz val="10"/>
        <color indexed="8"/>
        <name val="Arial"/>
        <scheme val="none"/>
      </font>
    </dxf>
  </rfmt>
  <rfmt sheetId="13" sqref="S130" start="0" length="0">
    <dxf>
      <font>
        <sz val="10"/>
        <color indexed="8"/>
        <name val="Arial"/>
        <scheme val="none"/>
      </font>
    </dxf>
  </rfmt>
  <rfmt sheetId="13" sqref="T130" start="0" length="0">
    <dxf>
      <font>
        <sz val="10"/>
        <color indexed="8"/>
        <name val="Arial"/>
        <scheme val="none"/>
      </font>
    </dxf>
  </rfmt>
  <rfmt sheetId="13" sqref="U130" start="0" length="0">
    <dxf>
      <font>
        <sz val="10"/>
        <color indexed="8"/>
        <name val="Arial"/>
        <scheme val="none"/>
      </font>
    </dxf>
  </rfmt>
  <rfmt sheetId="13" sqref="V130" start="0" length="0">
    <dxf>
      <font>
        <sz val="10"/>
        <color indexed="8"/>
        <name val="Arial"/>
        <scheme val="none"/>
      </font>
    </dxf>
  </rfmt>
  <rfmt sheetId="13" sqref="S131" start="0" length="0">
    <dxf>
      <font>
        <sz val="10"/>
        <color indexed="8"/>
        <name val="Arial"/>
        <scheme val="none"/>
      </font>
    </dxf>
  </rfmt>
  <rfmt sheetId="13" sqref="T131" start="0" length="0">
    <dxf>
      <font>
        <sz val="10"/>
        <color indexed="8"/>
        <name val="Arial"/>
        <scheme val="none"/>
      </font>
    </dxf>
  </rfmt>
  <rfmt sheetId="13" sqref="U131" start="0" length="0">
    <dxf>
      <font>
        <sz val="10"/>
        <color indexed="8"/>
        <name val="Arial"/>
        <scheme val="none"/>
      </font>
    </dxf>
  </rfmt>
  <rfmt sheetId="13" sqref="V131" start="0" length="0">
    <dxf>
      <font>
        <sz val="10"/>
        <color indexed="8"/>
        <name val="Arial"/>
        <scheme val="none"/>
      </font>
    </dxf>
  </rfmt>
  <rfmt sheetId="13" sqref="S132" start="0" length="0">
    <dxf>
      <font>
        <sz val="10"/>
        <color indexed="8"/>
        <name val="Arial"/>
        <scheme val="none"/>
      </font>
    </dxf>
  </rfmt>
  <rcc rId="1033" sId="13" odxf="1" dxf="1">
    <nc r="T132">
      <f>SUM(T14:T131)</f>
    </nc>
    <odxf>
      <font>
        <sz val="10"/>
        <name val="Arial"/>
        <scheme val="none"/>
      </font>
    </odxf>
    <ndxf>
      <font>
        <sz val="10"/>
        <color indexed="8"/>
        <name val="Arial"/>
        <scheme val="none"/>
      </font>
    </ndxf>
  </rcc>
  <rcc rId="1034" sId="13" odxf="1" dxf="1">
    <nc r="U132">
      <f>SUM(U14:U131)</f>
    </nc>
    <odxf>
      <font>
        <sz val="10"/>
        <name val="Arial"/>
        <scheme val="none"/>
      </font>
    </odxf>
    <ndxf>
      <font>
        <sz val="10"/>
        <color indexed="8"/>
        <name val="Arial"/>
        <scheme val="none"/>
      </font>
    </ndxf>
  </rcc>
  <rcc rId="1035" sId="13" odxf="1" dxf="1">
    <nc r="V132">
      <f>SUM(V14:V131)</f>
    </nc>
    <odxf>
      <font>
        <sz val="10"/>
        <name val="Arial"/>
        <scheme val="none"/>
      </font>
    </odxf>
    <ndxf>
      <font>
        <sz val="10"/>
        <color indexed="8"/>
        <name val="Arial"/>
        <scheme val="none"/>
      </font>
    </ndxf>
  </rcc>
  <rfmt sheetId="13" sqref="S133" start="0" length="0">
    <dxf>
      <font>
        <sz val="10"/>
        <color indexed="8"/>
        <name val="Arial"/>
        <scheme val="none"/>
      </font>
    </dxf>
  </rfmt>
  <rfmt sheetId="13" sqref="T133" start="0" length="0">
    <dxf>
      <font>
        <sz val="10"/>
        <color indexed="8"/>
        <name val="Arial"/>
        <scheme val="none"/>
      </font>
    </dxf>
  </rfmt>
  <rfmt sheetId="13" sqref="U133" start="0" length="0">
    <dxf>
      <font>
        <sz val="10"/>
        <color indexed="8"/>
        <name val="Arial"/>
        <scheme val="none"/>
      </font>
    </dxf>
  </rfmt>
  <rfmt sheetId="13" sqref="V133" start="0" length="0">
    <dxf>
      <font>
        <sz val="10"/>
        <color indexed="8"/>
        <name val="Arial"/>
        <scheme val="none"/>
      </font>
    </dxf>
  </rfmt>
  <rfmt sheetId="13" sqref="S134" start="0" length="0">
    <dxf>
      <font>
        <sz val="10"/>
        <color indexed="8"/>
        <name val="Arial"/>
        <scheme val="none"/>
      </font>
    </dxf>
  </rfmt>
  <rfmt sheetId="13" sqref="T134" start="0" length="0">
    <dxf>
      <font>
        <sz val="10"/>
        <color indexed="8"/>
        <name val="Arial"/>
        <scheme val="none"/>
      </font>
    </dxf>
  </rfmt>
  <rfmt sheetId="13" sqref="U134" start="0" length="0">
    <dxf>
      <font>
        <sz val="10"/>
        <color indexed="8"/>
        <name val="Arial"/>
        <scheme val="none"/>
      </font>
    </dxf>
  </rfmt>
  <rfmt sheetId="13" sqref="V134" start="0" length="0">
    <dxf>
      <font>
        <sz val="10"/>
        <color indexed="8"/>
        <name val="Arial"/>
        <scheme val="none"/>
      </font>
    </dxf>
  </rfmt>
  <rfmt sheetId="13" sqref="S135" start="0" length="0">
    <dxf>
      <font>
        <sz val="10"/>
        <color indexed="8"/>
        <name val="Arial"/>
        <scheme val="none"/>
      </font>
    </dxf>
  </rfmt>
  <rfmt sheetId="13" sqref="T135" start="0" length="0">
    <dxf>
      <font>
        <sz val="10"/>
        <color indexed="8"/>
        <name val="Arial"/>
        <scheme val="none"/>
      </font>
    </dxf>
  </rfmt>
  <rfmt sheetId="13" sqref="U135" start="0" length="0">
    <dxf>
      <font>
        <sz val="10"/>
        <color indexed="8"/>
        <name val="Arial"/>
        <scheme val="none"/>
      </font>
    </dxf>
  </rfmt>
  <rfmt sheetId="13" sqref="V135" start="0" length="0">
    <dxf>
      <font>
        <sz val="10"/>
        <color indexed="8"/>
        <name val="Arial"/>
        <scheme val="none"/>
      </font>
    </dxf>
  </rfmt>
  <rfmt sheetId="13" sqref="S136" start="0" length="0">
    <dxf>
      <font>
        <sz val="10"/>
        <color indexed="8"/>
        <name val="Arial"/>
        <scheme val="none"/>
      </font>
    </dxf>
  </rfmt>
  <rfmt sheetId="13" sqref="T136" start="0" length="0">
    <dxf>
      <font>
        <sz val="10"/>
        <color indexed="8"/>
        <name val="Arial"/>
        <scheme val="none"/>
      </font>
    </dxf>
  </rfmt>
  <rfmt sheetId="13" sqref="U136" start="0" length="0">
    <dxf>
      <font>
        <sz val="10"/>
        <color indexed="8"/>
        <name val="Arial"/>
        <scheme val="none"/>
      </font>
    </dxf>
  </rfmt>
  <rfmt sheetId="13" sqref="V136" start="0" length="0">
    <dxf>
      <font>
        <sz val="10"/>
        <color indexed="8"/>
        <name val="Arial"/>
        <scheme val="none"/>
      </font>
    </dxf>
  </rfmt>
  <rfmt sheetId="13" sqref="S137" start="0" length="0">
    <dxf>
      <font>
        <sz val="10"/>
        <color indexed="8"/>
        <name val="Arial"/>
        <scheme val="none"/>
      </font>
    </dxf>
  </rfmt>
  <rfmt sheetId="13" sqref="T137" start="0" length="0">
    <dxf>
      <font>
        <sz val="10"/>
        <color indexed="8"/>
        <name val="Arial"/>
        <scheme val="none"/>
      </font>
    </dxf>
  </rfmt>
  <rfmt sheetId="13" sqref="U137" start="0" length="0">
    <dxf>
      <font>
        <sz val="10"/>
        <color indexed="8"/>
        <name val="Arial"/>
        <scheme val="none"/>
      </font>
    </dxf>
  </rfmt>
  <rfmt sheetId="13" sqref="V137" start="0" length="0">
    <dxf>
      <font>
        <sz val="10"/>
        <color indexed="8"/>
        <name val="Arial"/>
        <scheme val="none"/>
      </font>
    </dxf>
  </rfmt>
  <rfmt sheetId="13" sqref="S138" start="0" length="0">
    <dxf>
      <font>
        <sz val="10"/>
        <color indexed="8"/>
        <name val="Arial"/>
        <scheme val="none"/>
      </font>
    </dxf>
  </rfmt>
  <rfmt sheetId="13" sqref="T138" start="0" length="0">
    <dxf>
      <font>
        <sz val="10"/>
        <color indexed="8"/>
        <name val="Arial"/>
        <scheme val="none"/>
      </font>
    </dxf>
  </rfmt>
  <rfmt sheetId="13" sqref="U138" start="0" length="0">
    <dxf>
      <font>
        <sz val="10"/>
        <color indexed="8"/>
        <name val="Arial"/>
        <scheme val="none"/>
      </font>
    </dxf>
  </rfmt>
  <rfmt sheetId="13" sqref="V138" start="0" length="0">
    <dxf>
      <font>
        <sz val="10"/>
        <color indexed="8"/>
        <name val="Arial"/>
        <scheme val="none"/>
      </font>
    </dxf>
  </rfmt>
  <rfmt sheetId="13" sqref="S139" start="0" length="0">
    <dxf>
      <font>
        <sz val="10"/>
        <color indexed="8"/>
        <name val="Arial"/>
        <scheme val="none"/>
      </font>
    </dxf>
  </rfmt>
  <rfmt sheetId="13" sqref="T139" start="0" length="0">
    <dxf>
      <font>
        <sz val="10"/>
        <color indexed="8"/>
        <name val="Arial"/>
        <scheme val="none"/>
      </font>
    </dxf>
  </rfmt>
  <rfmt sheetId="13" sqref="U139" start="0" length="0">
    <dxf>
      <font>
        <sz val="10"/>
        <color indexed="8"/>
        <name val="Arial"/>
        <scheme val="none"/>
      </font>
    </dxf>
  </rfmt>
  <rfmt sheetId="13" sqref="V139" start="0" length="0">
    <dxf>
      <font>
        <sz val="10"/>
        <color indexed="8"/>
        <name val="Arial"/>
        <scheme val="none"/>
      </font>
    </dxf>
  </rfmt>
  <rfmt sheetId="13" sqref="S140" start="0" length="0">
    <dxf>
      <font>
        <sz val="10"/>
        <color indexed="8"/>
        <name val="Arial"/>
        <scheme val="none"/>
      </font>
    </dxf>
  </rfmt>
  <rfmt sheetId="13" sqref="T140" start="0" length="0">
    <dxf>
      <font>
        <sz val="10"/>
        <color indexed="8"/>
        <name val="Arial"/>
        <scheme val="none"/>
      </font>
    </dxf>
  </rfmt>
  <rfmt sheetId="13" sqref="U140" start="0" length="0">
    <dxf>
      <font>
        <sz val="10"/>
        <color indexed="8"/>
        <name val="Arial"/>
        <scheme val="none"/>
      </font>
    </dxf>
  </rfmt>
  <rfmt sheetId="13" sqref="V140" start="0" length="0">
    <dxf>
      <font>
        <sz val="10"/>
        <color indexed="8"/>
        <name val="Arial"/>
        <scheme val="none"/>
      </font>
    </dxf>
  </rfmt>
  <rfmt sheetId="13" sqref="S141" start="0" length="0">
    <dxf>
      <font>
        <sz val="10"/>
        <color indexed="8"/>
        <name val="Arial"/>
        <scheme val="none"/>
      </font>
    </dxf>
  </rfmt>
  <rfmt sheetId="13" sqref="T141" start="0" length="0">
    <dxf>
      <font>
        <sz val="10"/>
        <color indexed="8"/>
        <name val="Arial"/>
        <scheme val="none"/>
      </font>
    </dxf>
  </rfmt>
  <rfmt sheetId="13" sqref="U141" start="0" length="0">
    <dxf>
      <font>
        <sz val="10"/>
        <color indexed="8"/>
        <name val="Arial"/>
        <scheme val="none"/>
      </font>
    </dxf>
  </rfmt>
  <rfmt sheetId="13" sqref="V141" start="0" length="0">
    <dxf>
      <font>
        <sz val="10"/>
        <color indexed="8"/>
        <name val="Arial"/>
        <scheme val="none"/>
      </font>
    </dxf>
  </rfmt>
  <rfmt sheetId="13" sqref="S142" start="0" length="0">
    <dxf>
      <font>
        <sz val="10"/>
        <color indexed="8"/>
        <name val="Arial"/>
        <scheme val="none"/>
      </font>
    </dxf>
  </rfmt>
  <rfmt sheetId="13" sqref="T142" start="0" length="0">
    <dxf>
      <font>
        <sz val="10"/>
        <color indexed="8"/>
        <name val="Arial"/>
        <scheme val="none"/>
      </font>
    </dxf>
  </rfmt>
  <rfmt sheetId="13" sqref="U142" start="0" length="0">
    <dxf>
      <font>
        <sz val="10"/>
        <color indexed="8"/>
        <name val="Arial"/>
        <scheme val="none"/>
      </font>
    </dxf>
  </rfmt>
  <rfmt sheetId="13" sqref="V142" start="0" length="0">
    <dxf>
      <font>
        <sz val="10"/>
        <color indexed="8"/>
        <name val="Arial"/>
        <scheme val="none"/>
      </font>
    </dxf>
  </rfmt>
  <rfmt sheetId="13" sqref="S143" start="0" length="0">
    <dxf>
      <font>
        <sz val="10"/>
        <color indexed="8"/>
        <name val="Arial"/>
        <scheme val="none"/>
      </font>
    </dxf>
  </rfmt>
  <rfmt sheetId="13" sqref="T143" start="0" length="0">
    <dxf>
      <font>
        <sz val="10"/>
        <color indexed="8"/>
        <name val="Arial"/>
        <scheme val="none"/>
      </font>
    </dxf>
  </rfmt>
  <rfmt sheetId="13" sqref="U143" start="0" length="0">
    <dxf>
      <font>
        <sz val="10"/>
        <color indexed="8"/>
        <name val="Arial"/>
        <scheme val="none"/>
      </font>
    </dxf>
  </rfmt>
  <rfmt sheetId="13" sqref="V143" start="0" length="0">
    <dxf>
      <font>
        <sz val="10"/>
        <color indexed="8"/>
        <name val="Arial"/>
        <scheme val="none"/>
      </font>
    </dxf>
  </rfmt>
  <rfmt sheetId="13" sqref="S144" start="0" length="0">
    <dxf>
      <font>
        <sz val="10"/>
        <color indexed="8"/>
        <name val="Arial"/>
        <scheme val="none"/>
      </font>
    </dxf>
  </rfmt>
  <rfmt sheetId="13" sqref="T144" start="0" length="0">
    <dxf>
      <font>
        <sz val="10"/>
        <color indexed="8"/>
        <name val="Arial"/>
        <scheme val="none"/>
      </font>
    </dxf>
  </rfmt>
  <rfmt sheetId="13" sqref="U144" start="0" length="0">
    <dxf>
      <font>
        <sz val="10"/>
        <color indexed="8"/>
        <name val="Arial"/>
        <scheme val="none"/>
      </font>
    </dxf>
  </rfmt>
  <rfmt sheetId="13" sqref="V144" start="0" length="0">
    <dxf>
      <font>
        <sz val="10"/>
        <color indexed="8"/>
        <name val="Arial"/>
        <scheme val="none"/>
      </font>
    </dxf>
  </rfmt>
  <rfmt sheetId="13" sqref="S145" start="0" length="0">
    <dxf>
      <font>
        <sz val="10"/>
        <color indexed="8"/>
        <name val="Arial"/>
        <scheme val="none"/>
      </font>
    </dxf>
  </rfmt>
  <rfmt sheetId="13" sqref="T145" start="0" length="0">
    <dxf>
      <font>
        <sz val="10"/>
        <color indexed="8"/>
        <name val="Arial"/>
        <scheme val="none"/>
      </font>
    </dxf>
  </rfmt>
  <rfmt sheetId="13" sqref="U145" start="0" length="0">
    <dxf>
      <font>
        <sz val="10"/>
        <color indexed="8"/>
        <name val="Arial"/>
        <scheme val="none"/>
      </font>
    </dxf>
  </rfmt>
  <rfmt sheetId="13" sqref="V145" start="0" length="0">
    <dxf>
      <font>
        <sz val="10"/>
        <color indexed="8"/>
        <name val="Arial"/>
        <scheme val="none"/>
      </font>
    </dxf>
  </rfmt>
  <rfmt sheetId="13" sqref="S146" start="0" length="0">
    <dxf>
      <font>
        <sz val="10"/>
        <color indexed="8"/>
        <name val="Arial"/>
        <scheme val="none"/>
      </font>
    </dxf>
  </rfmt>
  <rfmt sheetId="13" sqref="T146" start="0" length="0">
    <dxf>
      <font>
        <sz val="10"/>
        <color indexed="8"/>
        <name val="Arial"/>
        <scheme val="none"/>
      </font>
    </dxf>
  </rfmt>
  <rfmt sheetId="13" sqref="U146" start="0" length="0">
    <dxf>
      <font>
        <sz val="10"/>
        <color indexed="8"/>
        <name val="Arial"/>
        <scheme val="none"/>
      </font>
    </dxf>
  </rfmt>
  <rfmt sheetId="13" sqref="V146" start="0" length="0">
    <dxf>
      <font>
        <sz val="10"/>
        <color indexed="8"/>
        <name val="Arial"/>
        <scheme val="none"/>
      </font>
    </dxf>
  </rfmt>
  <rfmt sheetId="13" sqref="S147" start="0" length="0">
    <dxf>
      <font>
        <sz val="10"/>
        <color indexed="8"/>
        <name val="Arial"/>
        <scheme val="none"/>
      </font>
    </dxf>
  </rfmt>
  <rfmt sheetId="13" sqref="T147" start="0" length="0">
    <dxf>
      <font>
        <sz val="10"/>
        <color indexed="8"/>
        <name val="Arial"/>
        <scheme val="none"/>
      </font>
    </dxf>
  </rfmt>
  <rfmt sheetId="13" sqref="U147" start="0" length="0">
    <dxf>
      <font>
        <sz val="10"/>
        <color indexed="8"/>
        <name val="Arial"/>
        <scheme val="none"/>
      </font>
    </dxf>
  </rfmt>
  <rfmt sheetId="13" sqref="V147" start="0" length="0">
    <dxf>
      <font>
        <sz val="10"/>
        <color indexed="8"/>
        <name val="Arial"/>
        <scheme val="none"/>
      </font>
    </dxf>
  </rfmt>
  <rfmt sheetId="13" sqref="S148" start="0" length="0">
    <dxf>
      <font>
        <sz val="10"/>
        <color indexed="8"/>
        <name val="Arial"/>
        <scheme val="none"/>
      </font>
    </dxf>
  </rfmt>
  <rfmt sheetId="13" sqref="T148" start="0" length="0">
    <dxf>
      <font>
        <sz val="10"/>
        <color indexed="8"/>
        <name val="Arial"/>
        <scheme val="none"/>
      </font>
    </dxf>
  </rfmt>
  <rfmt sheetId="13" sqref="U148" start="0" length="0">
    <dxf>
      <font>
        <sz val="10"/>
        <color indexed="8"/>
        <name val="Arial"/>
        <scheme val="none"/>
      </font>
    </dxf>
  </rfmt>
  <rfmt sheetId="13" sqref="V148" start="0" length="0">
    <dxf>
      <font>
        <sz val="10"/>
        <color indexed="8"/>
        <name val="Arial"/>
        <scheme val="none"/>
      </font>
    </dxf>
  </rfmt>
  <rfmt sheetId="13" sqref="S149" start="0" length="0">
    <dxf>
      <font>
        <sz val="10"/>
        <color indexed="8"/>
        <name val="Arial"/>
        <scheme val="none"/>
      </font>
    </dxf>
  </rfmt>
  <rfmt sheetId="13" sqref="T149" start="0" length="0">
    <dxf>
      <font>
        <sz val="10"/>
        <color indexed="8"/>
        <name val="Arial"/>
        <scheme val="none"/>
      </font>
    </dxf>
  </rfmt>
  <rfmt sheetId="13" sqref="U149" start="0" length="0">
    <dxf>
      <font>
        <sz val="10"/>
        <color indexed="8"/>
        <name val="Arial"/>
        <scheme val="none"/>
      </font>
    </dxf>
  </rfmt>
  <rfmt sheetId="13" sqref="V149" start="0" length="0">
    <dxf>
      <font>
        <sz val="10"/>
        <color indexed="8"/>
        <name val="Arial"/>
        <scheme val="none"/>
      </font>
    </dxf>
  </rfmt>
  <rfmt sheetId="13" sqref="S150" start="0" length="0">
    <dxf>
      <font>
        <sz val="10"/>
        <color indexed="8"/>
        <name val="Arial"/>
        <scheme val="none"/>
      </font>
    </dxf>
  </rfmt>
  <rfmt sheetId="13" sqref="T150" start="0" length="0">
    <dxf>
      <font>
        <sz val="10"/>
        <color indexed="8"/>
        <name val="Arial"/>
        <scheme val="none"/>
      </font>
    </dxf>
  </rfmt>
  <rfmt sheetId="13" sqref="U150" start="0" length="0">
    <dxf>
      <font>
        <sz val="10"/>
        <color indexed="8"/>
        <name val="Arial"/>
        <scheme val="none"/>
      </font>
    </dxf>
  </rfmt>
  <rfmt sheetId="13" sqref="V150" start="0" length="0">
    <dxf>
      <font>
        <sz val="10"/>
        <color indexed="8"/>
        <name val="Arial"/>
        <scheme val="none"/>
      </font>
    </dxf>
  </rfmt>
  <rfmt sheetId="13" sqref="S151" start="0" length="0">
    <dxf>
      <font>
        <sz val="10"/>
        <color indexed="8"/>
        <name val="Arial"/>
        <scheme val="none"/>
      </font>
    </dxf>
  </rfmt>
  <rfmt sheetId="13" sqref="T151" start="0" length="0">
    <dxf>
      <font>
        <sz val="10"/>
        <color indexed="8"/>
        <name val="Arial"/>
        <scheme val="none"/>
      </font>
    </dxf>
  </rfmt>
  <rfmt sheetId="13" sqref="U151" start="0" length="0">
    <dxf>
      <font>
        <sz val="10"/>
        <color indexed="8"/>
        <name val="Arial"/>
        <scheme val="none"/>
      </font>
    </dxf>
  </rfmt>
  <rfmt sheetId="13" sqref="V151" start="0" length="0">
    <dxf>
      <font>
        <sz val="10"/>
        <color indexed="8"/>
        <name val="Arial"/>
        <scheme val="none"/>
      </font>
    </dxf>
  </rfmt>
  <rfmt sheetId="13" sqref="S152" start="0" length="0">
    <dxf>
      <font>
        <sz val="10"/>
        <color indexed="8"/>
        <name val="Arial"/>
        <scheme val="none"/>
      </font>
    </dxf>
  </rfmt>
  <rfmt sheetId="13" sqref="T152" start="0" length="0">
    <dxf>
      <font>
        <sz val="10"/>
        <color indexed="8"/>
        <name val="Arial"/>
        <scheme val="none"/>
      </font>
    </dxf>
  </rfmt>
  <rfmt sheetId="13" sqref="U152" start="0" length="0">
    <dxf>
      <font>
        <sz val="10"/>
        <color indexed="8"/>
        <name val="Arial"/>
        <scheme val="none"/>
      </font>
    </dxf>
  </rfmt>
  <rfmt sheetId="13" sqref="V152" start="0" length="0">
    <dxf>
      <font>
        <sz val="10"/>
        <color indexed="8"/>
        <name val="Arial"/>
        <scheme val="none"/>
      </font>
    </dxf>
  </rfmt>
  <rfmt sheetId="13" sqref="S153" start="0" length="0">
    <dxf>
      <font>
        <sz val="10"/>
        <color indexed="8"/>
        <name val="Arial"/>
        <scheme val="none"/>
      </font>
    </dxf>
  </rfmt>
  <rfmt sheetId="13" sqref="T153" start="0" length="0">
    <dxf>
      <font>
        <sz val="10"/>
        <color indexed="8"/>
        <name val="Arial"/>
        <scheme val="none"/>
      </font>
    </dxf>
  </rfmt>
  <rfmt sheetId="13" sqref="U153" start="0" length="0">
    <dxf>
      <font>
        <sz val="10"/>
        <color indexed="8"/>
        <name val="Arial"/>
        <scheme val="none"/>
      </font>
    </dxf>
  </rfmt>
  <rfmt sheetId="13" sqref="V153" start="0" length="0">
    <dxf>
      <font>
        <sz val="10"/>
        <color indexed="8"/>
        <name val="Arial"/>
        <scheme val="none"/>
      </font>
    </dxf>
  </rfmt>
  <rfmt sheetId="13" sqref="S154" start="0" length="0">
    <dxf>
      <font>
        <sz val="10"/>
        <color indexed="8"/>
        <name val="Arial"/>
        <scheme val="none"/>
      </font>
    </dxf>
  </rfmt>
  <rfmt sheetId="13" sqref="T154" start="0" length="0">
    <dxf>
      <font>
        <sz val="10"/>
        <color indexed="8"/>
        <name val="Arial"/>
        <scheme val="none"/>
      </font>
    </dxf>
  </rfmt>
  <rfmt sheetId="13" sqref="U154" start="0" length="0">
    <dxf>
      <font>
        <sz val="10"/>
        <color indexed="8"/>
        <name val="Arial"/>
        <scheme val="none"/>
      </font>
    </dxf>
  </rfmt>
  <rfmt sheetId="13" sqref="V154" start="0" length="0">
    <dxf>
      <font>
        <sz val="10"/>
        <color indexed="8"/>
        <name val="Arial"/>
        <scheme val="none"/>
      </font>
    </dxf>
  </rfmt>
  <rfmt sheetId="13" sqref="S155" start="0" length="0">
    <dxf>
      <font>
        <sz val="10"/>
        <color indexed="8"/>
        <name val="Arial"/>
        <scheme val="none"/>
      </font>
    </dxf>
  </rfmt>
  <rfmt sheetId="13" sqref="T155" start="0" length="0">
    <dxf>
      <font>
        <sz val="10"/>
        <color indexed="8"/>
        <name val="Arial"/>
        <scheme val="none"/>
      </font>
    </dxf>
  </rfmt>
  <rfmt sheetId="13" sqref="U155" start="0" length="0">
    <dxf>
      <font>
        <sz val="10"/>
        <color indexed="8"/>
        <name val="Arial"/>
        <scheme val="none"/>
      </font>
    </dxf>
  </rfmt>
  <rfmt sheetId="13" sqref="V155" start="0" length="0">
    <dxf>
      <font>
        <sz val="10"/>
        <color indexed="8"/>
        <name val="Arial"/>
        <scheme val="none"/>
      </font>
    </dxf>
  </rfmt>
  <rfmt sheetId="13" sqref="S156" start="0" length="0">
    <dxf>
      <font>
        <sz val="10"/>
        <color indexed="8"/>
        <name val="Arial"/>
        <scheme val="none"/>
      </font>
    </dxf>
  </rfmt>
  <rfmt sheetId="13" sqref="T156" start="0" length="0">
    <dxf>
      <font>
        <sz val="10"/>
        <color indexed="8"/>
        <name val="Arial"/>
        <scheme val="none"/>
      </font>
    </dxf>
  </rfmt>
  <rfmt sheetId="13" sqref="U156" start="0" length="0">
    <dxf>
      <font>
        <sz val="10"/>
        <color indexed="8"/>
        <name val="Arial"/>
        <scheme val="none"/>
      </font>
    </dxf>
  </rfmt>
  <rfmt sheetId="13" sqref="V156" start="0" length="0">
    <dxf>
      <font>
        <sz val="10"/>
        <color indexed="8"/>
        <name val="Arial"/>
        <scheme val="none"/>
      </font>
    </dxf>
  </rfmt>
  <rfmt sheetId="13" sqref="S157" start="0" length="0">
    <dxf>
      <font>
        <sz val="10"/>
        <color indexed="8"/>
        <name val="Arial"/>
        <scheme val="none"/>
      </font>
    </dxf>
  </rfmt>
  <rfmt sheetId="13" sqref="T157" start="0" length="0">
    <dxf>
      <font>
        <sz val="10"/>
        <color indexed="8"/>
        <name val="Arial"/>
        <scheme val="none"/>
      </font>
    </dxf>
  </rfmt>
  <rfmt sheetId="13" sqref="U157" start="0" length="0">
    <dxf>
      <font>
        <sz val="10"/>
        <color indexed="8"/>
        <name val="Arial"/>
        <scheme val="none"/>
      </font>
    </dxf>
  </rfmt>
  <rfmt sheetId="13" sqref="V157" start="0" length="0">
    <dxf>
      <font>
        <sz val="10"/>
        <color indexed="8"/>
        <name val="Arial"/>
        <scheme val="none"/>
      </font>
    </dxf>
  </rfmt>
  <rfmt sheetId="13" sqref="S158" start="0" length="0">
    <dxf>
      <font>
        <sz val="10"/>
        <color indexed="8"/>
        <name val="Arial"/>
        <scheme val="none"/>
      </font>
    </dxf>
  </rfmt>
  <rfmt sheetId="13" sqref="T158" start="0" length="0">
    <dxf>
      <font>
        <sz val="10"/>
        <color indexed="8"/>
        <name val="Arial"/>
        <scheme val="none"/>
      </font>
    </dxf>
  </rfmt>
  <rfmt sheetId="13" sqref="U158" start="0" length="0">
    <dxf>
      <font>
        <sz val="10"/>
        <color indexed="8"/>
        <name val="Arial"/>
        <scheme val="none"/>
      </font>
    </dxf>
  </rfmt>
  <rfmt sheetId="13" sqref="V158" start="0" length="0">
    <dxf>
      <font>
        <sz val="10"/>
        <color indexed="8"/>
        <name val="Arial"/>
        <scheme val="none"/>
      </font>
    </dxf>
  </rfmt>
  <rfmt sheetId="13" sqref="S159" start="0" length="0">
    <dxf>
      <font>
        <sz val="10"/>
        <color indexed="8"/>
        <name val="Arial"/>
        <scheme val="none"/>
      </font>
    </dxf>
  </rfmt>
  <rfmt sheetId="13" sqref="T159" start="0" length="0">
    <dxf>
      <font>
        <sz val="10"/>
        <color indexed="8"/>
        <name val="Arial"/>
        <scheme val="none"/>
      </font>
    </dxf>
  </rfmt>
  <rfmt sheetId="13" sqref="U159" start="0" length="0">
    <dxf>
      <font>
        <sz val="10"/>
        <color indexed="8"/>
        <name val="Arial"/>
        <scheme val="none"/>
      </font>
    </dxf>
  </rfmt>
  <rfmt sheetId="13" sqref="V159" start="0" length="0">
    <dxf>
      <font>
        <sz val="10"/>
        <color indexed="8"/>
        <name val="Arial"/>
        <scheme val="none"/>
      </font>
    </dxf>
  </rfmt>
  <rfmt sheetId="13" sqref="S160" start="0" length="0">
    <dxf>
      <font>
        <sz val="10"/>
        <color indexed="8"/>
        <name val="Arial"/>
        <scheme val="none"/>
      </font>
    </dxf>
  </rfmt>
  <rfmt sheetId="13" sqref="T160" start="0" length="0">
    <dxf>
      <font>
        <sz val="10"/>
        <color indexed="8"/>
        <name val="Arial"/>
        <scheme val="none"/>
      </font>
    </dxf>
  </rfmt>
  <rfmt sheetId="13" sqref="U160" start="0" length="0">
    <dxf>
      <font>
        <sz val="10"/>
        <color indexed="8"/>
        <name val="Arial"/>
        <scheme val="none"/>
      </font>
    </dxf>
  </rfmt>
  <rfmt sheetId="13" sqref="V160" start="0" length="0">
    <dxf>
      <font>
        <sz val="10"/>
        <color indexed="8"/>
        <name val="Arial"/>
        <scheme val="none"/>
      </font>
    </dxf>
  </rfmt>
  <rcc rId="1036" sId="13">
    <nc r="S132">
      <f>H132*E132</f>
    </nc>
  </rcc>
  <rcc rId="1037" sId="13">
    <nc r="S127">
      <f>H127*E127</f>
    </nc>
  </rcc>
  <rcc rId="1038" sId="13">
    <nc r="T127">
      <f>SUM(T9:T126)</f>
    </nc>
  </rcc>
  <rcc rId="1039" sId="13">
    <nc r="U127">
      <f>SUM(U9:U126)</f>
    </nc>
  </rcc>
  <rcc rId="1040" sId="13">
    <nc r="V127">
      <f>SUM(V9:V126)</f>
    </nc>
  </rcc>
  <rcc rId="1041" sId="13">
    <nc r="S128">
      <f>H128*E128</f>
    </nc>
  </rcc>
  <rcc rId="1042" sId="13">
    <nc r="T128">
      <f>SUM(T10:T127)</f>
    </nc>
  </rcc>
  <rcc rId="1043" sId="13">
    <nc r="U128">
      <f>SUM(U10:U127)</f>
    </nc>
  </rcc>
  <rcc rId="1044" sId="13">
    <nc r="V128">
      <f>SUM(V10:V127)</f>
    </nc>
  </rcc>
  <rcc rId="1045" sId="13">
    <nc r="S129">
      <f>H129*E129</f>
    </nc>
  </rcc>
  <rcc rId="1046" sId="13">
    <nc r="T129">
      <f>SUM(T11:T128)</f>
    </nc>
  </rcc>
  <rcc rId="1047" sId="13">
    <nc r="U129">
      <f>SUM(U11:U128)</f>
    </nc>
  </rcc>
  <rcc rId="1048" sId="13">
    <nc r="V129">
      <f>SUM(V11:V128)</f>
    </nc>
  </rcc>
  <rcc rId="1049" sId="13">
    <nc r="S130">
      <f>H130*E130</f>
    </nc>
  </rcc>
  <rcc rId="1050" sId="13">
    <nc r="T130">
      <f>SUM(T12:T129)</f>
    </nc>
  </rcc>
  <rcc rId="1051" sId="13">
    <nc r="U130">
      <f>SUM(U12:U129)</f>
    </nc>
  </rcc>
  <rcc rId="1052" sId="13">
    <nc r="V130">
      <f>SUM(V12:V129)</f>
    </nc>
  </rcc>
  <rcc rId="1053" sId="13">
    <nc r="S131">
      <f>H131*E131</f>
    </nc>
  </rcc>
  <rcc rId="1054" sId="13">
    <nc r="T131">
      <f>SUM(T13:T130)</f>
    </nc>
  </rcc>
  <rcc rId="1055" sId="13">
    <nc r="U131">
      <f>SUM(U13:U130)</f>
    </nc>
  </rcc>
  <rcc rId="1056" sId="13">
    <nc r="V131">
      <f>SUM(V13:V130)</f>
    </nc>
  </rcc>
  <rcc rId="1057" sId="13">
    <nc r="S133">
      <f>H133*E133</f>
    </nc>
  </rcc>
  <rcc rId="1058" sId="13">
    <nc r="T133">
      <f>SUM(T15:T132)</f>
    </nc>
  </rcc>
  <rcc rId="1059" sId="13">
    <nc r="U133">
      <f>SUM(U15:U132)</f>
    </nc>
  </rcc>
  <rcc rId="1060" sId="13">
    <nc r="V133">
      <f>SUM(V15:V132)</f>
    </nc>
  </rcc>
  <rcc rId="1061" sId="13">
    <nc r="S134">
      <f>H134*E134</f>
    </nc>
  </rcc>
  <rcc rId="1062" sId="13">
    <nc r="T134">
      <f>SUM(T16:T133)</f>
    </nc>
  </rcc>
  <rcc rId="1063" sId="13">
    <nc r="U134">
      <f>SUM(U16:U133)</f>
    </nc>
  </rcc>
  <rcc rId="1064" sId="13">
    <nc r="V134">
      <f>SUM(V16:V133)</f>
    </nc>
  </rcc>
  <rcc rId="1065" sId="13">
    <nc r="S135">
      <f>H135*E135</f>
    </nc>
  </rcc>
  <rcc rId="1066" sId="13">
    <nc r="T135">
      <f>SUM(T17:T134)</f>
    </nc>
  </rcc>
  <rcc rId="1067" sId="13">
    <nc r="U135">
      <f>SUM(U17:U134)</f>
    </nc>
  </rcc>
  <rcc rId="1068" sId="13">
    <nc r="V135">
      <f>SUM(V17:V134)</f>
    </nc>
  </rcc>
  <rcc rId="1069" sId="13">
    <nc r="S136">
      <f>H136*E136</f>
    </nc>
  </rcc>
  <rcc rId="1070" sId="13">
    <nc r="T136">
      <f>SUM(T18:T135)</f>
    </nc>
  </rcc>
  <rcc rId="1071" sId="13">
    <nc r="U136">
      <f>SUM(U18:U135)</f>
    </nc>
  </rcc>
  <rcc rId="1072" sId="13">
    <nc r="V136">
      <f>SUM(V18:V135)</f>
    </nc>
  </rcc>
  <rcc rId="1073" sId="13">
    <nc r="S137">
      <f>H137*E137</f>
    </nc>
  </rcc>
  <rcc rId="1074" sId="13">
    <nc r="T137">
      <f>SUM(T19:T136)</f>
    </nc>
  </rcc>
  <rcc rId="1075" sId="13">
    <nc r="U137">
      <f>SUM(U19:U136)</f>
    </nc>
  </rcc>
  <rcc rId="1076" sId="13">
    <nc r="V137">
      <f>SUM(V19:V136)</f>
    </nc>
  </rcc>
  <rcc rId="1077" sId="13">
    <nc r="S138">
      <f>H138*E138</f>
    </nc>
  </rcc>
  <rcc rId="1078" sId="13">
    <nc r="T138">
      <f>SUM(T20:T137)</f>
    </nc>
  </rcc>
  <rcc rId="1079" sId="13">
    <nc r="U138">
      <f>SUM(U20:U137)</f>
    </nc>
  </rcc>
  <rcc rId="1080" sId="13">
    <nc r="V138">
      <f>SUM(V20:V137)</f>
    </nc>
  </rcc>
  <rcc rId="1081" sId="13">
    <nc r="S139">
      <f>H139*E139</f>
    </nc>
  </rcc>
  <rcc rId="1082" sId="13">
    <nc r="T139">
      <f>SUM(T21:T138)</f>
    </nc>
  </rcc>
  <rcc rId="1083" sId="13">
    <nc r="U139">
      <f>SUM(U21:U138)</f>
    </nc>
  </rcc>
  <rcc rId="1084" sId="13">
    <nc r="V139">
      <f>SUM(V21:V138)</f>
    </nc>
  </rcc>
  <rcc rId="1085" sId="13">
    <nc r="S140">
      <f>H140*E140</f>
    </nc>
  </rcc>
  <rcc rId="1086" sId="13">
    <nc r="T140">
      <f>SUM(T22:T139)</f>
    </nc>
  </rcc>
  <rcc rId="1087" sId="13">
    <nc r="U140">
      <f>SUM(U22:U139)</f>
    </nc>
  </rcc>
  <rcc rId="1088" sId="13">
    <nc r="V140">
      <f>SUM(V22:V139)</f>
    </nc>
  </rcc>
  <rcc rId="1089" sId="13">
    <nc r="S141">
      <f>H141*E141</f>
    </nc>
  </rcc>
  <rcc rId="1090" sId="13">
    <nc r="T141">
      <f>SUM(T23:T140)</f>
    </nc>
  </rcc>
  <rcc rId="1091" sId="13">
    <nc r="U141">
      <f>SUM(U23:U140)</f>
    </nc>
  </rcc>
  <rcc rId="1092" sId="13">
    <nc r="V141">
      <f>SUM(V23:V140)</f>
    </nc>
  </rcc>
  <rcc rId="1093" sId="13">
    <nc r="S142">
      <f>H142*E142</f>
    </nc>
  </rcc>
  <rcc rId="1094" sId="13">
    <nc r="T142">
      <f>SUM(T24:T141)</f>
    </nc>
  </rcc>
  <rcc rId="1095" sId="13">
    <nc r="U142">
      <f>SUM(U24:U141)</f>
    </nc>
  </rcc>
  <rcc rId="1096" sId="13">
    <nc r="V142">
      <f>SUM(V24:V141)</f>
    </nc>
  </rcc>
  <rcc rId="1097" sId="13">
    <nc r="S143">
      <f>H143*E143</f>
    </nc>
  </rcc>
  <rcc rId="1098" sId="13">
    <nc r="T143">
      <f>SUM(T25:T142)</f>
    </nc>
  </rcc>
  <rcc rId="1099" sId="13">
    <nc r="U143">
      <f>SUM(U25:U142)</f>
    </nc>
  </rcc>
  <rcc rId="1100" sId="13">
    <nc r="V143">
      <f>SUM(V25:V142)</f>
    </nc>
  </rcc>
  <rcc rId="1101" sId="13">
    <nc r="S144">
      <f>H144*E144</f>
    </nc>
  </rcc>
  <rcc rId="1102" sId="13">
    <nc r="T144">
      <f>SUM(T26:T143)</f>
    </nc>
  </rcc>
  <rcc rId="1103" sId="13">
    <nc r="U144">
      <f>SUM(U26:U143)</f>
    </nc>
  </rcc>
  <rcc rId="1104" sId="13">
    <nc r="V144">
      <f>SUM(V26:V143)</f>
    </nc>
  </rcc>
  <rcc rId="1105" sId="13">
    <nc r="S145">
      <f>H145*E145</f>
    </nc>
  </rcc>
  <rcc rId="1106" sId="13">
    <nc r="T145">
      <f>SUM(T27:T144)</f>
    </nc>
  </rcc>
  <rcc rId="1107" sId="13">
    <nc r="U145">
      <f>SUM(U27:U144)</f>
    </nc>
  </rcc>
  <rcc rId="1108" sId="13">
    <nc r="V145">
      <f>SUM(V27:V144)</f>
    </nc>
  </rcc>
  <rcc rId="1109" sId="13">
    <nc r="S146">
      <f>H146*E146</f>
    </nc>
  </rcc>
  <rcc rId="1110" sId="13">
    <nc r="T146">
      <f>SUM(T28:T145)</f>
    </nc>
  </rcc>
  <rcc rId="1111" sId="13">
    <nc r="U146">
      <f>SUM(U28:U145)</f>
    </nc>
  </rcc>
  <rcc rId="1112" sId="13">
    <nc r="V146">
      <f>SUM(V28:V145)</f>
    </nc>
  </rcc>
  <rcc rId="1113" sId="13">
    <nc r="S147">
      <f>H147*E147</f>
    </nc>
  </rcc>
  <rcc rId="1114" sId="13">
    <nc r="T147">
      <f>SUM(T29:T146)</f>
    </nc>
  </rcc>
  <rcc rId="1115" sId="13">
    <nc r="U147">
      <f>SUM(U29:U146)</f>
    </nc>
  </rcc>
  <rcc rId="1116" sId="13">
    <nc r="V147">
      <f>SUM(V29:V146)</f>
    </nc>
  </rcc>
  <rcc rId="1117" sId="13">
    <nc r="S148">
      <f>H148*E148</f>
    </nc>
  </rcc>
  <rcc rId="1118" sId="13">
    <nc r="T148">
      <f>SUM(T30:T147)</f>
    </nc>
  </rcc>
  <rcc rId="1119" sId="13">
    <nc r="U148">
      <f>SUM(U30:U147)</f>
    </nc>
  </rcc>
  <rcc rId="1120" sId="13">
    <nc r="V148">
      <f>SUM(V30:V147)</f>
    </nc>
  </rcc>
  <rcc rId="1121" sId="13">
    <nc r="S149">
      <f>H149*E149</f>
    </nc>
  </rcc>
  <rcc rId="1122" sId="13">
    <nc r="T149">
      <f>SUM(T31:T148)</f>
    </nc>
  </rcc>
  <rcc rId="1123" sId="13">
    <nc r="U149">
      <f>SUM(U31:U148)</f>
    </nc>
  </rcc>
  <rcc rId="1124" sId="13">
    <nc r="V149">
      <f>SUM(V31:V148)</f>
    </nc>
  </rcc>
  <rcc rId="1125" sId="13">
    <nc r="S150">
      <f>H150*E150</f>
    </nc>
  </rcc>
  <rcc rId="1126" sId="13">
    <nc r="T150">
      <f>SUM(T32:T149)</f>
    </nc>
  </rcc>
  <rcc rId="1127" sId="13">
    <nc r="U150">
      <f>SUM(U32:U149)</f>
    </nc>
  </rcc>
  <rcc rId="1128" sId="13">
    <nc r="V150">
      <f>SUM(V32:V149)</f>
    </nc>
  </rcc>
  <rcc rId="1129" sId="13">
    <nc r="S151">
      <f>H151*E151</f>
    </nc>
  </rcc>
  <rcc rId="1130" sId="13">
    <nc r="T151">
      <f>SUM(T33:T150)</f>
    </nc>
  </rcc>
  <rcc rId="1131" sId="13">
    <nc r="U151">
      <f>SUM(U33:U150)</f>
    </nc>
  </rcc>
  <rcc rId="1132" sId="13">
    <nc r="V151">
      <f>SUM(V33:V150)</f>
    </nc>
  </rcc>
  <rcc rId="1133" sId="13">
    <nc r="S152">
      <f>H152*E152</f>
    </nc>
  </rcc>
  <rcc rId="1134" sId="13">
    <nc r="T152">
      <f>SUM(T34:T151)</f>
    </nc>
  </rcc>
  <rcc rId="1135" sId="13">
    <nc r="U152">
      <f>SUM(U34:U151)</f>
    </nc>
  </rcc>
  <rcc rId="1136" sId="13">
    <nc r="V152">
      <f>SUM(V34:V151)</f>
    </nc>
  </rcc>
  <rcc rId="1137" sId="13">
    <nc r="S153">
      <f>H153*E153</f>
    </nc>
  </rcc>
  <rcc rId="1138" sId="13">
    <nc r="T153">
      <f>SUM(T35:T152)</f>
    </nc>
  </rcc>
  <rcc rId="1139" sId="13">
    <nc r="U153">
      <f>SUM(U35:U152)</f>
    </nc>
  </rcc>
  <rcc rId="1140" sId="13">
    <nc r="V153">
      <f>SUM(V35:V152)</f>
    </nc>
  </rcc>
  <rcc rId="1141" sId="13">
    <nc r="S154">
      <f>H154*E154</f>
    </nc>
  </rcc>
  <rcc rId="1142" sId="13">
    <nc r="T154">
      <f>SUM(T36:T153)</f>
    </nc>
  </rcc>
  <rcc rId="1143" sId="13">
    <nc r="U154">
      <f>SUM(U36:U153)</f>
    </nc>
  </rcc>
  <rcc rId="1144" sId="13">
    <nc r="V154">
      <f>SUM(V36:V153)</f>
    </nc>
  </rcc>
  <rcc rId="1145" sId="13">
    <nc r="S155">
      <f>H155*E155</f>
    </nc>
  </rcc>
  <rcc rId="1146" sId="13">
    <nc r="T155">
      <f>SUM(T37:T154)</f>
    </nc>
  </rcc>
  <rcc rId="1147" sId="13">
    <nc r="U155">
      <f>SUM(U37:U154)</f>
    </nc>
  </rcc>
  <rcc rId="1148" sId="13">
    <nc r="V155">
      <f>SUM(V37:V154)</f>
    </nc>
  </rcc>
  <rcc rId="1149" sId="13">
    <nc r="S156">
      <f>H156*E156</f>
    </nc>
  </rcc>
  <rcc rId="1150" sId="13">
    <nc r="T156">
      <f>SUM(T38:T155)</f>
    </nc>
  </rcc>
  <rcc rId="1151" sId="13">
    <nc r="U156">
      <f>SUM(U38:U155)</f>
    </nc>
  </rcc>
  <rcc rId="1152" sId="13">
    <nc r="V156">
      <f>SUM(V38:V155)</f>
    </nc>
  </rcc>
  <rcc rId="1153" sId="13">
    <nc r="S157">
      <f>H157*E157</f>
    </nc>
  </rcc>
  <rcc rId="1154" sId="13">
    <nc r="T157">
      <f>SUM(T39:T156)</f>
    </nc>
  </rcc>
  <rcc rId="1155" sId="13">
    <nc r="U157">
      <f>SUM(U39:U156)</f>
    </nc>
  </rcc>
  <rcc rId="1156" sId="13">
    <nc r="V157">
      <f>SUM(V39:V156)</f>
    </nc>
  </rcc>
  <rcc rId="1157" sId="13">
    <nc r="S158">
      <f>H158*E158</f>
    </nc>
  </rcc>
  <rcc rId="1158" sId="13">
    <nc r="T158">
      <f>SUM(T40:T157)</f>
    </nc>
  </rcc>
  <rcc rId="1159" sId="13">
    <nc r="U158">
      <f>SUM(U40:U157)</f>
    </nc>
  </rcc>
  <rcc rId="1160" sId="13">
    <nc r="V158">
      <f>SUM(V40:V157)</f>
    </nc>
  </rcc>
  <rcc rId="1161" sId="13">
    <nc r="S159">
      <f>H159*E159</f>
    </nc>
  </rcc>
  <rcc rId="1162" sId="13">
    <nc r="T159">
      <f>SUM(T41:T158)</f>
    </nc>
  </rcc>
  <rcc rId="1163" sId="13">
    <nc r="U159">
      <f>SUM(U41:U158)</f>
    </nc>
  </rcc>
  <rcc rId="1164" sId="13">
    <nc r="V159">
      <f>SUM(V41:V158)</f>
    </nc>
  </rcc>
  <rcc rId="1165" sId="13">
    <nc r="S160">
      <f>H160*E160</f>
    </nc>
  </rcc>
  <rcc rId="1166" sId="13">
    <nc r="T160">
      <f>SUM(T42:T159)</f>
    </nc>
  </rcc>
  <rcc rId="1167" sId="13">
    <nc r="U160">
      <f>SUM(U42:U159)</f>
    </nc>
  </rcc>
  <rcc rId="1168" sId="13">
    <nc r="V160">
      <f>SUM(V42:V159)</f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D108" start="0" length="0">
    <dxf>
      <alignment horizontal="center" vertical="center" readingOrder="0"/>
      <border outline="0">
        <top style="thin">
          <color indexed="64"/>
        </top>
        <bottom style="thin">
          <color indexed="64"/>
        </bottom>
      </border>
    </dxf>
  </rfmt>
  <rfmt sheetId="13" sqref="D110" start="0" length="0">
    <dxf>
      <alignment horizontal="center" vertical="center" readingOrder="0"/>
    </dxf>
  </rfmt>
  <rfmt sheetId="13" sqref="D112" start="0" length="0">
    <dxf>
      <alignment horizontal="center" vertical="center" readingOrder="0"/>
    </dxf>
  </rfmt>
  <rfmt sheetId="13" sqref="E108" start="0" length="0">
    <dxf>
      <numFmt numFmtId="177" formatCode="#,##0.00[$р.-419];\-#,##0.00[$р.-419]"/>
      <border outline="0">
        <top style="thin">
          <color indexed="64"/>
        </top>
        <bottom style="thin">
          <color indexed="64"/>
        </bottom>
      </border>
    </dxf>
  </rfmt>
  <rcc rId="272" sId="12">
    <nc r="E96">
      <f>'июнь 2019'!F120</f>
    </nc>
  </rcc>
  <rcc rId="273" sId="12">
    <nc r="L96">
      <f>'июнь 2019'!L120</f>
    </nc>
  </rcc>
  <rcc rId="274" sId="12">
    <oc r="G96">
      <f>'май 2019'!H227</f>
    </oc>
    <nc r="G96">
      <f>'июнь 2019'!H120</f>
    </nc>
  </rcc>
  <rcc rId="275" sId="12">
    <oc r="H96">
      <f>'май 2019'!I227</f>
    </oc>
    <nc r="H96">
      <f>'июнь 2019'!I120</f>
    </nc>
  </rcc>
  <rcc rId="276" sId="12">
    <oc r="I96">
      <f>'май 2019'!J227</f>
    </oc>
    <nc r="I96">
      <f>'июнь 2019'!J120</f>
    </nc>
  </rcc>
  <rcc rId="277" sId="12">
    <oc r="J96">
      <f>'май 2019'!K227</f>
    </oc>
    <nc r="J96">
      <f>'июнь 2019'!K120</f>
    </nc>
  </rcc>
  <rcc rId="278" sId="12">
    <oc r="J97">
      <f>(V95+'май 2019'!V227)/E97</f>
    </oc>
    <nc r="J97">
      <f>(V95+'июнь 2019'!H120)/E97</f>
    </nc>
  </rcc>
  <rcc rId="279" sId="12">
    <oc r="G97">
      <f>(S95+'май 2019'!S227)/E97</f>
    </oc>
    <nc r="G97">
      <f>(S95+'июнь 2019'!H120)/E97</f>
    </nc>
  </rcc>
  <rcc rId="280" sId="12">
    <oc r="H97">
      <f>(T95+'май 2019'!T227)/E97</f>
    </oc>
    <nc r="H97">
      <f>(T95+'июнь 2019'!I120)/E97</f>
    </nc>
  </rcc>
  <rcc rId="281" sId="12">
    <oc r="I97">
      <f>(U95+'май 2019'!U227)/E97</f>
    </oc>
    <nc r="I97">
      <f>(U95+'июнь 2019'!J120)/E97</f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2" customView="1" name="Z_A1BD6C0C_B1B9_4F48_A6B1_3BFD273F4CD7_.wvu.Cols" hidden="1" oldHidden="1">
    <oldFormula>'июнь 2019 Эпотос-К'!$S:$V</oldFormula>
  </rdn>
  <rcv guid="{A1BD6C0C-B1B9-4F48-A6B1-3BFD273F4CD7}" action="delete"/>
  <rdn rId="0" localSheetId="3" customView="1" name="Z_A1BD6C0C_B1B9_4F48_A6B1_3BFD273F4CD7_.wvu.PrintTitles" hidden="1" oldHidden="1">
    <formula>'январь 2019'!$4:$7</formula>
    <oldFormula>'январь 2019'!$4:$7</oldFormula>
  </rdn>
  <rdn rId="0" localSheetId="4" customView="1" name="Z_A1BD6C0C_B1B9_4F48_A6B1_3BFD273F4CD7_.wvu.PrintArea" hidden="1" oldHidden="1">
    <formula>'февраль 2019 Эпотос-К'!$B$7:$G$96</formula>
    <oldFormula>'февраль 2019 Эпотос-К'!$B$7:$G$96</oldFormula>
  </rdn>
  <rdn rId="0" localSheetId="5" customView="1" name="Z_A1BD6C0C_B1B9_4F48_A6B1_3BFD273F4CD7_.wvu.PrintTitles" hidden="1" oldHidden="1">
    <formula>'февраль 2019'!$4:$7</formula>
    <oldFormula>'февраль 2019'!$4:$7</oldFormula>
  </rdn>
  <rdn rId="0" localSheetId="6" customView="1" name="Z_A1BD6C0C_B1B9_4F48_A6B1_3BFD273F4CD7_.wvu.PrintArea" hidden="1" oldHidden="1">
    <formula>'март 2019 Эпотос-К'!$B$7:$G$93</formula>
    <oldFormula>'март 2019 Эпотос-К'!$B$7:$G$93</oldFormula>
  </rdn>
  <rdn rId="0" localSheetId="7" customView="1" name="Z_A1BD6C0C_B1B9_4F48_A6B1_3BFD273F4CD7_.wvu.PrintTitles" hidden="1" oldHidden="1">
    <formula>'март 2019'!$4:$7</formula>
    <oldFormula>'март 2019'!$4:$7</oldFormula>
  </rdn>
  <rdn rId="0" localSheetId="8" customView="1" name="Z_A1BD6C0C_B1B9_4F48_A6B1_3BFD273F4CD7_.wvu.PrintArea" hidden="1" oldHidden="1">
    <formula>'апрель 2019 Эпотос-К'!$A$7:$B$82</formula>
    <oldFormula>'апрель 2019 Эпотос-К'!$A$7:$B$82</oldFormula>
  </rdn>
  <rdn rId="0" localSheetId="8" customView="1" name="Z_A1BD6C0C_B1B9_4F48_A6B1_3BFD273F4CD7_.wvu.Cols" hidden="1" oldHidden="1">
    <formula>'апрель 2019 Эпотос-К'!$S:$V</formula>
    <oldFormula>'апрель 2019 Эпотос-К'!$S:$V</oldFormula>
  </rdn>
  <rdn rId="0" localSheetId="9" customView="1" name="Z_A1BD6C0C_B1B9_4F48_A6B1_3BFD273F4CD7_.wvu.PrintTitles" hidden="1" oldHidden="1">
    <formula>'апрель 2019'!$4:$7</formula>
    <oldFormula>'апрель 2019'!$4:$7</oldFormula>
  </rdn>
  <rdn rId="0" localSheetId="9" customView="1" name="Z_A1BD6C0C_B1B9_4F48_A6B1_3BFD273F4CD7_.wvu.Cols" hidden="1" oldHidden="1">
    <formula>'апрель 2019'!$S:$V</formula>
    <oldFormula>'апрель 2019'!$S:$V</oldFormula>
  </rdn>
  <rdn rId="0" localSheetId="10" customView="1" name="Z_A1BD6C0C_B1B9_4F48_A6B1_3BFD273F4CD7_.wvu.PrintArea" hidden="1" oldHidden="1">
    <formula>'май 2019 Эпотос-К'!$B$47:$D$56</formula>
    <oldFormula>'май 2019 Эпотос-К'!$B$47:$D$56</oldFormula>
  </rdn>
  <rdn rId="0" localSheetId="10" customView="1" name="Z_A1BD6C0C_B1B9_4F48_A6B1_3BFD273F4CD7_.wvu.Cols" hidden="1" oldHidden="1">
    <formula>'май 2019 Эпотос-К'!$S:$V</formula>
    <oldFormula>'май 2019 Эпотос-К'!$S:$V</oldFormula>
  </rdn>
  <rdn rId="0" localSheetId="11" customView="1" name="Z_A1BD6C0C_B1B9_4F48_A6B1_3BFD273F4CD7_.wvu.PrintTitles" hidden="1" oldHidden="1">
    <formula>'май 2019'!$4:$7</formula>
    <oldFormula>'май 2019'!$4:$7</oldFormula>
  </rdn>
  <rdn rId="0" localSheetId="11" customView="1" name="Z_A1BD6C0C_B1B9_4F48_A6B1_3BFD273F4CD7_.wvu.Cols" hidden="1" oldHidden="1">
    <formula>'май 2019'!$S:$V</formula>
    <oldFormula>'май 2019'!$S:$V</oldFormula>
  </rdn>
  <rdn rId="0" localSheetId="12" customView="1" name="Z_A1BD6C0C_B1B9_4F48_A6B1_3BFD273F4CD7_.wvu.PrintArea" hidden="1" oldHidden="1">
    <formula>'июнь 2019 Эпотос-К'!$B$47:$D$56</formula>
    <oldFormula>'июнь 2019 Эпотос-К'!$B$47:$D$56</oldFormula>
  </rdn>
  <rdn rId="0" localSheetId="13" customView="1" name="Z_A1BD6C0C_B1B9_4F48_A6B1_3BFD273F4CD7_.wvu.PrintTitles" hidden="1" oldHidden="1">
    <formula>'июнь 2019'!$4:$7</formula>
    <oldFormula>'июнь 2019'!$4:$7</oldFormula>
  </rdn>
  <rdn rId="0" localSheetId="13" customView="1" name="Z_A1BD6C0C_B1B9_4F48_A6B1_3BFD273F4CD7_.wvu.Cols" hidden="1" oldHidden="1">
    <formula>'июнь 2019'!$S:$V</formula>
    <oldFormula>'июнь 2019'!$S:$V</oldFormula>
  </rdn>
  <rdn rId="0" localSheetId="17" customView="1" name="Z_A1BD6C0C_B1B9_4F48_A6B1_3BFD273F4CD7_.wvu.PrintArea" hidden="1" oldHidden="1">
    <formula>'обзор 2016'!$B$3:$Q$19</formula>
    <oldFormula>'обзор 2016'!$B$3:$Q$19</oldFormula>
  </rdn>
  <rdn rId="0" localSheetId="17" customView="1" name="Z_A1BD6C0C_B1B9_4F48_A6B1_3BFD273F4CD7_.wvu.Cols" hidden="1" oldHidden="1">
    <formula>'обзор 2016'!$A:$A</formula>
    <oldFormula>'обзор 2016'!$A:$A</oldFormula>
  </rdn>
  <rdn rId="0" localSheetId="18" customView="1" name="Z_A1BD6C0C_B1B9_4F48_A6B1_3BFD273F4CD7_.wvu.PrintArea" hidden="1" oldHidden="1">
    <formula>'объёмы 2019'!$A$3:$U$38</formula>
    <oldFormula>'объёмы 2019'!$A$3:$U$38</oldFormula>
  </rdn>
  <rdn rId="0" localSheetId="18" customView="1" name="Z_A1BD6C0C_B1B9_4F48_A6B1_3BFD273F4CD7_.wvu.PrintTitles" hidden="1" oldHidden="1">
    <formula>'объёмы 2019'!$5:$6</formula>
    <oldFormula>'объёмы 2019'!$5:$6</oldFormula>
  </rdn>
  <rdn rId="0" localSheetId="18" customView="1" name="Z_A1BD6C0C_B1B9_4F48_A6B1_3BFD273F4CD7_.wvu.Cols" hidden="1" oldHidden="1">
    <formula>'объёмы 2019'!$V:$V</formula>
    <oldFormula>'объёмы 2019'!$V:$V</oldFormula>
  </rdn>
  <rcv guid="{A1BD6C0C-B1B9-4F48-A6B1-3BFD273F4CD7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1" sId="12">
    <nc r="F37">
      <v>131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2" sId="12">
    <nc r="F58">
      <v>100</v>
    </nc>
  </rcc>
  <rcc rId="1193" sId="12">
    <nc r="F59">
      <v>100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="1" sqref="E27" start="0" length="0">
    <dxf>
      <numFmt numFmtId="168" formatCode="#,##0.00&quot;р.&quot;"/>
      <alignment horizontal="right" vertical="center" readingOrder="0"/>
      <border outline="0">
        <left/>
        <top style="thin">
          <color indexed="64"/>
        </top>
        <bottom style="thin">
          <color indexed="64"/>
        </bottom>
      </border>
    </dxf>
  </rfmt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4" sId="12">
    <oc r="G7">
      <v>300</v>
    </oc>
    <nc r="G7">
      <f>300+300</f>
    </nc>
  </rcc>
  <rcc rId="1195" sId="12">
    <nc r="G37">
      <v>131</v>
    </nc>
  </rcc>
  <rcc rId="1196" sId="12">
    <nc r="G58">
      <v>100</v>
    </nc>
  </rcc>
  <rcc rId="1197" sId="12">
    <nc r="G59">
      <v>100</v>
    </nc>
  </rcc>
  <rcv guid="{8C638750-2D78-446E-B8DA-A6202AF1ED31}" action="delete"/>
  <rdn rId="0" localSheetId="3" customView="1" name="Z_8C638750_2D78_446E_B8DA_A6202AF1ED31_.wvu.PrintTitles" hidden="1" oldHidden="1">
    <formula>'январь 2019'!$4:$7</formula>
    <oldFormula>'январь 2019'!$4:$7</oldFormula>
  </rdn>
  <rdn rId="0" localSheetId="5" customView="1" name="Z_8C638750_2D78_446E_B8DA_A6202AF1ED31_.wvu.PrintTitles" hidden="1" oldHidden="1">
    <formula>'февраль 2019'!$4:$7</formula>
    <oldFormula>'февраль 2019'!$4:$7</oldFormula>
  </rdn>
  <rdn rId="0" localSheetId="6" customView="1" name="Z_8C638750_2D78_446E_B8DA_A6202AF1ED31_.wvu.PrintArea" hidden="1" oldHidden="1">
    <formula>'март 2019 Эпотос-К'!$B$7:$G$93</formula>
    <oldFormula>'март 2019 Эпотос-К'!$B$7:$G$93</oldFormula>
  </rdn>
  <rdn rId="0" localSheetId="7" customView="1" name="Z_8C638750_2D78_446E_B8DA_A6202AF1ED31_.wvu.PrintArea" hidden="1" oldHidden="1">
    <formula>'март 2019'!$B$8:$H$246</formula>
    <oldFormula>'март 2019'!$B$8:$H$246</oldFormula>
  </rdn>
  <rdn rId="0" localSheetId="7" customView="1" name="Z_8C638750_2D78_446E_B8DA_A6202AF1ED31_.wvu.PrintTitles" hidden="1" oldHidden="1">
    <formula>'март 2019'!$4:$7</formula>
    <oldFormula>'март 2019'!$4:$7</oldFormula>
  </rdn>
  <rdn rId="0" localSheetId="8" customView="1" name="Z_8C638750_2D78_446E_B8DA_A6202AF1ED31_.wvu.PrintArea" hidden="1" oldHidden="1">
    <formula>'апрель 2019 Эпотос-К'!$B$7:$G$93</formula>
    <oldFormula>'апрель 2019 Эпотос-К'!$B$7:$G$93</oldFormula>
  </rdn>
  <rdn rId="0" localSheetId="9" customView="1" name="Z_8C638750_2D78_446E_B8DA_A6202AF1ED31_.wvu.PrintArea" hidden="1" oldHidden="1">
    <formula>'апрель 2019'!$B$8:$H$227</formula>
    <oldFormula>'апрель 2019'!$B$8:$H$227</oldFormula>
  </rdn>
  <rdn rId="0" localSheetId="9" customView="1" name="Z_8C638750_2D78_446E_B8DA_A6202AF1ED31_.wvu.PrintTitles" hidden="1" oldHidden="1">
    <formula>'апрель 2019'!$4:$7</formula>
    <oldFormula>'апрель 2019'!$4:$7</oldFormula>
  </rdn>
  <rdn rId="0" localSheetId="10" customView="1" name="Z_8C638750_2D78_446E_B8DA_A6202AF1ED31_.wvu.PrintArea" hidden="1" oldHidden="1">
    <formula>'май 2019 Эпотос-К'!$A$7:$B$82</formula>
    <oldFormula>'май 2019 Эпотос-К'!$A$7:$B$82</oldFormula>
  </rdn>
  <rdn rId="0" localSheetId="10" customView="1" name="Z_8C638750_2D78_446E_B8DA_A6202AF1ED31_.wvu.Cols" hidden="1" oldHidden="1">
    <formula>'май 2019 Эпотос-К'!$S:$V</formula>
    <oldFormula>'май 2019 Эпотос-К'!$S:$V</oldFormula>
  </rdn>
  <rdn rId="0" localSheetId="11" customView="1" name="Z_8C638750_2D78_446E_B8DA_A6202AF1ED31_.wvu.PrintArea" hidden="1" oldHidden="1">
    <formula>'май 2019'!$B$8:$H$226</formula>
    <oldFormula>'май 2019'!$B$8:$H$226</oldFormula>
  </rdn>
  <rdn rId="0" localSheetId="11" customView="1" name="Z_8C638750_2D78_446E_B8DA_A6202AF1ED31_.wvu.PrintTitles" hidden="1" oldHidden="1">
    <formula>'май 2019'!$4:$7</formula>
    <oldFormula>'май 2019'!$4:$7</oldFormula>
  </rdn>
  <rdn rId="0" localSheetId="11" customView="1" name="Z_8C638750_2D78_446E_B8DA_A6202AF1ED31_.wvu.Cols" hidden="1" oldHidden="1">
    <formula>'май 2019'!$S:$V</formula>
    <oldFormula>'май 2019'!$S:$V</oldFormula>
  </rdn>
  <rdn rId="0" localSheetId="12" customView="1" name="Z_8C638750_2D78_446E_B8DA_A6202AF1ED31_.wvu.PrintArea" hidden="1" oldHidden="1">
    <formula>'июнь 2019 Эпотос-К'!$B$47:$D$56</formula>
    <oldFormula>'июнь 2019 Эпотос-К'!$B$47:$D$56</oldFormula>
  </rdn>
  <rdn rId="0" localSheetId="12" customView="1" name="Z_8C638750_2D78_446E_B8DA_A6202AF1ED31_.wvu.Cols" hidden="1" oldHidden="1">
    <formula>'июнь 2019 Эпотос-К'!$S:$V</formula>
    <oldFormula>'июнь 2019 Эпотос-К'!$S:$V</oldFormula>
  </rdn>
  <rdn rId="0" localSheetId="13" customView="1" name="Z_8C638750_2D78_446E_B8DA_A6202AF1ED31_.wvu.PrintArea" hidden="1" oldHidden="1">
    <formula>'июнь 2019'!$B$8:$H$125</formula>
    <oldFormula>'июнь 2019'!$B$8:$H$125</oldFormula>
  </rdn>
  <rdn rId="0" localSheetId="13" customView="1" name="Z_8C638750_2D78_446E_B8DA_A6202AF1ED31_.wvu.PrintTitles" hidden="1" oldHidden="1">
    <formula>'июнь 2019'!$4:$7</formula>
    <oldFormula>'июнь 2019'!$4:$7</oldFormula>
  </rdn>
  <rdn rId="0" localSheetId="13" customView="1" name="Z_8C638750_2D78_446E_B8DA_A6202AF1ED31_.wvu.Cols" hidden="1" oldHidden="1">
    <formula>'июнь 2019'!$S:$V</formula>
    <oldFormula>'июнь 2019'!$S:$V</oldFormula>
  </rdn>
  <rdn rId="0" localSheetId="14" customView="1" name="Z_8C638750_2D78_446E_B8DA_A6202AF1ED31_.wvu.PrintArea" hidden="1" oldHidden="1">
    <formula>'обзор 2019'!$B$3:$M$18</formula>
    <oldFormula>'обзор 2019'!$B$3:$M$18</oldFormula>
  </rdn>
  <rdn rId="0" localSheetId="15" customView="1" name="Z_8C638750_2D78_446E_B8DA_A6202AF1ED31_.wvu.PrintArea" hidden="1" oldHidden="1">
    <formula>'обзор 2018'!$B$3:$M$18</formula>
    <oldFormula>'обзор 2018'!$B$3:$M$18</oldFormula>
  </rdn>
  <rdn rId="0" localSheetId="16" customView="1" name="Z_8C638750_2D78_446E_B8DA_A6202AF1ED31_.wvu.PrintArea" hidden="1" oldHidden="1">
    <formula>'обзор 2017'!$B$3:$M$18</formula>
    <oldFormula>'обзор 2017'!$B$3:$M$18</oldFormula>
  </rdn>
  <rdn rId="0" localSheetId="17" customView="1" name="Z_8C638750_2D78_446E_B8DA_A6202AF1ED31_.wvu.PrintArea" hidden="1" oldHidden="1">
    <formula>'обзор 2016'!$B$3:$Q$19</formula>
    <oldFormula>'обзор 2016'!$B$3:$Q$19</oldFormula>
  </rdn>
  <rdn rId="0" localSheetId="17" customView="1" name="Z_8C638750_2D78_446E_B8DA_A6202AF1ED31_.wvu.Cols" hidden="1" oldHidden="1">
    <formula>'обзор 2016'!$A:$A</formula>
    <oldFormula>'обзор 2016'!$A:$A</oldFormula>
  </rdn>
  <rdn rId="0" localSheetId="18" customView="1" name="Z_8C638750_2D78_446E_B8DA_A6202AF1ED31_.wvu.PrintArea" hidden="1" oldHidden="1">
    <formula>'объёмы 2019'!$A$3:$T$98</formula>
    <oldFormula>'объёмы 2019'!$A$3:$T$98</oldFormula>
  </rdn>
  <rdn rId="0" localSheetId="18" customView="1" name="Z_8C638750_2D78_446E_B8DA_A6202AF1ED31_.wvu.PrintTitles" hidden="1" oldHidden="1">
    <formula>'объёмы 2019'!$5:$6</formula>
    <oldFormula>'объёмы 2019'!$5:$6</oldFormula>
  </rdn>
  <rcv guid="{8C638750-2D78-446E-B8DA-A6202AF1ED31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3" sId="12">
    <oc r="G7">
      <f>300+300</f>
    </oc>
    <nc r="G7">
      <f>300+300+300</f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4" sId="12">
    <oc r="F7">
      <v>600</v>
    </oc>
    <nc r="F7">
      <v>900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51">
    <dxf>
      <fill>
        <patternFill patternType="solid">
          <bgColor rgb="FF7030A0"/>
        </patternFill>
      </fill>
    </dxf>
  </rfmt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25" sId="13" ref="A119:XFD132" action="insert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undo index="0" exp="area" ref3D="1" dr="$S$1:$V$1048576" dn="Z_06317133_151B_4DBC_8EB3_9345BA061F91_.wvu.Cols" sId="13"/>
  </rrc>
  <rcc rId="1226" sId="13">
    <oc r="F115">
      <f>E115*D115</f>
    </oc>
    <nc r="F115">
      <f>E115*D115</f>
    </nc>
  </rcc>
  <rcc rId="1227" sId="13">
    <oc r="F116">
      <f>E116*D116</f>
    </oc>
    <nc r="F116">
      <f>E116*D116</f>
    </nc>
  </rcc>
  <rcc rId="1228" sId="13">
    <oc r="F117">
      <f>E117*D117</f>
    </oc>
    <nc r="F117">
      <f>E117*D117</f>
    </nc>
  </rcc>
  <rcc rId="1229" sId="13">
    <oc r="F118">
      <f>E118*D118</f>
    </oc>
    <nc r="F118">
      <f>E118*D118</f>
    </nc>
  </rcc>
  <rcc rId="1230" sId="13">
    <nc r="F119">
      <f>E119*D119</f>
    </nc>
  </rcc>
  <rcc rId="1231" sId="13">
    <nc r="F120">
      <f>E120*D120</f>
    </nc>
  </rcc>
  <rcc rId="1232" sId="13">
    <nc r="F121">
      <f>E121*D121</f>
    </nc>
  </rcc>
  <rcc rId="1233" sId="13">
    <nc r="F122">
      <f>E122*D122</f>
    </nc>
  </rcc>
  <rcc rId="1234" sId="13">
    <nc r="F123">
      <f>E123*D123</f>
    </nc>
  </rcc>
  <rcc rId="1235" sId="13">
    <nc r="F124">
      <f>E124*D124</f>
    </nc>
  </rcc>
  <rcc rId="1236" sId="13">
    <nc r="F125">
      <f>E125*D125</f>
    </nc>
  </rcc>
  <rcc rId="1237" sId="13">
    <nc r="F126">
      <f>E126*D126</f>
    </nc>
  </rcc>
  <rcc rId="1238" sId="13">
    <nc r="F127">
      <f>E127*D127</f>
    </nc>
  </rcc>
  <rcc rId="1239" sId="13">
    <nc r="F128">
      <f>E128*D128</f>
    </nc>
  </rcc>
  <rcc rId="1240" sId="13">
    <nc r="F129">
      <f>E129*D129</f>
    </nc>
  </rcc>
  <rcc rId="1241" sId="13">
    <nc r="F130">
      <f>E130*D130</f>
    </nc>
  </rcc>
  <rcc rId="1242" sId="13">
    <nc r="F131">
      <f>E131*D131</f>
    </nc>
  </rcc>
  <rcc rId="1243" sId="13">
    <nc r="F132">
      <f>E132*D132</f>
    </nc>
  </rcc>
  <rcc rId="1244" sId="13">
    <oc r="F133">
      <f>E133*D133</f>
    </oc>
    <nc r="F133">
      <f>E133*D133</f>
    </nc>
  </rcc>
  <rcc rId="1245" sId="13">
    <oc r="F134">
      <f>E134*D134</f>
    </oc>
    <nc r="F134">
      <f>E134*D134</f>
    </nc>
  </rcc>
  <rcc rId="1246" sId="13">
    <oc r="F135">
      <f>E135*D135</f>
    </oc>
    <nc r="F135">
      <f>E135*D135</f>
    </nc>
  </rcc>
  <rcc rId="1247" sId="13">
    <oc r="L113">
      <f>E113*(H113+I113+J113+K113)</f>
    </oc>
    <nc r="L113">
      <f>E113*(H113+I113+J113+K113)</f>
    </nc>
  </rcc>
  <rcc rId="1248" sId="13">
    <oc r="L114">
      <f>E114*(H114+I114+J114+K114)</f>
    </oc>
    <nc r="L114">
      <f>E114*(H114+I114+J114+K114)</f>
    </nc>
  </rcc>
  <rcc rId="1249" sId="13">
    <oc r="L115">
      <f>E115*(H115+I115+J115+K115)</f>
    </oc>
    <nc r="L115">
      <f>E115*(H115+I115+J115+K115)</f>
    </nc>
  </rcc>
  <rcc rId="1250" sId="13">
    <oc r="L116">
      <f>E116*(H116+I116+J116+K116)</f>
    </oc>
    <nc r="L116">
      <f>E116*(H116+I116+J116+K116)</f>
    </nc>
  </rcc>
  <rcc rId="1251" sId="13">
    <oc r="L117">
      <f>E117*(H117+I117+J117+K117)</f>
    </oc>
    <nc r="L117">
      <f>E117*(H117+I117+J117+K117)</f>
    </nc>
  </rcc>
  <rcc rId="1252" sId="13">
    <oc r="L118">
      <f>E118*(H118+I118+J118+K118)</f>
    </oc>
    <nc r="L118">
      <f>E118*(H118+I118+J118+K118)</f>
    </nc>
  </rcc>
  <rcc rId="1253" sId="13">
    <nc r="L119">
      <f>E119*(H119+I119+J119+K119)</f>
    </nc>
  </rcc>
  <rcc rId="1254" sId="13">
    <nc r="L120">
      <f>E120*(H120+I120+J120+K120)</f>
    </nc>
  </rcc>
  <rcc rId="1255" sId="13">
    <nc r="L121">
      <f>E121*(H121+I121+J121+K121)</f>
    </nc>
  </rcc>
  <rcc rId="1256" sId="13">
    <nc r="L122">
      <f>E122*(H122+I122+J122+K122)</f>
    </nc>
  </rcc>
  <rcc rId="1257" sId="13">
    <nc r="L123">
      <f>E123*(H123+I123+J123+K123)</f>
    </nc>
  </rcc>
  <rcc rId="1258" sId="13">
    <nc r="L124">
      <f>E124*(H124+I124+J124+K124)</f>
    </nc>
  </rcc>
  <rcc rId="1259" sId="13">
    <nc r="L125">
      <f>E125*(H125+I125+J125+K125)</f>
    </nc>
  </rcc>
  <rcc rId="1260" sId="13">
    <nc r="L126">
      <f>E126*(H126+I126+J126+K126)</f>
    </nc>
  </rcc>
  <rcc rId="1261" sId="13">
    <nc r="L127">
      <f>E127*(H127+I127+J127+K127)</f>
    </nc>
  </rcc>
  <rcc rId="1262" sId="13">
    <nc r="L128">
      <f>E128*(H128+I128+J128+K128)</f>
    </nc>
  </rcc>
  <rcc rId="1263" sId="13">
    <nc r="L129">
      <f>E129*(H129+I129+J129+K129)</f>
    </nc>
  </rcc>
  <rcc rId="1264" sId="13">
    <nc r="L130">
      <f>E130*(H130+I130+J130+K130)</f>
    </nc>
  </rcc>
  <rcc rId="1265" sId="13">
    <nc r="L131">
      <f>E131*(H131+I131+J131+K131)</f>
    </nc>
  </rcc>
  <rcc rId="1266" sId="13">
    <nc r="L132">
      <f>E132*(H132+I132+J132+K132)</f>
    </nc>
  </rcc>
  <rcc rId="1267" sId="13">
    <oc r="L133">
      <f>E133*(H133+I133+J133+K133)</f>
    </oc>
    <nc r="L133">
      <f>E133*(H133+I133+J133+K133)</f>
    </nc>
  </rcc>
  <rcc rId="1268" sId="13">
    <oc r="L134">
      <f>E134*(H134+I134+J134+K134)</f>
    </oc>
    <nc r="L134">
      <f>E134*(H134+I134+J134+K134)</f>
    </nc>
  </rcc>
  <rcc rId="1269" sId="13">
    <oc r="L135">
      <f>E135*(H135+I135+J135+K135)</f>
    </oc>
    <nc r="L135">
      <f>E135*(H135+I135+J135+K135)</f>
    </nc>
  </rcc>
  <rcc rId="1270" sId="13" odxf="1" s="1" dxf="1">
    <nc r="A120">
      <v>5556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ndxf>
  </rcc>
  <rcc rId="1271" sId="13" odxf="1" s="1" dxf="1">
    <nc r="B120" t="inlineStr">
      <is>
        <t>Резтех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alignment horizontal="left" vertical="center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ndxf>
  </rcc>
  <rcc rId="1272" sId="13" odxf="1" s="1" dxf="1">
    <nc r="C120" t="inlineStr">
      <is>
        <t>Кольцо 360х240х30мм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odxf>
    <ndxf>
      <alignment horizontal="left" vertical="center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ndxf>
  </rcc>
  <rcc rId="1273" sId="13" odxf="1" s="1" dxf="1">
    <nc r="D120">
      <v>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ndxf>
  </rcc>
  <rcc rId="1274" sId="13" odxf="1" s="1" dxf="1">
    <nc r="A121">
      <v>5557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ndxf>
  </rcc>
  <rcc rId="1275" sId="13" odxf="1" s="1" dxf="1">
    <nc r="B121" t="inlineStr">
      <is>
        <t>Резтех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alignment horizontal="left" vertical="center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ndxf>
  </rcc>
  <rcc rId="1276" sId="13" odxf="1" s="1" dxf="1">
    <nc r="C121" t="inlineStr">
      <is>
        <t>Кольцо 360х180х40мм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odxf>
    <ndxf>
      <alignment horizontal="left" vertical="center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ndxf>
  </rcc>
  <rcc rId="1277" sId="13" odxf="1" s="1" dxf="1">
    <nc r="D121">
      <v>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ndxf>
  </rcc>
  <rcc rId="1278" sId="13" odxf="1" s="1" dxf="1">
    <nc r="A122">
      <v>5558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ndxf>
  </rcc>
  <rcc rId="1279" sId="13" odxf="1" s="1" dxf="1">
    <nc r="B122" t="inlineStr">
      <is>
        <t>Резтех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alignment horizontal="left" vertical="center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ndxf>
  </rcc>
  <rcc rId="1280" sId="13" odxf="1" s="1" dxf="1">
    <nc r="C122" t="inlineStr">
      <is>
        <t>Заготовка из круга d160мм, L=210мм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odxf>
    <ndxf>
      <alignment horizontal="left" vertical="center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ndxf>
  </rcc>
  <rcc rId="1281" sId="13" odxf="1" s="1" dxf="1">
    <nc r="D122">
      <v>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ndxf>
  </rcc>
  <rcc rId="1282" sId="13" odxf="1" s="1" dxf="1">
    <nc r="A123">
      <v>5559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ndxf>
  </rcc>
  <rcc rId="1283" sId="13" odxf="1" s="1" dxf="1">
    <nc r="B123" t="inlineStr">
      <is>
        <t>Резтех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alignment horizontal="left" vertical="center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ndxf>
  </rcc>
  <rcc rId="1284" sId="13" odxf="1" s="1" dxf="1">
    <nc r="C123" t="inlineStr">
      <is>
        <t>Заготовка из круга d240мм, L=200мм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odxf>
    <ndxf>
      <alignment horizontal="left" vertical="center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ndxf>
  </rcc>
  <rcc rId="1285" sId="13" odxf="1" s="1" dxf="1">
    <nc r="D123">
      <v>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ndxf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="1" sqref="A120" start="0" length="0">
    <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dxf>
  </rfmt>
  <rfmt sheetId="13" s="1" sqref="B120" start="0" length="0">
    <dxf>
      <alignment horizontal="general" vertical="bottom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3" s="1" sqref="C120" start="0" length="0">
    <dxf>
      <alignment horizontal="general" vertical="bottom" readingOrder="0"/>
      <border outline="0">
        <left/>
        <right/>
        <top style="thin">
          <color indexed="64"/>
        </top>
        <bottom style="thin">
          <color indexed="64"/>
        </bottom>
      </border>
      <protection locked="1"/>
    </dxf>
  </rfmt>
  <rfmt sheetId="13" s="1" sqref="D120" start="0" length="0">
    <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dxf>
  </rfmt>
  <rcc rId="1286" sId="13">
    <oc r="F120">
      <f>E120*D120</f>
    </oc>
    <nc r="F120">
      <f>E120*D120</f>
    </nc>
  </rcc>
  <rcc rId="1287" sId="13">
    <oc r="L120">
      <f>E120*(H120+I120+J120+K120)</f>
    </oc>
    <nc r="L120">
      <f>E120*(H120+I120+J120+K120)</f>
    </nc>
  </rcc>
  <rfmt sheetId="13" s="1" sqref="A121" start="0" length="0">
    <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dxf>
  </rfmt>
  <rfmt sheetId="13" s="1" sqref="B121" start="0" length="0">
    <dxf>
      <alignment horizontal="general" vertical="bottom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3" s="1" sqref="C121" start="0" length="0">
    <dxf>
      <alignment horizontal="general" vertical="bottom" readingOrder="0"/>
      <border outline="0">
        <left/>
        <right/>
        <top style="thin">
          <color indexed="64"/>
        </top>
        <bottom style="thin">
          <color indexed="64"/>
        </bottom>
      </border>
      <protection locked="1"/>
    </dxf>
  </rfmt>
  <rfmt sheetId="13" s="1" sqref="D121" start="0" length="0">
    <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dxf>
  </rfmt>
  <rcc rId="1288" sId="13">
    <oc r="F121">
      <f>E121*D121</f>
    </oc>
    <nc r="F121">
      <f>E121*D121</f>
    </nc>
  </rcc>
  <rcc rId="1289" sId="13">
    <oc r="L121">
      <f>E121*(H121+I121+J121+K121)</f>
    </oc>
    <nc r="L121">
      <f>E121*(H121+I121+J121+K121)</f>
    </nc>
  </rcc>
  <rfmt sheetId="13" s="1" sqref="A122" start="0" length="0">
    <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dxf>
  </rfmt>
  <rfmt sheetId="13" s="1" sqref="B122" start="0" length="0">
    <dxf>
      <alignment horizontal="general" vertical="bottom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3" s="1" sqref="C122" start="0" length="0">
    <dxf>
      <alignment horizontal="general" vertical="bottom" readingOrder="0"/>
      <border outline="0">
        <left/>
        <right/>
        <top style="thin">
          <color indexed="64"/>
        </top>
        <bottom style="thin">
          <color indexed="64"/>
        </bottom>
      </border>
      <protection locked="1"/>
    </dxf>
  </rfmt>
  <rfmt sheetId="13" s="1" sqref="D122" start="0" length="0">
    <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dxf>
  </rfmt>
  <rcc rId="1290" sId="13">
    <oc r="F122">
      <f>E122*D122</f>
    </oc>
    <nc r="F122">
      <f>E122*D122</f>
    </nc>
  </rcc>
  <rcc rId="1291" sId="13">
    <oc r="L122">
      <f>E122*(H122+I122+J122+K122)</f>
    </oc>
    <nc r="L122">
      <f>E122*(H122+I122+J122+K122)</f>
    </nc>
  </rcc>
  <rfmt sheetId="13" s="1" sqref="A123" start="0" length="0">
    <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dxf>
  </rfmt>
  <rfmt sheetId="13" s="1" sqref="B123" start="0" length="0">
    <dxf>
      <alignment horizontal="general" vertical="bottom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3" s="1" sqref="C123" start="0" length="0">
    <dxf>
      <alignment horizontal="general" vertical="bottom" readingOrder="0"/>
      <border outline="0">
        <left/>
        <right/>
        <top style="thin">
          <color indexed="64"/>
        </top>
        <bottom style="thin">
          <color indexed="64"/>
        </bottom>
      </border>
      <protection locked="1"/>
    </dxf>
  </rfmt>
  <rfmt sheetId="13" s="1" sqref="D123" start="0" length="0">
    <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dxf>
  </rfmt>
  <rcc rId="1292" sId="13">
    <oc r="F123">
      <f>E123*D123</f>
    </oc>
    <nc r="F123">
      <f>E123*D123</f>
    </nc>
  </rcc>
  <rcc rId="1293" sId="13">
    <oc r="L123">
      <f>E123*(H123+I123+J123+K123)</f>
    </oc>
    <nc r="L123">
      <f>E123*(H123+I123+J123+K123)</f>
    </nc>
  </rcc>
  <rcc rId="1294" sId="13" numFmtId="11">
    <nc r="E120">
      <v>2000</v>
    </nc>
  </rcc>
  <rcc rId="1295" sId="13" numFmtId="11">
    <nc r="E121">
      <v>2900</v>
    </nc>
  </rcc>
  <rcc rId="1296" sId="13" numFmtId="11">
    <nc r="E122">
      <v>1890</v>
    </nc>
  </rcc>
  <rcc rId="1297" sId="13" numFmtId="11">
    <nc r="E123">
      <v>3550</v>
    </nc>
  </rcc>
  <rcc rId="1298" sId="13" numFmtId="19">
    <nc r="M120">
      <v>43621</v>
    </nc>
  </rcc>
  <rcc rId="1299" sId="13" numFmtId="19">
    <nc r="N120">
      <v>43623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" sId="12">
    <oc r="J97">
      <f>(V95+'июнь 2019'!H120)/E97</f>
    </oc>
    <nc r="J97">
      <f>(V95+'июнь 2019'!K120)/E97</f>
    </nc>
  </rcc>
  <rcc rId="283" sId="14">
    <nc r="C9">
      <f>'июнь 2019 Эпотос-К'!E97</f>
    </nc>
  </rcc>
  <rcc rId="284" sId="14">
    <nc r="D9">
      <f>'июнь 2019 Эпотос-К'!E95</f>
    </nc>
  </rcc>
  <rcc rId="285" sId="14">
    <nc r="E9">
      <f>'июнь 2019 Эпотос-К'!L95</f>
    </nc>
  </rcc>
  <rcc rId="286" sId="14">
    <nc r="F9">
      <f>E9/D9</f>
    </nc>
  </rcc>
  <rcc rId="287" sId="14">
    <nc r="G9">
      <f>'июнь 2019 Эпотос-К'!E96</f>
    </nc>
  </rcc>
  <rcc rId="288" sId="14">
    <nc r="H9">
      <f>'июнь 2019 Эпотос-К'!L96</f>
    </nc>
  </rcc>
  <rcc rId="289" sId="14">
    <nc r="I9">
      <f>H9/G9</f>
    </nc>
  </rcc>
  <rcc rId="290" sId="14">
    <nc r="J9">
      <f>SUM('июнь 2019'!L28:L43)</f>
    </nc>
  </rcc>
  <rcc rId="291" sId="14">
    <nc r="K9">
      <f>'июнь 2019 Эпотос-К'!L97</f>
    </nc>
  </rcc>
  <rcc rId="292" sId="13">
    <oc r="F28">
      <f>E28*D28</f>
    </oc>
    <nc r="F28"/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6317133-151B-4DBC-8EB3-9345BA061F91}" action="delete"/>
  <rdn rId="0" localSheetId="3" customView="1" name="Z_06317133_151B_4DBC_8EB3_9345BA061F91_.wvu.PrintTitles" hidden="1" oldHidden="1">
    <formula>'январь 2019'!$4:$7</formula>
    <oldFormula>'январь 2019'!$4:$7</oldFormula>
  </rdn>
  <rdn rId="0" localSheetId="5" customView="1" name="Z_06317133_151B_4DBC_8EB3_9345BA061F91_.wvu.PrintTitles" hidden="1" oldHidden="1">
    <formula>'февраль 2019'!$4:$7</formula>
    <oldFormula>'февраль 2019'!$4:$7</oldFormula>
  </rdn>
  <rdn rId="0" localSheetId="6" customView="1" name="Z_06317133_151B_4DBC_8EB3_9345BA061F91_.wvu.PrintArea" hidden="1" oldHidden="1">
    <formula>'март 2019 Эпотос-К'!$B$7:$G$93</formula>
    <oldFormula>'март 2019 Эпотос-К'!$B$7:$G$93</oldFormula>
  </rdn>
  <rdn rId="0" localSheetId="7" customView="1" name="Z_06317133_151B_4DBC_8EB3_9345BA061F91_.wvu.PrintTitles" hidden="1" oldHidden="1">
    <formula>'март 2019'!$4:$7</formula>
    <oldFormula>'март 2019'!$4:$7</oldFormula>
  </rdn>
  <rdn rId="0" localSheetId="8" customView="1" name="Z_06317133_151B_4DBC_8EB3_9345BA061F91_.wvu.PrintArea" hidden="1" oldHidden="1">
    <formula>'апрель 2019 Эпотос-К'!$B$7:$G$93</formula>
    <oldFormula>'апрель 2019 Эпотос-К'!$B$7:$G$93</oldFormula>
  </rdn>
  <rdn rId="0" localSheetId="9" customView="1" name="Z_06317133_151B_4DBC_8EB3_9345BA061F91_.wvu.PrintTitles" hidden="1" oldHidden="1">
    <formula>'апрель 2019'!$4:$7</formula>
    <oldFormula>'апрель 2019'!$4:$7</oldFormula>
  </rdn>
  <rdn rId="0" localSheetId="10" customView="1" name="Z_06317133_151B_4DBC_8EB3_9345BA061F91_.wvu.PrintArea" hidden="1" oldHidden="1">
    <formula>'май 2019 Эпотос-К'!$A$7:$B$82</formula>
    <oldFormula>'май 2019 Эпотос-К'!$A$7:$B$82</oldFormula>
  </rdn>
  <rdn rId="0" localSheetId="10" customView="1" name="Z_06317133_151B_4DBC_8EB3_9345BA061F91_.wvu.Cols" hidden="1" oldHidden="1">
    <formula>'май 2019 Эпотос-К'!$S:$V</formula>
    <oldFormula>'май 2019 Эпотос-К'!$S:$V</oldFormula>
  </rdn>
  <rdn rId="0" localSheetId="11" customView="1" name="Z_06317133_151B_4DBC_8EB3_9345BA061F91_.wvu.PrintTitles" hidden="1" oldHidden="1">
    <formula>'май 2019'!$4:$7</formula>
    <oldFormula>'май 2019'!$4:$7</oldFormula>
  </rdn>
  <rdn rId="0" localSheetId="11" customView="1" name="Z_06317133_151B_4DBC_8EB3_9345BA061F91_.wvu.Cols" hidden="1" oldHidden="1">
    <formula>'май 2019'!$S:$V</formula>
    <oldFormula>'май 2019'!$S:$V</oldFormula>
  </rdn>
  <rdn rId="0" localSheetId="12" customView="1" name="Z_06317133_151B_4DBC_8EB3_9345BA061F91_.wvu.PrintArea" hidden="1" oldHidden="1">
    <formula>'июнь 2019 Эпотос-К'!$B$47:$D$56</formula>
    <oldFormula>'июнь 2019 Эпотос-К'!$B$47:$D$56</oldFormula>
  </rdn>
  <rdn rId="0" localSheetId="12" customView="1" name="Z_06317133_151B_4DBC_8EB3_9345BA061F91_.wvu.Cols" hidden="1" oldHidden="1">
    <formula>'июнь 2019 Эпотос-К'!$S:$V</formula>
    <oldFormula>'июнь 2019 Эпотос-К'!$S:$V</oldFormula>
  </rdn>
  <rdn rId="0" localSheetId="13" customView="1" name="Z_06317133_151B_4DBC_8EB3_9345BA061F91_.wvu.PrintTitles" hidden="1" oldHidden="1">
    <formula>'июнь 2019'!$4:$7</formula>
    <oldFormula>'июнь 2019'!$4:$7</oldFormula>
  </rdn>
  <rdn rId="0" localSheetId="13" customView="1" name="Z_06317133_151B_4DBC_8EB3_9345BA061F91_.wvu.Cols" hidden="1" oldHidden="1">
    <formula>'июнь 2019'!$S:$V</formula>
    <oldFormula>'июнь 2019'!$S:$V</oldFormula>
  </rdn>
  <rdn rId="0" localSheetId="14" customView="1" name="Z_06317133_151B_4DBC_8EB3_9345BA061F91_.wvu.PrintArea" hidden="1" oldHidden="1">
    <formula>'обзор 2019'!$B$3:$M$18</formula>
    <oldFormula>'обзор 2019'!$B$3:$M$18</oldFormula>
  </rdn>
  <rdn rId="0" localSheetId="15" customView="1" name="Z_06317133_151B_4DBC_8EB3_9345BA061F91_.wvu.PrintArea" hidden="1" oldHidden="1">
    <formula>'обзор 2018'!$B$3:$M$18</formula>
    <oldFormula>'обзор 2018'!$B$3:$M$18</oldFormula>
  </rdn>
  <rdn rId="0" localSheetId="16" customView="1" name="Z_06317133_151B_4DBC_8EB3_9345BA061F91_.wvu.PrintArea" hidden="1" oldHidden="1">
    <formula>'обзор 2017'!$B$3:$M$18</formula>
    <oldFormula>'обзор 2017'!$B$3:$M$18</oldFormula>
  </rdn>
  <rdn rId="0" localSheetId="17" customView="1" name="Z_06317133_151B_4DBC_8EB3_9345BA061F91_.wvu.PrintArea" hidden="1" oldHidden="1">
    <formula>'обзор 2016'!$B$3:$Q$19</formula>
    <oldFormula>'обзор 2016'!$B$3:$Q$19</oldFormula>
  </rdn>
  <rdn rId="0" localSheetId="17" customView="1" name="Z_06317133_151B_4DBC_8EB3_9345BA061F91_.wvu.Cols" hidden="1" oldHidden="1">
    <formula>'обзор 2016'!$A:$A</formula>
    <oldFormula>'обзор 2016'!$A:$A</oldFormula>
  </rdn>
  <rdn rId="0" localSheetId="18" customView="1" name="Z_06317133_151B_4DBC_8EB3_9345BA061F91_.wvu.PrintArea" hidden="1" oldHidden="1">
    <formula>'объёмы 2019'!$A$3:$U$98</formula>
    <oldFormula>'объёмы 2019'!$A$3:$U$98</oldFormula>
  </rdn>
  <rdn rId="0" localSheetId="18" customView="1" name="Z_06317133_151B_4DBC_8EB3_9345BA061F91_.wvu.PrintTitles" hidden="1" oldHidden="1">
    <formula>'объёмы 2019'!$5:$6</formula>
    <oldFormula>'объёмы 2019'!$5:$6</oldFormula>
  </rdn>
  <rcv guid="{06317133-151B-4DBC-8EB3-9345BA061F91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1" sId="12">
    <nc r="F93">
      <v>1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A120" start="0" length="0">
    <dxf>
      <alignment horizontal="right" vertical="center" readingOrder="0"/>
      <border outline="0">
        <bottom style="thin">
          <color indexed="64"/>
        </bottom>
      </border>
    </dxf>
  </rfmt>
  <rfmt sheetId="13" sqref="B120" start="0" length="0">
    <dxf>
      <font>
        <sz val="10"/>
        <color indexed="8"/>
        <name val="Arial"/>
        <scheme val="none"/>
      </font>
    </dxf>
  </rfmt>
  <rfmt sheetId="13" sqref="C120" start="0" length="0">
    <dxf>
      <font>
        <sz val="10"/>
        <color indexed="8"/>
        <name val="Arial"/>
        <scheme val="none"/>
      </font>
    </dxf>
  </rfmt>
  <rfmt sheetId="13" sqref="D120" start="0" length="0">
    <dxf>
      <alignment horizontal="center" vertical="center" readingOrder="0"/>
    </dxf>
  </rfmt>
  <rcc rId="1322" sId="13">
    <oc r="F120">
      <f>E120*D120</f>
    </oc>
    <nc r="F120">
      <f>E120*D120</f>
    </nc>
  </rcc>
  <rcc rId="1323" sId="13">
    <oc r="L120">
      <f>E120*(H120+I120+J120+K120)</f>
    </oc>
    <nc r="L120">
      <f>E120*(H120+I120+J120+K120)</f>
    </nc>
  </rcc>
  <rfmt sheetId="13" sqref="A121" start="0" length="0">
    <dxf>
      <alignment horizontal="right" vertical="center" readingOrder="0"/>
      <border outline="0">
        <bottom style="thin">
          <color indexed="64"/>
        </bottom>
      </border>
    </dxf>
  </rfmt>
  <rfmt sheetId="13" sqref="B121" start="0" length="0">
    <dxf>
      <font>
        <sz val="10"/>
        <color indexed="8"/>
        <name val="Arial"/>
        <scheme val="none"/>
      </font>
    </dxf>
  </rfmt>
  <rfmt sheetId="13" sqref="C121" start="0" length="0">
    <dxf>
      <font>
        <sz val="10"/>
        <color indexed="8"/>
        <name val="Arial"/>
        <scheme val="none"/>
      </font>
    </dxf>
  </rfmt>
  <rfmt sheetId="13" sqref="D121" start="0" length="0">
    <dxf>
      <alignment horizontal="center" vertical="center" readingOrder="0"/>
    </dxf>
  </rfmt>
  <rcc rId="1324" sId="13">
    <oc r="F121">
      <f>E121*D121</f>
    </oc>
    <nc r="F121">
      <f>E121*D121</f>
    </nc>
  </rcc>
  <rcc rId="1325" sId="13">
    <oc r="L121">
      <f>E121*(H121+I121+J121+K121)</f>
    </oc>
    <nc r="L121">
      <f>E121*(H121+I121+J121+K121)</f>
    </nc>
  </rcc>
  <rfmt sheetId="13" sqref="A122" start="0" length="0">
    <dxf>
      <alignment horizontal="right" vertical="center" readingOrder="0"/>
      <border outline="0">
        <bottom style="thin">
          <color indexed="64"/>
        </bottom>
      </border>
    </dxf>
  </rfmt>
  <rfmt sheetId="13" sqref="B122" start="0" length="0">
    <dxf>
      <font>
        <sz val="10"/>
        <color indexed="8"/>
        <name val="Arial"/>
        <scheme val="none"/>
      </font>
    </dxf>
  </rfmt>
  <rfmt sheetId="13" sqref="C122" start="0" length="0">
    <dxf>
      <font>
        <sz val="10"/>
        <color indexed="8"/>
        <name val="Arial"/>
        <scheme val="none"/>
      </font>
    </dxf>
  </rfmt>
  <rfmt sheetId="13" sqref="D122" start="0" length="0">
    <dxf>
      <alignment horizontal="center" vertical="center" readingOrder="0"/>
    </dxf>
  </rfmt>
  <rcc rId="1326" sId="13">
    <oc r="F122">
      <f>E122*D122</f>
    </oc>
    <nc r="F122">
      <f>E122*D122</f>
    </nc>
  </rcc>
  <rcc rId="1327" sId="13">
    <oc r="L122">
      <f>E122*(H122+I122+J122+K122)</f>
    </oc>
    <nc r="L122">
      <f>E122*(H122+I122+J122+K122)</f>
    </nc>
  </rcc>
  <rfmt sheetId="13" sqref="A123" start="0" length="0">
    <dxf>
      <alignment horizontal="right" vertical="center" readingOrder="0"/>
      <border outline="0">
        <bottom style="thin">
          <color indexed="64"/>
        </bottom>
      </border>
    </dxf>
  </rfmt>
  <rfmt sheetId="13" sqref="B123" start="0" length="0">
    <dxf>
      <font>
        <sz val="10"/>
        <color indexed="8"/>
        <name val="Arial"/>
        <scheme val="none"/>
      </font>
    </dxf>
  </rfmt>
  <rfmt sheetId="13" sqref="C123" start="0" length="0">
    <dxf>
      <font>
        <sz val="10"/>
        <color indexed="8"/>
        <name val="Arial"/>
        <scheme val="none"/>
      </font>
    </dxf>
  </rfmt>
  <rfmt sheetId="13" sqref="D123" start="0" length="0">
    <dxf>
      <alignment horizontal="center" vertical="center" readingOrder="0"/>
    </dxf>
  </rfmt>
  <rcc rId="1328" sId="13">
    <oc r="F123">
      <f>E123*D123</f>
    </oc>
    <nc r="F123">
      <f>E123*D123</f>
    </nc>
  </rcc>
  <rcc rId="1329" sId="13">
    <oc r="L123">
      <f>E123*(H123+I123+J123+K123)</f>
    </oc>
    <nc r="L123">
      <f>E123*(H123+I123+J123+K123)</f>
    </nc>
  </rcc>
  <rcc rId="1330" sId="13" numFmtId="19">
    <nc r="M121">
      <v>43621</v>
    </nc>
  </rcc>
  <rcc rId="1331" sId="13" numFmtId="19">
    <nc r="N121">
      <v>43623</v>
    </nc>
  </rcc>
  <rcc rId="1332" sId="13" numFmtId="19">
    <nc r="M122">
      <v>43621</v>
    </nc>
  </rcc>
  <rcc rId="1333" sId="13" numFmtId="19">
    <nc r="N122">
      <v>43623</v>
    </nc>
  </rcc>
  <rcc rId="1334" sId="13" numFmtId="19">
    <nc r="M123">
      <v>43621</v>
    </nc>
  </rcc>
  <rcc rId="1335" sId="13" numFmtId="19">
    <nc r="N123">
      <v>43623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6" sId="12">
    <nc r="F11">
      <v>112</v>
    </nc>
  </rcc>
  <rcc rId="1337" sId="12">
    <nc r="F12">
      <v>112</v>
    </nc>
  </rcc>
  <rcc rId="1338" sId="12">
    <nc r="F13">
      <v>112</v>
    </nc>
  </rcc>
  <rcc rId="1339" sId="12">
    <nc r="F14">
      <v>112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" sId="12">
    <nc r="F43">
      <v>306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" sId="12">
    <oc r="F7">
      <v>900</v>
    </oc>
    <nc r="F7">
      <v>1200</v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2" sId="11" odxf="1" dxf="1" numFmtId="30">
    <oc r="A164">
      <v>5302</v>
    </oc>
    <nc r="A164" t="inlineStr">
      <is>
        <t>5496</t>
      </is>
    </nc>
    <odxf>
      <font>
        <sz val="10"/>
        <color indexed="8"/>
        <name val="Arial"/>
        <scheme val="none"/>
      </font>
    </odxf>
    <ndxf>
      <font>
        <sz val="10"/>
        <color indexed="8"/>
        <name val="Arial"/>
        <scheme val="none"/>
      </font>
    </ndxf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3" sId="13">
    <nc r="D12">
      <v>300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" sId="12">
    <nc r="G43">
      <v>306</v>
    </nc>
  </rcc>
  <rcc rId="1345" sId="12">
    <nc r="G11">
      <v>112</v>
    </nc>
  </rcc>
  <rcc rId="1346" sId="12">
    <nc r="G12">
      <v>112</v>
    </nc>
  </rcc>
  <rcc rId="1347" sId="12">
    <nc r="G13">
      <v>112</v>
    </nc>
  </rcc>
  <rcc rId="1348" sId="12">
    <nc r="G14">
      <v>112</v>
    </nc>
  </rcc>
  <rcc rId="1349" sId="12">
    <oc r="G7">
      <f>300+300+300</f>
    </oc>
    <nc r="G7">
      <f>300+300+300+300</f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51">
    <dxf>
      <fill>
        <patternFill>
          <bgColor rgb="FFFFFF00"/>
        </patternFill>
      </fill>
    </dxf>
  </rfmt>
  <rfmt sheetId="11" sqref="K56">
    <dxf>
      <fill>
        <patternFill>
          <bgColor rgb="FFFFFF00"/>
        </patternFill>
      </fill>
    </dxf>
  </rfmt>
  <rfmt sheetId="11" sqref="K55">
    <dxf>
      <fill>
        <patternFill>
          <bgColor rgb="FFFFFF00"/>
        </patternFill>
      </fill>
    </dxf>
  </rfmt>
  <rfmt sheetId="11" sqref="K54">
    <dxf>
      <fill>
        <patternFill>
          <bgColor rgb="FFFFFF00"/>
        </patternFill>
      </fill>
    </dxf>
  </rfmt>
  <rfmt sheetId="11" sqref="K57">
    <dxf>
      <fill>
        <patternFill>
          <bgColor rgb="FFFFFF00"/>
        </patternFill>
      </fill>
    </dxf>
  </rfmt>
  <rfmt sheetId="11" sqref="K53">
    <dxf>
      <fill>
        <patternFill>
          <bgColor rgb="FFFFFF00"/>
        </patternFill>
      </fill>
    </dxf>
  </rfmt>
  <rfmt sheetId="11" sqref="K52">
    <dxf>
      <fill>
        <patternFill>
          <bgColor rgb="FFFFFF00"/>
        </patternFill>
      </fill>
    </dxf>
  </rfmt>
  <rcv guid="{8C638750-2D78-446E-B8DA-A6202AF1ED31}" action="delete"/>
  <rdn rId="0" localSheetId="3" customView="1" name="Z_8C638750_2D78_446E_B8DA_A6202AF1ED31_.wvu.PrintTitles" hidden="1" oldHidden="1">
    <formula>'январь 2019'!$4:$7</formula>
    <oldFormula>'январь 2019'!$4:$7</oldFormula>
  </rdn>
  <rdn rId="0" localSheetId="5" customView="1" name="Z_8C638750_2D78_446E_B8DA_A6202AF1ED31_.wvu.PrintTitles" hidden="1" oldHidden="1">
    <formula>'февраль 2019'!$4:$7</formula>
    <oldFormula>'февраль 2019'!$4:$7</oldFormula>
  </rdn>
  <rdn rId="0" localSheetId="6" customView="1" name="Z_8C638750_2D78_446E_B8DA_A6202AF1ED31_.wvu.PrintArea" hidden="1" oldHidden="1">
    <formula>'март 2019 Эпотос-К'!$B$7:$G$93</formula>
    <oldFormula>'март 2019 Эпотос-К'!$B$7:$G$93</oldFormula>
  </rdn>
  <rdn rId="0" localSheetId="7" customView="1" name="Z_8C638750_2D78_446E_B8DA_A6202AF1ED31_.wvu.PrintArea" hidden="1" oldHidden="1">
    <formula>'март 2019'!$B$8:$H$246</formula>
    <oldFormula>'март 2019'!$B$8:$H$246</oldFormula>
  </rdn>
  <rdn rId="0" localSheetId="7" customView="1" name="Z_8C638750_2D78_446E_B8DA_A6202AF1ED31_.wvu.PrintTitles" hidden="1" oldHidden="1">
    <formula>'март 2019'!$4:$7</formula>
    <oldFormula>'март 2019'!$4:$7</oldFormula>
  </rdn>
  <rdn rId="0" localSheetId="8" customView="1" name="Z_8C638750_2D78_446E_B8DA_A6202AF1ED31_.wvu.PrintArea" hidden="1" oldHidden="1">
    <formula>'апрель 2019 Эпотос-К'!$B$7:$G$93</formula>
    <oldFormula>'апрель 2019 Эпотос-К'!$B$7:$G$93</oldFormula>
  </rdn>
  <rdn rId="0" localSheetId="9" customView="1" name="Z_8C638750_2D78_446E_B8DA_A6202AF1ED31_.wvu.PrintArea" hidden="1" oldHidden="1">
    <formula>'апрель 2019'!$B$8:$H$227</formula>
    <oldFormula>'апрель 2019'!$B$8:$H$227</oldFormula>
  </rdn>
  <rdn rId="0" localSheetId="9" customView="1" name="Z_8C638750_2D78_446E_B8DA_A6202AF1ED31_.wvu.PrintTitles" hidden="1" oldHidden="1">
    <formula>'апрель 2019'!$4:$7</formula>
    <oldFormula>'апрель 2019'!$4:$7</oldFormula>
  </rdn>
  <rdn rId="0" localSheetId="10" customView="1" name="Z_8C638750_2D78_446E_B8DA_A6202AF1ED31_.wvu.PrintArea" hidden="1" oldHidden="1">
    <formula>'май 2019 Эпотос-К'!$A$7:$B$82</formula>
    <oldFormula>'май 2019 Эпотос-К'!$A$7:$B$82</oldFormula>
  </rdn>
  <rdn rId="0" localSheetId="10" customView="1" name="Z_8C638750_2D78_446E_B8DA_A6202AF1ED31_.wvu.Cols" hidden="1" oldHidden="1">
    <formula>'май 2019 Эпотос-К'!$S:$V</formula>
    <oldFormula>'май 2019 Эпотос-К'!$S:$V</oldFormula>
  </rdn>
  <rdn rId="0" localSheetId="11" customView="1" name="Z_8C638750_2D78_446E_B8DA_A6202AF1ED31_.wvu.PrintArea" hidden="1" oldHidden="1">
    <formula>'май 2019'!$B$8:$H$226</formula>
    <oldFormula>'май 2019'!$B$8:$H$226</oldFormula>
  </rdn>
  <rdn rId="0" localSheetId="11" customView="1" name="Z_8C638750_2D78_446E_B8DA_A6202AF1ED31_.wvu.PrintTitles" hidden="1" oldHidden="1">
    <formula>'май 2019'!$4:$7</formula>
    <oldFormula>'май 2019'!$4:$7</oldFormula>
  </rdn>
  <rdn rId="0" localSheetId="11" customView="1" name="Z_8C638750_2D78_446E_B8DA_A6202AF1ED31_.wvu.Cols" hidden="1" oldHidden="1">
    <formula>'май 2019'!$S:$V</formula>
    <oldFormula>'май 2019'!$S:$V</oldFormula>
  </rdn>
  <rdn rId="0" localSheetId="12" customView="1" name="Z_8C638750_2D78_446E_B8DA_A6202AF1ED31_.wvu.PrintArea" hidden="1" oldHidden="1">
    <formula>'июнь 2019 Эпотос-К'!$B$47:$D$56</formula>
    <oldFormula>'июнь 2019 Эпотос-К'!$B$47:$D$56</oldFormula>
  </rdn>
  <rdn rId="0" localSheetId="12" customView="1" name="Z_8C638750_2D78_446E_B8DA_A6202AF1ED31_.wvu.Cols" hidden="1" oldHidden="1">
    <formula>'июнь 2019 Эпотос-К'!$S:$V</formula>
    <oldFormula>'июнь 2019 Эпотос-К'!$S:$V</oldFormula>
  </rdn>
  <rdn rId="0" localSheetId="13" customView="1" name="Z_8C638750_2D78_446E_B8DA_A6202AF1ED31_.wvu.PrintArea" hidden="1" oldHidden="1">
    <formula>'июнь 2019'!$B$8:$H$139</formula>
    <oldFormula>'июнь 2019'!$B$8:$H$139</oldFormula>
  </rdn>
  <rdn rId="0" localSheetId="13" customView="1" name="Z_8C638750_2D78_446E_B8DA_A6202AF1ED31_.wvu.PrintTitles" hidden="1" oldHidden="1">
    <formula>'июнь 2019'!$4:$7</formula>
    <oldFormula>'июнь 2019'!$4:$7</oldFormula>
  </rdn>
  <rdn rId="0" localSheetId="13" customView="1" name="Z_8C638750_2D78_446E_B8DA_A6202AF1ED31_.wvu.Cols" hidden="1" oldHidden="1">
    <formula>'июнь 2019'!$S:$V</formula>
    <oldFormula>'июнь 2019'!$S:$V</oldFormula>
  </rdn>
  <rdn rId="0" localSheetId="14" customView="1" name="Z_8C638750_2D78_446E_B8DA_A6202AF1ED31_.wvu.PrintArea" hidden="1" oldHidden="1">
    <formula>'обзор 2019'!$B$3:$M$18</formula>
    <oldFormula>'обзор 2019'!$B$3:$M$18</oldFormula>
  </rdn>
  <rdn rId="0" localSheetId="15" customView="1" name="Z_8C638750_2D78_446E_B8DA_A6202AF1ED31_.wvu.PrintArea" hidden="1" oldHidden="1">
    <formula>'обзор 2018'!$B$3:$M$18</formula>
    <oldFormula>'обзор 2018'!$B$3:$M$18</oldFormula>
  </rdn>
  <rdn rId="0" localSheetId="16" customView="1" name="Z_8C638750_2D78_446E_B8DA_A6202AF1ED31_.wvu.PrintArea" hidden="1" oldHidden="1">
    <formula>'обзор 2017'!$B$3:$M$18</formula>
    <oldFormula>'обзор 2017'!$B$3:$M$18</oldFormula>
  </rdn>
  <rdn rId="0" localSheetId="17" customView="1" name="Z_8C638750_2D78_446E_B8DA_A6202AF1ED31_.wvu.PrintArea" hidden="1" oldHidden="1">
    <formula>'обзор 2016'!$B$3:$Q$19</formula>
    <oldFormula>'обзор 2016'!$B$3:$Q$19</oldFormula>
  </rdn>
  <rdn rId="0" localSheetId="17" customView="1" name="Z_8C638750_2D78_446E_B8DA_A6202AF1ED31_.wvu.Cols" hidden="1" oldHidden="1">
    <formula>'обзор 2016'!$A:$A</formula>
    <oldFormula>'обзор 2016'!$A:$A</oldFormula>
  </rdn>
  <rdn rId="0" localSheetId="18" customView="1" name="Z_8C638750_2D78_446E_B8DA_A6202AF1ED31_.wvu.PrintArea" hidden="1" oldHidden="1">
    <formula>'объёмы 2019'!$A$3:$T$98</formula>
    <oldFormula>'объёмы 2019'!$A$3:$T$98</oldFormula>
  </rdn>
  <rdn rId="0" localSheetId="18" customView="1" name="Z_8C638750_2D78_446E_B8DA_A6202AF1ED31_.wvu.PrintTitles" hidden="1" oldHidden="1">
    <formula>'объёмы 2019'!$5:$6</formula>
    <oldFormula>'объёмы 2019'!$5:$6</oldFormula>
  </rdn>
  <rcv guid="{8C638750-2D78-446E-B8DA-A6202AF1ED31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" sId="10">
    <nc r="F80">
      <v>294</v>
    </nc>
  </rcc>
  <rcc rId="294" sId="10">
    <oc r="F22">
      <v>148</v>
    </oc>
    <nc r="F22">
      <v>254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" sId="13" odxf="1" dxf="1">
    <nc r="A125">
      <v>5504</v>
    </nc>
    <odxf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odxf>
    <ndxf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ndxf>
  </rcc>
  <rcc rId="1376" sId="13" odxf="1" dxf="1">
    <nc r="B125" t="inlineStr">
      <is>
        <t>ООО Домашний стандарт</t>
      </is>
    </nc>
    <odxf>
      <font>
        <sz val="10"/>
        <color indexed="8"/>
        <name val="Arial"/>
        <scheme val="none"/>
      </font>
      <alignment vertical="top" readingOrder="0"/>
    </odxf>
    <ndxf>
      <font>
        <sz val="10"/>
        <color indexed="8"/>
        <name val="Arial"/>
        <scheme val="none"/>
      </font>
      <alignment vertical="center" readingOrder="0"/>
    </ndxf>
  </rcc>
  <rcc rId="1377" sId="13" odxf="1" dxf="1">
    <nc r="C125" t="inlineStr">
      <is>
        <t>Вальцовка обечайки</t>
      </is>
    </nc>
    <odxf>
      <alignment horizontal="general" vertical="bottom" readingOrder="0"/>
      <protection locked="1"/>
    </odxf>
    <ndxf>
      <alignment horizontal="left" vertical="center" readingOrder="0"/>
      <protection locked="0"/>
    </ndxf>
  </rcc>
  <rfmt sheetId="13" sqref="D125" start="0" length="0">
    <dxf>
      <font>
        <sz val="10"/>
        <color indexed="8"/>
        <name val="Arial"/>
        <scheme val="none"/>
      </font>
    </dxf>
  </rfmt>
  <rcc rId="1378" sId="13" odxf="1" dxf="1" numFmtId="11">
    <nc r="E125">
      <v>40</v>
    </nc>
    <odxf>
      <font>
        <sz val="10"/>
        <color indexed="8"/>
        <name val="Arial"/>
        <scheme val="none"/>
      </font>
      <border outline="0">
        <left style="medium">
          <color indexed="64"/>
        </left>
      </border>
    </odxf>
    <ndxf>
      <font>
        <sz val="10"/>
        <color indexed="8"/>
        <name val="Arial"/>
        <scheme val="none"/>
      </font>
      <border outline="0">
        <left/>
      </border>
    </ndxf>
  </rcc>
  <rcc rId="1379" sId="13" odxf="1" dxf="1" numFmtId="30">
    <nc r="A126">
      <v>4915</v>
    </nc>
    <odxf>
      <font>
        <sz val="10"/>
        <color indexed="8"/>
        <name val="Arial"/>
        <scheme val="none"/>
      </font>
    </odxf>
    <ndxf>
      <font>
        <sz val="10"/>
        <color indexed="8"/>
        <name val="Arial"/>
        <scheme val="none"/>
      </font>
    </ndxf>
  </rcc>
  <rcc rId="1380" sId="13" odxf="1" dxf="1">
    <nc r="B126" t="inlineStr">
      <is>
        <t>ООО Домашний стандарт</t>
      </is>
    </nc>
    <odxf>
      <font>
        <sz val="10"/>
        <color indexed="8"/>
        <name val="Arial"/>
        <scheme val="none"/>
      </font>
      <alignment vertical="top" readingOrder="0"/>
    </odxf>
    <ndxf>
      <font>
        <sz val="10"/>
        <color indexed="8"/>
        <name val="Arial"/>
        <scheme val="none"/>
      </font>
      <alignment vertical="center" readingOrder="0"/>
    </ndxf>
  </rcc>
  <rcc rId="1381" sId="13" odxf="1" dxf="1">
    <nc r="C126" t="inlineStr">
      <is>
        <t>Штамповка дет.  Соединительное кольцо</t>
      </is>
    </nc>
    <odxf>
      <font>
        <sz val="10"/>
        <color indexed="8"/>
        <name val="Arial"/>
        <scheme val="none"/>
      </font>
      <alignment horizontal="general" vertical="bottom" readingOrder="0"/>
      <border outline="0">
        <left/>
      </border>
      <protection locked="1"/>
    </odxf>
    <ndxf>
      <font>
        <sz val="10"/>
        <color indexed="8"/>
        <name val="Arial"/>
        <scheme val="none"/>
      </font>
      <alignment horizontal="left" vertical="center" readingOrder="0"/>
      <border outline="0">
        <left style="medium">
          <color indexed="64"/>
        </left>
      </border>
      <protection locked="0"/>
    </ndxf>
  </rcc>
  <rfmt sheetId="13" sqref="D126" start="0" length="0">
    <dxf>
      <font>
        <sz val="10"/>
        <color indexed="8"/>
        <name val="Arial"/>
        <scheme val="none"/>
      </font>
    </dxf>
  </rfmt>
  <rcc rId="1382" sId="13" odxf="1" dxf="1" numFmtId="11">
    <nc r="E126">
      <v>39.17</v>
    </nc>
    <odxf>
      <font>
        <sz val="10"/>
        <color indexed="8"/>
        <name val="Arial"/>
        <scheme val="none"/>
      </font>
      <border outline="0">
        <left style="medium">
          <color indexed="64"/>
        </left>
      </border>
    </odxf>
    <ndxf>
      <font>
        <sz val="10"/>
        <color indexed="8"/>
        <name val="Arial"/>
        <scheme val="none"/>
      </font>
      <border outline="0">
        <left/>
      </border>
    </ndxf>
  </rcc>
  <rcc rId="1383" sId="13" odxf="1" dxf="1" numFmtId="30">
    <nc r="A127">
      <v>4914</v>
    </nc>
    <odxf>
      <font>
        <sz val="10"/>
        <color indexed="8"/>
        <name val="Arial"/>
        <scheme val="none"/>
      </font>
    </odxf>
    <ndxf>
      <font>
        <sz val="10"/>
        <color indexed="8"/>
        <name val="Arial"/>
        <scheme val="none"/>
      </font>
    </ndxf>
  </rcc>
  <rcc rId="1384" sId="13" odxf="1" dxf="1">
    <nc r="B127" t="inlineStr">
      <is>
        <t>ООО Домашний стандарт</t>
      </is>
    </nc>
    <odxf>
      <font>
        <sz val="10"/>
        <color indexed="8"/>
        <name val="Arial"/>
        <scheme val="none"/>
      </font>
      <alignment vertical="top" readingOrder="0"/>
    </odxf>
    <ndxf>
      <font>
        <sz val="10"/>
        <color indexed="8"/>
        <name val="Arial"/>
        <scheme val="none"/>
      </font>
      <alignment vertical="center" readingOrder="0"/>
    </ndxf>
  </rcc>
  <rcc rId="1385" sId="13" odxf="1" dxf="1">
    <nc r="C127" t="inlineStr">
      <is>
        <t>Штамповка дет.  Дно</t>
      </is>
    </nc>
    <odxf>
      <font>
        <sz val="10"/>
        <color indexed="8"/>
        <name val="Arial"/>
        <scheme val="none"/>
      </font>
      <alignment horizontal="general" vertical="bottom" readingOrder="0"/>
      <border outline="0">
        <left/>
      </border>
      <protection locked="1"/>
    </odxf>
    <ndxf>
      <font>
        <sz val="10"/>
        <color indexed="8"/>
        <name val="Arial"/>
        <scheme val="none"/>
      </font>
      <alignment horizontal="left" vertical="center" readingOrder="0"/>
      <border outline="0">
        <left style="medium">
          <color indexed="64"/>
        </left>
      </border>
      <protection locked="0"/>
    </ndxf>
  </rcc>
  <rfmt sheetId="13" sqref="D127" start="0" length="0">
    <dxf>
      <font>
        <sz val="10"/>
        <color indexed="8"/>
        <name val="Arial"/>
        <scheme val="none"/>
      </font>
    </dxf>
  </rfmt>
  <rcc rId="1386" sId="13" odxf="1" dxf="1" numFmtId="11">
    <nc r="E127">
      <v>62.28</v>
    </nc>
    <odxf>
      <font>
        <sz val="10"/>
        <color indexed="8"/>
        <name val="Arial"/>
        <scheme val="none"/>
      </font>
      <border outline="0">
        <left style="medium">
          <color indexed="64"/>
        </left>
      </border>
    </odxf>
    <ndxf>
      <font>
        <sz val="10"/>
        <color indexed="8"/>
        <name val="Arial"/>
        <scheme val="none"/>
      </font>
      <border outline="0">
        <left/>
      </border>
    </ndxf>
  </rcc>
  <rcc rId="1387" sId="13">
    <nc r="G125">
      <v>150</v>
    </nc>
  </rcc>
  <rcc rId="1388" sId="13">
    <nc r="G126">
      <v>150</v>
    </nc>
  </rcc>
  <rcc rId="1389" sId="13">
    <nc r="G127">
      <v>150</v>
    </nc>
  </rcc>
  <rcc rId="1390" sId="13">
    <nc r="D125">
      <v>150</v>
    </nc>
  </rcc>
  <rcc rId="1391" sId="13">
    <nc r="D126">
      <v>150</v>
    </nc>
  </rcc>
  <rcc rId="1392" sId="13">
    <nc r="D127">
      <v>150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134">
    <dxf>
      <fill>
        <patternFill>
          <bgColor rgb="FFFFFF00"/>
        </patternFill>
      </fill>
    </dxf>
  </rfmt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3" sId="13">
    <nc r="H125">
      <v>150</v>
    </nc>
  </rcc>
  <rcc rId="1394" sId="13">
    <nc r="H126">
      <v>150</v>
    </nc>
  </rcc>
  <rcc rId="1395" sId="13">
    <nc r="H127">
      <v>150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133">
    <dxf>
      <fill>
        <patternFill>
          <bgColor rgb="FFFFFF00"/>
        </patternFill>
      </fill>
    </dxf>
  </rfmt>
  <rfmt sheetId="11" sqref="K132">
    <dxf>
      <fill>
        <patternFill>
          <bgColor rgb="FFFFFF00"/>
        </patternFill>
      </fill>
    </dxf>
  </rfmt>
  <rfmt sheetId="11" sqref="K129">
    <dxf>
      <fill>
        <patternFill>
          <bgColor rgb="FFFFFF00"/>
        </patternFill>
      </fill>
    </dxf>
  </rfmt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131">
    <dxf>
      <fill>
        <patternFill>
          <bgColor rgb="FFFFFF00"/>
        </patternFill>
      </fill>
    </dxf>
  </rfmt>
  <rfmt sheetId="10" sqref="K15">
    <dxf>
      <fill>
        <patternFill patternType="solid">
          <bgColor rgb="FFFFFF00"/>
        </patternFill>
      </fill>
    </dxf>
  </rfmt>
  <rfmt sheetId="10" sqref="K48">
    <dxf>
      <fill>
        <patternFill patternType="solid">
          <bgColor rgb="FFFFFF00"/>
        </patternFill>
      </fill>
    </dxf>
  </rfmt>
  <rfmt sheetId="10" sqref="K49">
    <dxf>
      <fill>
        <patternFill patternType="solid">
          <bgColor rgb="FFFFFF00"/>
        </patternFill>
      </fill>
    </dxf>
  </rfmt>
  <rfmt sheetId="10" sqref="K50">
    <dxf>
      <fill>
        <patternFill patternType="solid">
          <bgColor rgb="FFFFFF00"/>
        </patternFill>
      </fill>
    </dxf>
  </rfmt>
  <rfmt sheetId="10" sqref="K59">
    <dxf>
      <fill>
        <patternFill patternType="solid">
          <bgColor rgb="FFFFFF00"/>
        </patternFill>
      </fill>
    </dxf>
  </rfmt>
  <rfmt sheetId="10" sqref="K58">
    <dxf>
      <fill>
        <patternFill patternType="solid">
          <bgColor rgb="FFFFC000"/>
        </patternFill>
      </fill>
    </dxf>
  </rfmt>
  <rfmt sheetId="10" sqref="K58">
    <dxf>
      <fill>
        <patternFill>
          <bgColor rgb="FFFFFF00"/>
        </patternFill>
      </fill>
    </dxf>
  </rfmt>
  <rfmt sheetId="10" sqref="K74">
    <dxf>
      <fill>
        <patternFill patternType="solid">
          <bgColor rgb="FFFFFF00"/>
        </patternFill>
      </fill>
    </dxf>
  </rfmt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K41">
    <dxf>
      <fill>
        <patternFill patternType="solid">
          <bgColor rgb="FFFFFF00"/>
        </patternFill>
      </fill>
    </dxf>
  </rfmt>
  <rfmt sheetId="10" sqref="K73">
    <dxf>
      <fill>
        <patternFill patternType="solid">
          <bgColor rgb="FFFFFF00"/>
        </patternFill>
      </fill>
    </dxf>
  </rfmt>
  <rfmt sheetId="10" sqref="K20">
    <dxf>
      <fill>
        <patternFill patternType="solid">
          <bgColor rgb="FFFFFF00"/>
        </patternFill>
      </fill>
    </dxf>
  </rfmt>
  <rfmt sheetId="10" sqref="K19">
    <dxf>
      <fill>
        <patternFill patternType="solid">
          <bgColor rgb="FFFFFF00"/>
        </patternFill>
      </fill>
    </dxf>
  </rfmt>
  <rfmt sheetId="10" sqref="K18">
    <dxf>
      <fill>
        <patternFill patternType="solid">
          <bgColor rgb="FFFFFF00"/>
        </patternFill>
      </fill>
    </dxf>
  </rfmt>
  <rfmt sheetId="10" sqref="K17">
    <dxf>
      <fill>
        <patternFill patternType="solid">
          <bgColor rgb="FFFFFF00"/>
        </patternFill>
      </fill>
    </dxf>
  </rfmt>
  <rfmt sheetId="10" sqref="K16">
    <dxf>
      <fill>
        <patternFill patternType="solid">
          <bgColor rgb="FFFFFF00"/>
        </patternFill>
      </fill>
    </dxf>
  </rfmt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K7">
    <dxf>
      <fill>
        <patternFill patternType="solid">
          <bgColor rgb="FFFFFF00"/>
        </patternFill>
      </fill>
    </dxf>
  </rfmt>
  <rfmt sheetId="10" sqref="K29">
    <dxf>
      <fill>
        <patternFill patternType="solid">
          <bgColor rgb="FF00B0F0"/>
        </patternFill>
      </fill>
    </dxf>
  </rfmt>
  <rfmt sheetId="10" sqref="K42:K44">
    <dxf>
      <fill>
        <patternFill patternType="solid">
          <bgColor rgb="FF00B0F0"/>
        </patternFill>
      </fill>
    </dxf>
  </rfmt>
  <rfmt sheetId="10" sqref="K79:K80">
    <dxf>
      <fill>
        <patternFill patternType="solid">
          <bgColor rgb="FF00B0F0"/>
        </patternFill>
      </fill>
    </dxf>
  </rfmt>
  <rfmt sheetId="10" sqref="K69">
    <dxf>
      <fill>
        <patternFill patternType="solid">
          <bgColor rgb="FF00B0F0"/>
        </patternFill>
      </fill>
    </dxf>
  </rfmt>
  <rfmt sheetId="10" sqref="K71">
    <dxf>
      <fill>
        <patternFill patternType="solid">
          <bgColor rgb="FF00B0F0"/>
        </patternFill>
      </fill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6" sId="12">
    <oc r="F7">
      <v>1200</v>
    </oc>
    <nc r="F7">
      <v>1420</v>
    </nc>
  </rcc>
  <rcc rId="1397" sId="13">
    <nc r="G120">
      <v>2</v>
    </nc>
  </rcc>
  <rcc rId="1398" sId="13">
    <nc r="G121">
      <v>1</v>
    </nc>
  </rcc>
  <rcc rId="1399" sId="13">
    <nc r="G122">
      <v>1</v>
    </nc>
  </rcc>
  <rcc rId="1400" sId="13">
    <nc r="G123">
      <v>1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1" sId="13">
    <oc r="G127">
      <v>150</v>
    </oc>
    <nc r="G127">
      <v>200</v>
    </nc>
  </rcc>
  <rcc rId="1402" sId="13">
    <oc r="D127">
      <v>150</v>
    </oc>
    <nc r="D127">
      <v>200</v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" sId="13">
    <oc r="H127">
      <v>150</v>
    </oc>
    <nc r="H127">
      <f>150+50</f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" sId="10">
    <oc r="F23">
      <v>232</v>
    </oc>
    <nc r="F23">
      <v>369</v>
    </nc>
  </rcc>
  <rcc rId="296" sId="10">
    <oc r="F25">
      <v>154</v>
    </oc>
    <nc r="F25">
      <v>291</v>
    </nc>
  </rcc>
  <rcc rId="297" sId="10">
    <oc r="F26">
      <v>380</v>
    </oc>
    <nc r="F26">
      <v>623</v>
    </nc>
  </rcc>
  <rcc rId="298" sId="10">
    <oc r="F29">
      <v>464</v>
    </oc>
    <nc r="F29">
      <v>738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4" sId="13">
    <nc r="H120">
      <v>2</v>
    </nc>
  </rcc>
  <rcc rId="1405" sId="13">
    <nc r="H121">
      <v>1</v>
    </nc>
  </rcc>
  <rcc rId="1406" sId="13">
    <nc r="H122">
      <v>1</v>
    </nc>
  </rcc>
  <rcc rId="1407" sId="13">
    <nc r="H123">
      <v>1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" sId="13">
    <nc r="G67">
      <v>8</v>
    </nc>
  </rcc>
  <rcc rId="1409" sId="13">
    <nc r="G51">
      <v>2</v>
    </nc>
  </rcc>
  <rrc rId="1410" sId="13" ref="A52:XFD52" action="insert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undo index="0" exp="area" ref3D="1" dr="$S$1:$V$1048576" dn="Z_06317133_151B_4DBC_8EB3_9345BA061F91_.wvu.Cols" sId="13"/>
  </rrc>
  <rfmt sheetId="13" s="1" sqref="A52" start="0" length="0">
    <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52" start="0" length="0">
    <dxf>
      <font>
        <sz val="10"/>
        <color indexed="8"/>
        <name val="Arial"/>
        <scheme val="none"/>
      </font>
      <alignment horizontal="left" readingOrder="0"/>
      <border outline="0">
        <left style="thin">
          <color indexed="64"/>
        </left>
        <right style="thin">
          <color indexed="64"/>
        </right>
      </border>
    </dxf>
  </rfmt>
  <rfmt sheetId="13" s="1" sqref="C52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D52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E52" start="0" length="0">
    <dxf>
      <font>
        <sz val="10"/>
        <color indexed="8"/>
        <name val="Arial"/>
        <scheme val="none"/>
      </font>
      <alignment horizontal="right" vertical="center" readingOrder="0"/>
      <border outline="0">
        <left style="thin">
          <color indexed="64"/>
        </left>
        <right style="thin">
          <color indexed="64"/>
        </right>
      </border>
    </dxf>
  </rfmt>
  <rcc rId="1411" sId="13">
    <oc r="F50">
      <f>E50*D50</f>
    </oc>
    <nc r="F50">
      <f>E50*D50</f>
    </nc>
  </rcc>
  <rcc rId="1412" sId="13">
    <oc r="F51">
      <f>E51*D51</f>
    </oc>
    <nc r="F51">
      <f>E51*D51</f>
    </nc>
  </rcc>
  <rcc rId="1413" sId="13">
    <oc r="F53">
      <f>E53*D53</f>
    </oc>
    <nc r="F53">
      <f>E53*D53</f>
    </nc>
  </rcc>
  <rcc rId="1414" sId="13" odxf="1" s="1" dxf="1" numFmtId="30">
    <nc r="A52">
      <v>5544</v>
    </nc>
    <n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1415" sId="13" odxf="1" s="1" dxf="1">
    <nc r="B52" t="inlineStr">
      <is>
        <t>Орбита СП</t>
      </is>
    </nc>
    <ndxf>
      <font>
        <sz val="10"/>
        <color indexed="8"/>
        <name val="Arial"/>
        <scheme val="none"/>
      </font>
      <alignment horizontal="general" readingOrder="0"/>
      <border outline="0">
        <left style="medium">
          <color indexed="64"/>
        </left>
        <right style="medium">
          <color indexed="64"/>
        </right>
      </border>
    </ndxf>
  </rcc>
  <rcc rId="1416" sId="13" odxf="1" s="1" dxf="1">
    <nc r="C52" t="inlineStr">
      <is>
        <t>Пилер</t>
      </is>
    </nc>
    <ndxf>
      <font>
        <sz val="10"/>
        <color indexed="8"/>
        <name val="Arial"/>
        <scheme val="none"/>
      </font>
      <border outline="0">
        <left/>
        <right/>
        <top style="thin">
          <color indexed="64"/>
        </top>
        <bottom style="thin">
          <color indexed="64"/>
        </bottom>
      </border>
    </ndxf>
  </rcc>
  <rcc rId="1417" sId="13" odxf="1" s="1" dxf="1">
    <nc r="D52">
      <v>2</v>
    </nc>
    <n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1418" sId="13" odxf="1" s="1" dxf="1" numFmtId="11">
    <nc r="E52">
      <v>1500</v>
    </nc>
    <ndxf>
      <font>
        <sz val="10"/>
        <color indexed="8"/>
        <name val="Arial"/>
        <scheme val="none"/>
      </font>
      <alignment horizontal="general" vertical="bottom" readingOrder="0"/>
      <border outline="0">
        <left style="medium">
          <color indexed="64"/>
        </left>
        <right style="medium">
          <color indexed="64"/>
        </right>
      </border>
    </ndxf>
  </rcc>
  <rcc rId="1419" sId="13">
    <nc r="F52">
      <f>E52*D52</f>
    </nc>
  </rcc>
  <rfmt sheetId="13" sqref="A57" start="0" length="0">
    <dxf>
      <font>
        <sz val="10"/>
        <color indexed="8"/>
        <name val="Arial"/>
        <scheme val="none"/>
      </font>
      <alignment horizontal="right" vertical="center" readingOrder="0"/>
      <border outline="0">
        <bottom style="thin">
          <color indexed="64"/>
        </bottom>
      </border>
    </dxf>
  </rfmt>
  <rfmt sheetId="13" sqref="B57" start="0" length="0">
    <dxf>
      <font>
        <sz val="10"/>
        <color indexed="8"/>
        <name val="Arial"/>
        <scheme val="none"/>
      </font>
      <alignment vertical="center" readingOrder="0"/>
    </dxf>
  </rfmt>
  <rfmt sheetId="13" sqref="C57" start="0" length="0">
    <dxf>
      <font>
        <sz val="10"/>
        <color indexed="8"/>
        <name val="Arial"/>
        <scheme val="none"/>
      </font>
      <alignment horizontal="left" vertical="center" readingOrder="0"/>
      <protection locked="0"/>
    </dxf>
  </rfmt>
  <rfmt sheetId="13" sqref="D57" start="0" length="0">
    <dxf>
      <font>
        <sz val="10"/>
        <color indexed="8"/>
        <name val="Arial"/>
        <scheme val="none"/>
      </font>
      <alignment horizontal="center" vertical="center" readingOrder="0"/>
    </dxf>
  </rfmt>
  <rfmt sheetId="13" sqref="E57" start="0" length="0">
    <dxf>
      <font>
        <sz val="10"/>
        <color indexed="8"/>
        <name val="Arial"/>
        <scheme val="none"/>
      </font>
      <numFmt numFmtId="176" formatCode="#,##0.00[$р.-419];\-#,##0.00[$р.-419]"/>
      <border outline="0">
        <top style="thin">
          <color indexed="64"/>
        </top>
        <bottom style="thin">
          <color indexed="64"/>
        </bottom>
      </border>
    </dxf>
  </rfmt>
  <rcc rId="1420" sId="13">
    <oc r="F57">
      <f>E57*D57</f>
    </oc>
    <nc r="F57">
      <f>E57*D57</f>
    </nc>
  </rcc>
  <rcc rId="1421" sId="13">
    <oc r="L57">
      <f>E57*(H57+I57+J57+K57)</f>
    </oc>
    <nc r="L57">
      <f>E57*(H57+I57+J57+K57)</f>
    </nc>
  </rcc>
  <rcc rId="1422" sId="13">
    <oc r="S57">
      <f>H57*E57</f>
    </oc>
    <nc r="S57">
      <f>H57*E57</f>
    </nc>
  </rcc>
  <rcc rId="1423" sId="13">
    <oc r="T57">
      <f>I57*E57</f>
    </oc>
    <nc r="T57">
      <f>I57*E57</f>
    </nc>
  </rcc>
  <rcc rId="1424" sId="13">
    <oc r="U57">
      <f>J57*E57</f>
    </oc>
    <nc r="U57">
      <f>J57*E57</f>
    </nc>
  </rcc>
  <rcc rId="1425" sId="13">
    <oc r="V57">
      <f>K57*E57</f>
    </oc>
    <nc r="V57">
      <f>K57*E57</f>
    </nc>
  </rcc>
  <rfmt sheetId="13" sqref="A58" start="0" length="0">
    <dxf>
      <font>
        <sz val="10"/>
        <color indexed="8"/>
        <name val="Arial"/>
        <scheme val="none"/>
      </font>
      <alignment horizontal="right" vertical="center" readingOrder="0"/>
      <border outline="0">
        <bottom style="thin">
          <color indexed="64"/>
        </bottom>
      </border>
    </dxf>
  </rfmt>
  <rfmt sheetId="13" sqref="B58" start="0" length="0">
    <dxf>
      <font>
        <sz val="10"/>
        <color indexed="8"/>
        <name val="Arial"/>
        <scheme val="none"/>
      </font>
      <alignment vertical="center" readingOrder="0"/>
    </dxf>
  </rfmt>
  <rfmt sheetId="13" sqref="C58" start="0" length="0">
    <dxf>
      <font>
        <sz val="10"/>
        <color indexed="8"/>
        <name val="Arial"/>
        <scheme val="none"/>
      </font>
      <alignment horizontal="left" vertical="center" readingOrder="0"/>
      <protection locked="0"/>
    </dxf>
  </rfmt>
  <rfmt sheetId="13" sqref="D58" start="0" length="0">
    <dxf>
      <font>
        <sz val="10"/>
        <color indexed="8"/>
        <name val="Arial"/>
        <scheme val="none"/>
      </font>
      <alignment horizontal="center" vertical="center" readingOrder="0"/>
    </dxf>
  </rfmt>
  <rfmt sheetId="13" sqref="E58" start="0" length="0">
    <dxf>
      <font>
        <sz val="10"/>
        <color indexed="8"/>
        <name val="Arial"/>
        <scheme val="none"/>
      </font>
      <numFmt numFmtId="176" formatCode="#,##0.00[$р.-419];\-#,##0.00[$р.-419]"/>
      <border outline="0">
        <top style="thin">
          <color indexed="64"/>
        </top>
        <bottom style="thin">
          <color indexed="64"/>
        </bottom>
      </border>
    </dxf>
  </rfmt>
  <rcc rId="1426" sId="13">
    <oc r="F58">
      <f>E58*D58</f>
    </oc>
    <nc r="F58">
      <f>E58*D58</f>
    </nc>
  </rcc>
  <rcc rId="1427" sId="13">
    <oc r="L58">
      <f>E58*(H58+I58+J58+K58)</f>
    </oc>
    <nc r="L58">
      <f>E58*(H58+I58+J58+K58)</f>
    </nc>
  </rcc>
  <rcc rId="1428" sId="13">
    <oc r="S58">
      <f>H58*E58</f>
    </oc>
    <nc r="S58">
      <f>H58*E58</f>
    </nc>
  </rcc>
  <rcc rId="1429" sId="13">
    <oc r="T58">
      <f>I58*E58</f>
    </oc>
    <nc r="T58">
      <f>I58*E58</f>
    </nc>
  </rcc>
  <rcc rId="1430" sId="13">
    <oc r="U58">
      <f>J58*E58</f>
    </oc>
    <nc r="U58">
      <f>J58*E58</f>
    </nc>
  </rcc>
  <rcc rId="1431" sId="13">
    <oc r="V58">
      <f>K58*E58</f>
    </oc>
    <nc r="V58">
      <f>K58*E58</f>
    </nc>
  </rcc>
  <rfmt sheetId="13" sqref="B115" start="0" length="0">
    <dxf>
      <alignment vertical="center" readingOrder="0"/>
      <border outline="0">
        <top style="thin">
          <color indexed="64"/>
        </top>
        <bottom style="thin">
          <color indexed="64"/>
        </bottom>
      </border>
      <protection locked="0"/>
    </dxf>
  </rfmt>
  <rfmt sheetId="13" sqref="C115" start="0" length="0">
    <dxf>
      <alignment horizontal="left" vertical="center" readingOrder="0"/>
      <border outline="0">
        <top style="thin">
          <color indexed="64"/>
        </top>
        <bottom style="thin">
          <color indexed="64"/>
        </bottom>
      </border>
      <protection locked="0"/>
    </dxf>
  </rfmt>
  <rcc rId="1432" sId="13">
    <oc r="F115">
      <f>E115*D115</f>
    </oc>
    <nc r="F115">
      <f>E115*D115</f>
    </nc>
  </rcc>
  <rfmt sheetId="13" sqref="H115" start="0" length="0">
    <dxf>
      <fill>
        <patternFill patternType="none">
          <bgColor indexed="65"/>
        </patternFill>
      </fill>
    </dxf>
  </rfmt>
  <rcc rId="1433" sId="13">
    <oc r="L115">
      <f>E115*(H115+I115+J115+K115)</f>
    </oc>
    <nc r="L115">
      <f>E115*(H115+I115+J115+K115)</f>
    </nc>
  </rcc>
  <rcc rId="1434" sId="13">
    <oc r="S115">
      <f>H115*E115</f>
    </oc>
    <nc r="S115">
      <f>H115*E115</f>
    </nc>
  </rcc>
  <rcc rId="1435" sId="13">
    <oc r="T115">
      <f>I115*E115</f>
    </oc>
    <nc r="T115">
      <f>I115*E115</f>
    </nc>
  </rcc>
  <rcc rId="1436" sId="13">
    <oc r="U115">
      <f>J115*E115</f>
    </oc>
    <nc r="U115">
      <f>J115*E115</f>
    </nc>
  </rcc>
  <rcc rId="1437" sId="13">
    <oc r="V115">
      <f>K115*E115</f>
    </oc>
    <nc r="V115">
      <f>K115*E115</f>
    </nc>
  </rcc>
  <rfmt sheetId="13" sqref="B117" start="0" length="0">
    <dxf>
      <alignment vertical="center" readingOrder="0"/>
    </dxf>
  </rfmt>
  <rfmt sheetId="13" sqref="C117" start="0" length="0">
    <dxf>
      <alignment horizontal="left" vertical="center" readingOrder="0"/>
      <protection locked="0"/>
    </dxf>
  </rfmt>
  <rcc rId="1438" sId="13">
    <oc r="F117">
      <f>E117*D117</f>
    </oc>
    <nc r="F117">
      <f>E117*D117</f>
    </nc>
  </rcc>
  <rcc rId="1439" sId="13">
    <oc r="L117">
      <f>E117*(H117+I117+J117+K117)</f>
    </oc>
    <nc r="L117">
      <f>E117*(H117+I117+J117+K117)</f>
    </nc>
  </rcc>
  <rcc rId="1440" sId="13">
    <oc r="S117">
      <f>H117*E117</f>
    </oc>
    <nc r="S117">
      <f>H117*E117</f>
    </nc>
  </rcc>
  <rcc rId="1441" sId="13">
    <oc r="T117">
      <f>I117*E117</f>
    </oc>
    <nc r="T117">
      <f>I117*E117</f>
    </nc>
  </rcc>
  <rcc rId="1442" sId="13">
    <oc r="U117">
      <f>J117*E117</f>
    </oc>
    <nc r="U117">
      <f>J117*E117</f>
    </nc>
  </rcc>
  <rcc rId="1443" sId="13">
    <oc r="V117">
      <f>K117*E117</f>
    </oc>
    <nc r="V117">
      <f>K117*E117</f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A28" start="0" length="0">
    <dxf>
      <alignment horizontal="right" vertical="center" readingOrder="0"/>
      <border outline="0">
        <bottom style="thin">
          <color indexed="64"/>
        </bottom>
      </border>
    </dxf>
  </rfmt>
  <rfmt sheetId="13" sqref="A29" start="0" length="0">
    <dxf>
      <alignment horizontal="right" vertical="center" readingOrder="0"/>
      <border outline="0">
        <bottom style="thin">
          <color indexed="64"/>
        </bottom>
      </border>
    </dxf>
  </rfmt>
  <rfmt sheetId="13" sqref="A30" start="0" length="0">
    <dxf>
      <alignment horizontal="right" vertical="center" readingOrder="0"/>
      <border outline="0">
        <bottom style="thin">
          <color indexed="64"/>
        </bottom>
      </border>
    </dxf>
  </rfmt>
  <rfmt sheetId="13" sqref="B28" start="0" length="0">
    <dxf>
      <alignment vertical="center" readingOrder="0"/>
    </dxf>
  </rfmt>
  <rfmt sheetId="13" sqref="C28" start="0" length="0">
    <dxf>
      <alignment horizontal="left" vertical="center" readingOrder="0"/>
      <protection locked="0"/>
    </dxf>
  </rfmt>
  <rfmt sheetId="13" sqref="D28" start="0" length="0">
    <dxf>
      <alignment horizontal="center" vertical="center" readingOrder="0"/>
    </dxf>
  </rfmt>
  <rfmt sheetId="13" sqref="E28" start="0" length="0">
    <dxf>
      <numFmt numFmtId="176" formatCode="#,##0.00[$р.-419];\-#,##0.00[$р.-419]"/>
      <border outline="0">
        <top style="thin">
          <color indexed="64"/>
        </top>
        <bottom style="thin">
          <color indexed="64"/>
        </bottom>
      </border>
    </dxf>
  </rfmt>
  <rcc rId="1444" sId="13">
    <oc r="F28">
      <f>E28*D28</f>
    </oc>
    <nc r="F28">
      <f>E28*D28</f>
    </nc>
  </rcc>
  <rcc rId="1445" sId="13">
    <oc r="L28">
      <f>E28*(H28+I28+J28+K28)</f>
    </oc>
    <nc r="L28">
      <f>E28*(H28+I28+J28+K28)</f>
    </nc>
  </rcc>
  <rfmt sheetId="13" sqref="B29" start="0" length="0">
    <dxf>
      <alignment vertical="center" readingOrder="0"/>
    </dxf>
  </rfmt>
  <rfmt sheetId="13" sqref="C29" start="0" length="0">
    <dxf>
      <alignment horizontal="left" vertical="center" readingOrder="0"/>
      <protection locked="0"/>
    </dxf>
  </rfmt>
  <rfmt sheetId="13" sqref="D29" start="0" length="0">
    <dxf>
      <alignment horizontal="center" vertical="center" readingOrder="0"/>
    </dxf>
  </rfmt>
  <rfmt sheetId="13" sqref="E29" start="0" length="0">
    <dxf>
      <numFmt numFmtId="176" formatCode="#,##0.00[$р.-419];\-#,##0.00[$р.-419]"/>
      <border outline="0">
        <top style="thin">
          <color indexed="64"/>
        </top>
        <bottom style="thin">
          <color indexed="64"/>
        </bottom>
      </border>
    </dxf>
  </rfmt>
  <rcc rId="1446" sId="13">
    <oc r="F29">
      <f>E29*D29</f>
    </oc>
    <nc r="F29">
      <f>E29*D29</f>
    </nc>
  </rcc>
  <rcc rId="1447" sId="13">
    <oc r="L29">
      <f>E29*(H29+I29+J29+K29)</f>
    </oc>
    <nc r="L29">
      <f>E29*(H29+I29+J29+K29)</f>
    </nc>
  </rcc>
  <rfmt sheetId="13" sqref="B30" start="0" length="0">
    <dxf>
      <alignment vertical="center" readingOrder="0"/>
    </dxf>
  </rfmt>
  <rfmt sheetId="13" sqref="C30" start="0" length="0">
    <dxf>
      <alignment horizontal="left" vertical="center" readingOrder="0"/>
      <protection locked="0"/>
    </dxf>
  </rfmt>
  <rfmt sheetId="13" sqref="D30" start="0" length="0">
    <dxf>
      <alignment horizontal="center" vertical="center" readingOrder="0"/>
    </dxf>
  </rfmt>
  <rfmt sheetId="13" sqref="E30" start="0" length="0">
    <dxf>
      <numFmt numFmtId="176" formatCode="#,##0.00[$р.-419];\-#,##0.00[$р.-419]"/>
      <border outline="0">
        <bottom style="thin">
          <color indexed="64"/>
        </bottom>
      </border>
    </dxf>
  </rfmt>
  <rcc rId="1448" sId="13">
    <oc r="F30">
      <f>E30*D30</f>
    </oc>
    <nc r="F30">
      <f>E30*D30</f>
    </nc>
  </rcc>
  <rcc rId="1449" sId="13">
    <oc r="L30">
      <f>E30*(H30+I30+J30+K30)</f>
    </oc>
    <nc r="L30">
      <f>E30*(H30+I30+J30+K30)</f>
    </nc>
  </rcc>
  <rcc rId="1450" sId="13">
    <oc r="S9">
      <f>H9*E9</f>
    </oc>
    <nc r="S9">
      <f>H9*E9</f>
    </nc>
  </rcc>
  <rcc rId="1451" sId="13">
    <oc r="T9">
      <f>I9*E9</f>
    </oc>
    <nc r="T9">
      <f>I9*E9</f>
    </nc>
  </rcc>
  <rcc rId="1452" sId="13">
    <oc r="U9">
      <f>J9*E9</f>
    </oc>
    <nc r="U9">
      <f>J9*E9</f>
    </nc>
  </rcc>
  <rcc rId="1453" sId="13">
    <oc r="V9">
      <f>K9*E9</f>
    </oc>
    <nc r="V9">
      <f>K9*E9</f>
    </nc>
  </rcc>
  <rcc rId="1454" sId="13">
    <oc r="S10">
      <f>H10*E10</f>
    </oc>
    <nc r="S10">
      <f>H10*E10</f>
    </nc>
  </rcc>
  <rcc rId="1455" sId="13">
    <oc r="T10">
      <f>I10*E10</f>
    </oc>
    <nc r="T10">
      <f>I10*E10</f>
    </nc>
  </rcc>
  <rcc rId="1456" sId="13">
    <oc r="U10">
      <f>J10*E10</f>
    </oc>
    <nc r="U10">
      <f>J10*E10</f>
    </nc>
  </rcc>
  <rcc rId="1457" sId="13">
    <oc r="V10">
      <f>K10*E10</f>
    </oc>
    <nc r="V10">
      <f>K10*E10</f>
    </nc>
  </rcc>
  <rcc rId="1458" sId="13">
    <oc r="S11">
      <f>H11*E11</f>
    </oc>
    <nc r="S11">
      <f>H11*E11</f>
    </nc>
  </rcc>
  <rcc rId="1459" sId="13">
    <oc r="T11">
      <f>I11*E11</f>
    </oc>
    <nc r="T11">
      <f>I11*E11</f>
    </nc>
  </rcc>
  <rcc rId="1460" sId="13">
    <oc r="U11">
      <f>J11*E11</f>
    </oc>
    <nc r="U11">
      <f>J11*E11</f>
    </nc>
  </rcc>
  <rcc rId="1461" sId="13">
    <oc r="V11">
      <f>K11*E11</f>
    </oc>
    <nc r="V11">
      <f>K11*E11</f>
    </nc>
  </rcc>
  <rcc rId="1462" sId="13">
    <oc r="S12">
      <f>H12*E12</f>
    </oc>
    <nc r="S12">
      <f>H12*E12</f>
    </nc>
  </rcc>
  <rcc rId="1463" sId="13">
    <oc r="T12">
      <f>I12*E12</f>
    </oc>
    <nc r="T12">
      <f>I12*E12</f>
    </nc>
  </rcc>
  <rcc rId="1464" sId="13">
    <oc r="U12">
      <f>J12*E12</f>
    </oc>
    <nc r="U12">
      <f>J12*E12</f>
    </nc>
  </rcc>
  <rcc rId="1465" sId="13">
    <oc r="V12">
      <f>K12*E12</f>
    </oc>
    <nc r="V12">
      <f>K12*E12</f>
    </nc>
  </rcc>
  <rcc rId="1466" sId="13">
    <oc r="S13">
      <f>H13*E13</f>
    </oc>
    <nc r="S13">
      <f>H13*E13</f>
    </nc>
  </rcc>
  <rcc rId="1467" sId="13">
    <oc r="T13">
      <f>I13*E13</f>
    </oc>
    <nc r="T13">
      <f>I13*E13</f>
    </nc>
  </rcc>
  <rcc rId="1468" sId="13">
    <oc r="U13">
      <f>J13*E13</f>
    </oc>
    <nc r="U13">
      <f>J13*E13</f>
    </nc>
  </rcc>
  <rcc rId="1469" sId="13">
    <oc r="V13">
      <f>K13*E13</f>
    </oc>
    <nc r="V13">
      <f>K13*E13</f>
    </nc>
  </rcc>
  <rcc rId="1470" sId="13">
    <oc r="S14">
      <f>H14*E14</f>
    </oc>
    <nc r="S14">
      <f>H14*E14</f>
    </nc>
  </rcc>
  <rcc rId="1471" sId="13">
    <oc r="T14">
      <f>I14*E14</f>
    </oc>
    <nc r="T14">
      <f>I14*E14</f>
    </nc>
  </rcc>
  <rcc rId="1472" sId="13">
    <oc r="U14">
      <f>J14*E14</f>
    </oc>
    <nc r="U14">
      <f>J14*E14</f>
    </nc>
  </rcc>
  <rcc rId="1473" sId="13">
    <oc r="V14">
      <f>K14*E14</f>
    </oc>
    <nc r="V14">
      <f>K14*E14</f>
    </nc>
  </rcc>
  <rcc rId="1474" sId="13">
    <oc r="S15">
      <f>H15*E15</f>
    </oc>
    <nc r="S15">
      <f>H15*E15</f>
    </nc>
  </rcc>
  <rcc rId="1475" sId="13">
    <oc r="T15">
      <f>I15*E15</f>
    </oc>
    <nc r="T15">
      <f>I15*E15</f>
    </nc>
  </rcc>
  <rcc rId="1476" sId="13">
    <oc r="U15">
      <f>J15*E15</f>
    </oc>
    <nc r="U15">
      <f>J15*E15</f>
    </nc>
  </rcc>
  <rcc rId="1477" sId="13">
    <oc r="V15">
      <f>K15*E15</f>
    </oc>
    <nc r="V15">
      <f>K15*E15</f>
    </nc>
  </rcc>
  <rcc rId="1478" sId="13">
    <oc r="S16">
      <f>H16*E16</f>
    </oc>
    <nc r="S16">
      <f>H16*E16</f>
    </nc>
  </rcc>
  <rcc rId="1479" sId="13">
    <oc r="T16">
      <f>I16*E16</f>
    </oc>
    <nc r="T16">
      <f>I16*E16</f>
    </nc>
  </rcc>
  <rcc rId="1480" sId="13">
    <oc r="U16">
      <f>J16*E16</f>
    </oc>
    <nc r="U16">
      <f>J16*E16</f>
    </nc>
  </rcc>
  <rcc rId="1481" sId="13">
    <oc r="V16">
      <f>K16*E16</f>
    </oc>
    <nc r="V16">
      <f>K16*E16</f>
    </nc>
  </rcc>
  <rcc rId="1482" sId="13">
    <oc r="S17">
      <f>H17*E17</f>
    </oc>
    <nc r="S17">
      <f>H17*E17</f>
    </nc>
  </rcc>
  <rcc rId="1483" sId="13">
    <oc r="T17">
      <f>I17*E17</f>
    </oc>
    <nc r="T17">
      <f>I17*E17</f>
    </nc>
  </rcc>
  <rcc rId="1484" sId="13">
    <oc r="U17">
      <f>J17*E17</f>
    </oc>
    <nc r="U17">
      <f>J17*E17</f>
    </nc>
  </rcc>
  <rcc rId="1485" sId="13">
    <oc r="V17">
      <f>K17*E17</f>
    </oc>
    <nc r="V17">
      <f>K17*E17</f>
    </nc>
  </rcc>
  <rcc rId="1486" sId="13">
    <oc r="S18">
      <f>H18*E18</f>
    </oc>
    <nc r="S18">
      <f>H18*E18</f>
    </nc>
  </rcc>
  <rcc rId="1487" sId="13">
    <oc r="T18">
      <f>I18*E18</f>
    </oc>
    <nc r="T18">
      <f>I18*E18</f>
    </nc>
  </rcc>
  <rcc rId="1488" sId="13">
    <oc r="U18">
      <f>J18*E18</f>
    </oc>
    <nc r="U18">
      <f>J18*E18</f>
    </nc>
  </rcc>
  <rcc rId="1489" sId="13">
    <oc r="V18">
      <f>K18*E18</f>
    </oc>
    <nc r="V18">
      <f>K18*E18</f>
    </nc>
  </rcc>
  <rcc rId="1490" sId="13">
    <oc r="S19">
      <f>H19*E19</f>
    </oc>
    <nc r="S19">
      <f>H19*E19</f>
    </nc>
  </rcc>
  <rcc rId="1491" sId="13">
    <oc r="T19">
      <f>I19*E19</f>
    </oc>
    <nc r="T19">
      <f>I19*E19</f>
    </nc>
  </rcc>
  <rcc rId="1492" sId="13">
    <oc r="U19">
      <f>J19*E19</f>
    </oc>
    <nc r="U19">
      <f>J19*E19</f>
    </nc>
  </rcc>
  <rcc rId="1493" sId="13">
    <oc r="V19">
      <f>K19*E19</f>
    </oc>
    <nc r="V19">
      <f>K19*E19</f>
    </nc>
  </rcc>
  <rcc rId="1494" sId="13">
    <oc r="S20">
      <f>H20*E20</f>
    </oc>
    <nc r="S20">
      <f>H20*E20</f>
    </nc>
  </rcc>
  <rcc rId="1495" sId="13">
    <oc r="T20">
      <f>I20*E20</f>
    </oc>
    <nc r="T20">
      <f>I20*E20</f>
    </nc>
  </rcc>
  <rcc rId="1496" sId="13">
    <oc r="U20">
      <f>J20*E20</f>
    </oc>
    <nc r="U20">
      <f>J20*E20</f>
    </nc>
  </rcc>
  <rcc rId="1497" sId="13">
    <oc r="V20">
      <f>K20*E20</f>
    </oc>
    <nc r="V20">
      <f>K20*E20</f>
    </nc>
  </rcc>
  <rcc rId="1498" sId="13">
    <oc r="S21">
      <f>H21*E21</f>
    </oc>
    <nc r="S21">
      <f>H21*E21</f>
    </nc>
  </rcc>
  <rcc rId="1499" sId="13">
    <oc r="T21">
      <f>I21*E21</f>
    </oc>
    <nc r="T21">
      <f>I21*E21</f>
    </nc>
  </rcc>
  <rcc rId="1500" sId="13">
    <oc r="U21">
      <f>J21*E21</f>
    </oc>
    <nc r="U21">
      <f>J21*E21</f>
    </nc>
  </rcc>
  <rcc rId="1501" sId="13">
    <oc r="V21">
      <f>K21*E21</f>
    </oc>
    <nc r="V21">
      <f>K21*E21</f>
    </nc>
  </rcc>
  <rcc rId="1502" sId="13">
    <oc r="S22">
      <f>H22*E22</f>
    </oc>
    <nc r="S22">
      <f>H22*E22</f>
    </nc>
  </rcc>
  <rcc rId="1503" sId="13">
    <oc r="T22">
      <f>I22*E22</f>
    </oc>
    <nc r="T22">
      <f>I22*E22</f>
    </nc>
  </rcc>
  <rcc rId="1504" sId="13">
    <oc r="U22">
      <f>J22*E22</f>
    </oc>
    <nc r="U22">
      <f>J22*E22</f>
    </nc>
  </rcc>
  <rcc rId="1505" sId="13">
    <oc r="V22">
      <f>K22*E22</f>
    </oc>
    <nc r="V22">
      <f>K22*E22</f>
    </nc>
  </rcc>
  <rcc rId="1506" sId="13">
    <oc r="S23">
      <f>H23*E23</f>
    </oc>
    <nc r="S23">
      <f>H23*E23</f>
    </nc>
  </rcc>
  <rcc rId="1507" sId="13">
    <oc r="T23">
      <f>I23*E23</f>
    </oc>
    <nc r="T23">
      <f>I23*E23</f>
    </nc>
  </rcc>
  <rcc rId="1508" sId="13">
    <oc r="U23">
      <f>J23*E23</f>
    </oc>
    <nc r="U23">
      <f>J23*E23</f>
    </nc>
  </rcc>
  <rcc rId="1509" sId="13">
    <oc r="V23">
      <f>K23*E23</f>
    </oc>
    <nc r="V23">
      <f>K23*E23</f>
    </nc>
  </rcc>
  <rcc rId="1510" sId="13">
    <oc r="S24">
      <f>H24*E24</f>
    </oc>
    <nc r="S24">
      <f>H24*E24</f>
    </nc>
  </rcc>
  <rcc rId="1511" sId="13">
    <oc r="T24">
      <f>I24*E24</f>
    </oc>
    <nc r="T24">
      <f>I24*E24</f>
    </nc>
  </rcc>
  <rcc rId="1512" sId="13">
    <oc r="U24">
      <f>J24*E24</f>
    </oc>
    <nc r="U24">
      <f>J24*E24</f>
    </nc>
  </rcc>
  <rcc rId="1513" sId="13">
    <oc r="V24">
      <f>K24*E24</f>
    </oc>
    <nc r="V24">
      <f>K24*E24</f>
    </nc>
  </rcc>
  <rcc rId="1514" sId="13">
    <oc r="S25">
      <f>H25*E25</f>
    </oc>
    <nc r="S25">
      <f>H25*E25</f>
    </nc>
  </rcc>
  <rcc rId="1515" sId="13">
    <oc r="T25">
      <f>I25*E25</f>
    </oc>
    <nc r="T25">
      <f>I25*E25</f>
    </nc>
  </rcc>
  <rcc rId="1516" sId="13">
    <oc r="U25">
      <f>J25*E25</f>
    </oc>
    <nc r="U25">
      <f>J25*E25</f>
    </nc>
  </rcc>
  <rcc rId="1517" sId="13">
    <oc r="V25">
      <f>K25*E25</f>
    </oc>
    <nc r="V25">
      <f>K25*E25</f>
    </nc>
  </rcc>
  <rcc rId="1518" sId="13">
    <oc r="S26">
      <f>H26*E26</f>
    </oc>
    <nc r="S26">
      <f>H26*E26</f>
    </nc>
  </rcc>
  <rcc rId="1519" sId="13">
    <oc r="T26">
      <f>I26*E26</f>
    </oc>
    <nc r="T26">
      <f>I26*E26</f>
    </nc>
  </rcc>
  <rcc rId="1520" sId="13">
    <oc r="U26">
      <f>J26*E26</f>
    </oc>
    <nc r="U26">
      <f>J26*E26</f>
    </nc>
  </rcc>
  <rcc rId="1521" sId="13">
    <oc r="V26">
      <f>K26*E26</f>
    </oc>
    <nc r="V26">
      <f>K26*E26</f>
    </nc>
  </rcc>
  <rcc rId="1522" sId="13">
    <oc r="S27">
      <f>H27*E27</f>
    </oc>
    <nc r="S27">
      <f>H27*E27</f>
    </nc>
  </rcc>
  <rcc rId="1523" sId="13">
    <oc r="T27">
      <f>I27*E27</f>
    </oc>
    <nc r="T27">
      <f>I27*E27</f>
    </nc>
  </rcc>
  <rcc rId="1524" sId="13">
    <oc r="U27">
      <f>J27*E27</f>
    </oc>
    <nc r="U27">
      <f>J27*E27</f>
    </nc>
  </rcc>
  <rcc rId="1525" sId="13">
    <oc r="V27">
      <f>K27*E27</f>
    </oc>
    <nc r="V27">
      <f>K27*E27</f>
    </nc>
  </rcc>
  <rcc rId="1526" sId="13">
    <oc r="S28">
      <f>H28*E28</f>
    </oc>
    <nc r="S28">
      <f>H28*E28</f>
    </nc>
  </rcc>
  <rcc rId="1527" sId="13">
    <oc r="T28">
      <f>I28*E28</f>
    </oc>
    <nc r="T28">
      <f>I28*E28</f>
    </nc>
  </rcc>
  <rcc rId="1528" sId="13">
    <oc r="U28">
      <f>J28*E28</f>
    </oc>
    <nc r="U28">
      <f>J28*E28</f>
    </nc>
  </rcc>
  <rcc rId="1529" sId="13">
    <oc r="V28">
      <f>K28*E28</f>
    </oc>
    <nc r="V28">
      <f>K28*E28</f>
    </nc>
  </rcc>
  <rcc rId="1530" sId="13">
    <oc r="S29">
      <f>H29*E29</f>
    </oc>
    <nc r="S29">
      <f>H29*E29</f>
    </nc>
  </rcc>
  <rcc rId="1531" sId="13">
    <oc r="T29">
      <f>I29*E29</f>
    </oc>
    <nc r="T29">
      <f>I29*E29</f>
    </nc>
  </rcc>
  <rcc rId="1532" sId="13">
    <oc r="U29">
      <f>J29*E29</f>
    </oc>
    <nc r="U29">
      <f>J29*E29</f>
    </nc>
  </rcc>
  <rcc rId="1533" sId="13">
    <oc r="V29">
      <f>K29*E29</f>
    </oc>
    <nc r="V29">
      <f>K29*E29</f>
    </nc>
  </rcc>
  <rcc rId="1534" sId="13">
    <oc r="S30">
      <f>H30*E30</f>
    </oc>
    <nc r="S30">
      <f>H30*E30</f>
    </nc>
  </rcc>
  <rcc rId="1535" sId="13">
    <oc r="T30">
      <f>I30*E30</f>
    </oc>
    <nc r="T30">
      <f>I30*E30</f>
    </nc>
  </rcc>
  <rcc rId="1536" sId="13">
    <oc r="U30">
      <f>J30*E30</f>
    </oc>
    <nc r="U30">
      <f>J30*E30</f>
    </nc>
  </rcc>
  <rcc rId="1537" sId="13">
    <oc r="V30">
      <f>K30*E30</f>
    </oc>
    <nc r="V30">
      <f>K30*E30</f>
    </nc>
  </rcc>
  <rcc rId="1538" sId="13">
    <oc r="S31">
      <f>H31*E31</f>
    </oc>
    <nc r="S31">
      <f>H31*E31</f>
    </nc>
  </rcc>
  <rcc rId="1539" sId="13">
    <oc r="T31">
      <f>I31*E31</f>
    </oc>
    <nc r="T31">
      <f>I31*E31</f>
    </nc>
  </rcc>
  <rcc rId="1540" sId="13">
    <oc r="U31">
      <f>J31*E31</f>
    </oc>
    <nc r="U31">
      <f>J31*E31</f>
    </nc>
  </rcc>
  <rcc rId="1541" sId="13">
    <oc r="V31">
      <f>K31*E31</f>
    </oc>
    <nc r="V31">
      <f>K31*E31</f>
    </nc>
  </rcc>
  <rcc rId="1542" sId="13">
    <oc r="S32">
      <f>H32*E32</f>
    </oc>
    <nc r="S32">
      <f>H32*E32</f>
    </nc>
  </rcc>
  <rcc rId="1543" sId="13">
    <oc r="T32">
      <f>I32*E32</f>
    </oc>
    <nc r="T32">
      <f>I32*E32</f>
    </nc>
  </rcc>
  <rcc rId="1544" sId="13">
    <oc r="U32">
      <f>J32*E32</f>
    </oc>
    <nc r="U32">
      <f>J32*E32</f>
    </nc>
  </rcc>
  <rcc rId="1545" sId="13">
    <oc r="V32">
      <f>K32*E32</f>
    </oc>
    <nc r="V32">
      <f>K32*E32</f>
    </nc>
  </rcc>
  <rcc rId="1546" sId="13">
    <oc r="S33">
      <f>H33*E33</f>
    </oc>
    <nc r="S33">
      <f>H33*E33</f>
    </nc>
  </rcc>
  <rcc rId="1547" sId="13">
    <oc r="T33">
      <f>I33*E33</f>
    </oc>
    <nc r="T33">
      <f>I33*E33</f>
    </nc>
  </rcc>
  <rcc rId="1548" sId="13">
    <oc r="U33">
      <f>J33*E33</f>
    </oc>
    <nc r="U33">
      <f>J33*E33</f>
    </nc>
  </rcc>
  <rcc rId="1549" sId="13">
    <oc r="V33">
      <f>K33*E33</f>
    </oc>
    <nc r="V33">
      <f>K33*E33</f>
    </nc>
  </rcc>
  <rcc rId="1550" sId="13">
    <oc r="S34">
      <f>H34*E34</f>
    </oc>
    <nc r="S34">
      <f>H34*E34</f>
    </nc>
  </rcc>
  <rcc rId="1551" sId="13">
    <oc r="T34">
      <f>I34*E34</f>
    </oc>
    <nc r="T34">
      <f>I34*E34</f>
    </nc>
  </rcc>
  <rcc rId="1552" sId="13">
    <oc r="U34">
      <f>J34*E34</f>
    </oc>
    <nc r="U34">
      <f>J34*E34</f>
    </nc>
  </rcc>
  <rcc rId="1553" sId="13">
    <oc r="V34">
      <f>K34*E34</f>
    </oc>
    <nc r="V34">
      <f>K34*E34</f>
    </nc>
  </rcc>
  <rcc rId="1554" sId="13">
    <oc r="S35">
      <f>H35*E35</f>
    </oc>
    <nc r="S35">
      <f>H35*E35</f>
    </nc>
  </rcc>
  <rcc rId="1555" sId="13">
    <oc r="T35">
      <f>I35*E35</f>
    </oc>
    <nc r="T35">
      <f>I35*E35</f>
    </nc>
  </rcc>
  <rcc rId="1556" sId="13">
    <oc r="U35">
      <f>J35*E35</f>
    </oc>
    <nc r="U35">
      <f>J35*E35</f>
    </nc>
  </rcc>
  <rcc rId="1557" sId="13">
    <oc r="V35">
      <f>K35*E35</f>
    </oc>
    <nc r="V35">
      <f>K35*E35</f>
    </nc>
  </rcc>
  <rcc rId="1558" sId="13">
    <oc r="S36">
      <f>H36*E36</f>
    </oc>
    <nc r="S36">
      <f>H36*E36</f>
    </nc>
  </rcc>
  <rcc rId="1559" sId="13">
    <oc r="T36">
      <f>I36*E36</f>
    </oc>
    <nc r="T36">
      <f>I36*E36</f>
    </nc>
  </rcc>
  <rcc rId="1560" sId="13">
    <oc r="U36">
      <f>J36*E36</f>
    </oc>
    <nc r="U36">
      <f>J36*E36</f>
    </nc>
  </rcc>
  <rcc rId="1561" sId="13">
    <oc r="V36">
      <f>K36*E36</f>
    </oc>
    <nc r="V36">
      <f>K36*E36</f>
    </nc>
  </rcc>
  <rcc rId="1562" sId="13">
    <oc r="S37">
      <f>H37*E37</f>
    </oc>
    <nc r="S37">
      <f>H37*E37</f>
    </nc>
  </rcc>
  <rcc rId="1563" sId="13">
    <oc r="T37">
      <f>I37*E37</f>
    </oc>
    <nc r="T37">
      <f>I37*E37</f>
    </nc>
  </rcc>
  <rcc rId="1564" sId="13">
    <oc r="U37">
      <f>J37*E37</f>
    </oc>
    <nc r="U37">
      <f>J37*E37</f>
    </nc>
  </rcc>
  <rcc rId="1565" sId="13">
    <oc r="V37">
      <f>K37*E37</f>
    </oc>
    <nc r="V37">
      <f>K37*E37</f>
    </nc>
  </rcc>
  <rcc rId="1566" sId="13">
    <oc r="S38">
      <f>H38*E38</f>
    </oc>
    <nc r="S38">
      <f>H38*E38</f>
    </nc>
  </rcc>
  <rcc rId="1567" sId="13">
    <oc r="T38">
      <f>I38*E38</f>
    </oc>
    <nc r="T38">
      <f>I38*E38</f>
    </nc>
  </rcc>
  <rcc rId="1568" sId="13">
    <oc r="U38">
      <f>J38*E38</f>
    </oc>
    <nc r="U38">
      <f>J38*E38</f>
    </nc>
  </rcc>
  <rcc rId="1569" sId="13">
    <oc r="V38">
      <f>K38*E38</f>
    </oc>
    <nc r="V38">
      <f>K38*E38</f>
    </nc>
  </rcc>
  <rcc rId="1570" sId="13">
    <oc r="S39">
      <f>H39*E39</f>
    </oc>
    <nc r="S39">
      <f>H39*E39</f>
    </nc>
  </rcc>
  <rcc rId="1571" sId="13">
    <oc r="T39">
      <f>I39*E39</f>
    </oc>
    <nc r="T39">
      <f>I39*E39</f>
    </nc>
  </rcc>
  <rcc rId="1572" sId="13">
    <oc r="U39">
      <f>J39*E39</f>
    </oc>
    <nc r="U39">
      <f>J39*E39</f>
    </nc>
  </rcc>
  <rcc rId="1573" sId="13">
    <oc r="V39">
      <f>K39*E39</f>
    </oc>
    <nc r="V39">
      <f>K39*E39</f>
    </nc>
  </rcc>
  <rcc rId="1574" sId="13">
    <oc r="S40">
      <f>H40*E40</f>
    </oc>
    <nc r="S40">
      <f>H40*E40</f>
    </nc>
  </rcc>
  <rcc rId="1575" sId="13">
    <oc r="T40">
      <f>I40*E40</f>
    </oc>
    <nc r="T40">
      <f>I40*E40</f>
    </nc>
  </rcc>
  <rcc rId="1576" sId="13">
    <oc r="U40">
      <f>J40*E40</f>
    </oc>
    <nc r="U40">
      <f>J40*E40</f>
    </nc>
  </rcc>
  <rcc rId="1577" sId="13">
    <oc r="V40">
      <f>K40*E40</f>
    </oc>
    <nc r="V40">
      <f>K40*E40</f>
    </nc>
  </rcc>
  <rcc rId="1578" sId="13">
    <oc r="S41">
      <f>H41*E41</f>
    </oc>
    <nc r="S41">
      <f>H41*E41</f>
    </nc>
  </rcc>
  <rcc rId="1579" sId="13">
    <oc r="T41">
      <f>I41*E41</f>
    </oc>
    <nc r="T41">
      <f>I41*E41</f>
    </nc>
  </rcc>
  <rcc rId="1580" sId="13">
    <oc r="U41">
      <f>J41*E41</f>
    </oc>
    <nc r="U41">
      <f>J41*E41</f>
    </nc>
  </rcc>
  <rcc rId="1581" sId="13">
    <oc r="V41">
      <f>K41*E41</f>
    </oc>
    <nc r="V41">
      <f>K41*E41</f>
    </nc>
  </rcc>
  <rcc rId="1582" sId="13">
    <oc r="S42">
      <f>H42*E42</f>
    </oc>
    <nc r="S42">
      <f>H42*E42</f>
    </nc>
  </rcc>
  <rcc rId="1583" sId="13">
    <oc r="T42">
      <f>I42*E42</f>
    </oc>
    <nc r="T42">
      <f>I42*E42</f>
    </nc>
  </rcc>
  <rcc rId="1584" sId="13">
    <oc r="U42">
      <f>J42*E42</f>
    </oc>
    <nc r="U42">
      <f>J42*E42</f>
    </nc>
  </rcc>
  <rcc rId="1585" sId="13">
    <oc r="V42">
      <f>K42*E42</f>
    </oc>
    <nc r="V42">
      <f>K42*E42</f>
    </nc>
  </rcc>
  <rcc rId="1586" sId="13">
    <oc r="S43">
      <f>H43*E43</f>
    </oc>
    <nc r="S43">
      <f>H43*E43</f>
    </nc>
  </rcc>
  <rcc rId="1587" sId="13">
    <oc r="T43">
      <f>I43*E43</f>
    </oc>
    <nc r="T43">
      <f>I43*E43</f>
    </nc>
  </rcc>
  <rcc rId="1588" sId="13">
    <oc r="U43">
      <f>J43*E43</f>
    </oc>
    <nc r="U43">
      <f>J43*E43</f>
    </nc>
  </rcc>
  <rcc rId="1589" sId="13">
    <oc r="V43">
      <f>K43*E43</f>
    </oc>
    <nc r="V43">
      <f>K43*E43</f>
    </nc>
  </rcc>
  <rcc rId="1590" sId="13">
    <oc r="S44">
      <f>H44*E44</f>
    </oc>
    <nc r="S44">
      <f>H44*E44</f>
    </nc>
  </rcc>
  <rcc rId="1591" sId="13">
    <oc r="T44">
      <f>I44*E44</f>
    </oc>
    <nc r="T44">
      <f>I44*E44</f>
    </nc>
  </rcc>
  <rcc rId="1592" sId="13">
    <oc r="U44">
      <f>J44*E44</f>
    </oc>
    <nc r="U44">
      <f>J44*E44</f>
    </nc>
  </rcc>
  <rcc rId="1593" sId="13">
    <oc r="V44">
      <f>K44*E44</f>
    </oc>
    <nc r="V44">
      <f>K44*E44</f>
    </nc>
  </rcc>
  <rcc rId="1594" sId="13">
    <oc r="S45">
      <f>H45*E45</f>
    </oc>
    <nc r="S45">
      <f>H45*E45</f>
    </nc>
  </rcc>
  <rcc rId="1595" sId="13">
    <oc r="T45">
      <f>I45*E45</f>
    </oc>
    <nc r="T45">
      <f>I45*E45</f>
    </nc>
  </rcc>
  <rcc rId="1596" sId="13">
    <oc r="U45">
      <f>J45*E45</f>
    </oc>
    <nc r="U45">
      <f>J45*E45</f>
    </nc>
  </rcc>
  <rcc rId="1597" sId="13">
    <oc r="V45">
      <f>K45*E45</f>
    </oc>
    <nc r="V45">
      <f>K45*E45</f>
    </nc>
  </rcc>
  <rcc rId="1598" sId="13">
    <oc r="S46">
      <f>H46*E46</f>
    </oc>
    <nc r="S46">
      <f>H46*E46</f>
    </nc>
  </rcc>
  <rcc rId="1599" sId="13">
    <oc r="T46">
      <f>I46*E46</f>
    </oc>
    <nc r="T46">
      <f>I46*E46</f>
    </nc>
  </rcc>
  <rcc rId="1600" sId="13">
    <oc r="U46">
      <f>J46*E46</f>
    </oc>
    <nc r="U46">
      <f>J46*E46</f>
    </nc>
  </rcc>
  <rcc rId="1601" sId="13">
    <oc r="V46">
      <f>K46*E46</f>
    </oc>
    <nc r="V46">
      <f>K46*E46</f>
    </nc>
  </rcc>
  <rcc rId="1602" sId="13">
    <oc r="S47">
      <f>H47*E47</f>
    </oc>
    <nc r="S47">
      <f>H47*E47</f>
    </nc>
  </rcc>
  <rcc rId="1603" sId="13">
    <oc r="T47">
      <f>I47*E47</f>
    </oc>
    <nc r="T47">
      <f>I47*E47</f>
    </nc>
  </rcc>
  <rcc rId="1604" sId="13">
    <oc r="U47">
      <f>J47*E47</f>
    </oc>
    <nc r="U47">
      <f>J47*E47</f>
    </nc>
  </rcc>
  <rcc rId="1605" sId="13">
    <oc r="V47">
      <f>K47*E47</f>
    </oc>
    <nc r="V47">
      <f>K47*E47</f>
    </nc>
  </rcc>
  <rcc rId="1606" sId="13">
    <oc r="S48">
      <f>H48*E48</f>
    </oc>
    <nc r="S48">
      <f>H48*E48</f>
    </nc>
  </rcc>
  <rcc rId="1607" sId="13">
    <oc r="T48">
      <f>I48*E48</f>
    </oc>
    <nc r="T48">
      <f>I48*E48</f>
    </nc>
  </rcc>
  <rcc rId="1608" sId="13">
    <oc r="U48">
      <f>J48*E48</f>
    </oc>
    <nc r="U48">
      <f>J48*E48</f>
    </nc>
  </rcc>
  <rcc rId="1609" sId="13">
    <oc r="V48">
      <f>K48*E48</f>
    </oc>
    <nc r="V48">
      <f>K48*E48</f>
    </nc>
  </rcc>
  <rcc rId="1610" sId="13">
    <oc r="S49">
      <f>H49*E49</f>
    </oc>
    <nc r="S49">
      <f>H49*E49</f>
    </nc>
  </rcc>
  <rcc rId="1611" sId="13">
    <oc r="T49">
      <f>I49*E49</f>
    </oc>
    <nc r="T49">
      <f>I49*E49</f>
    </nc>
  </rcc>
  <rcc rId="1612" sId="13">
    <oc r="U49">
      <f>J49*E49</f>
    </oc>
    <nc r="U49">
      <f>J49*E49</f>
    </nc>
  </rcc>
  <rcc rId="1613" sId="13">
    <oc r="V49">
      <f>K49*E49</f>
    </oc>
    <nc r="V49">
      <f>K49*E49</f>
    </nc>
  </rcc>
  <rcc rId="1614" sId="13">
    <oc r="S50">
      <f>H50*E50</f>
    </oc>
    <nc r="S50">
      <f>H50*E50</f>
    </nc>
  </rcc>
  <rcc rId="1615" sId="13">
    <oc r="T50">
      <f>I50*E50</f>
    </oc>
    <nc r="T50">
      <f>I50*E50</f>
    </nc>
  </rcc>
  <rcc rId="1616" sId="13">
    <oc r="U50">
      <f>J50*E50</f>
    </oc>
    <nc r="U50">
      <f>J50*E50</f>
    </nc>
  </rcc>
  <rcc rId="1617" sId="13">
    <oc r="V50">
      <f>K50*E50</f>
    </oc>
    <nc r="V50">
      <f>K50*E50</f>
    </nc>
  </rcc>
  <rcc rId="1618" sId="13">
    <oc r="S51">
      <f>H51*E51</f>
    </oc>
    <nc r="S51">
      <f>H51*E51</f>
    </nc>
  </rcc>
  <rcc rId="1619" sId="13">
    <oc r="T51">
      <f>I51*E51</f>
    </oc>
    <nc r="T51">
      <f>I51*E51</f>
    </nc>
  </rcc>
  <rcc rId="1620" sId="13">
    <oc r="U51">
      <f>J51*E51</f>
    </oc>
    <nc r="U51">
      <f>J51*E51</f>
    </nc>
  </rcc>
  <rcc rId="1621" sId="13">
    <oc r="V51">
      <f>K51*E51</f>
    </oc>
    <nc r="V51">
      <f>K51*E51</f>
    </nc>
  </rcc>
  <rcc rId="1622" sId="13">
    <nc r="S52">
      <f>H52*E52</f>
    </nc>
  </rcc>
  <rcc rId="1623" sId="13">
    <nc r="T52">
      <f>I52*E52</f>
    </nc>
  </rcc>
  <rcc rId="1624" sId="13">
    <nc r="U52">
      <f>J52*E52</f>
    </nc>
  </rcc>
  <rcc rId="1625" sId="13">
    <nc r="V52">
      <f>K52*E52</f>
    </nc>
  </rcc>
  <rcc rId="1626" sId="13">
    <oc r="S53">
      <f>H53*E53</f>
    </oc>
    <nc r="S53">
      <f>H53*E53</f>
    </nc>
  </rcc>
  <rcc rId="1627" sId="13">
    <oc r="T53">
      <f>I53*E53</f>
    </oc>
    <nc r="T53">
      <f>I53*E53</f>
    </nc>
  </rcc>
  <rcc rId="1628" sId="13">
    <oc r="U53">
      <f>J53*E53</f>
    </oc>
    <nc r="U53">
      <f>J53*E53</f>
    </nc>
  </rcc>
  <rcc rId="1629" sId="13">
    <oc r="V53">
      <f>K53*E53</f>
    </oc>
    <nc r="V53">
      <f>K53*E53</f>
    </nc>
  </rcc>
  <rcc rId="1630" sId="13">
    <oc r="S54">
      <f>H54*E54</f>
    </oc>
    <nc r="S54">
      <f>H54*E54</f>
    </nc>
  </rcc>
  <rcc rId="1631" sId="13">
    <oc r="T54">
      <f>I54*E54</f>
    </oc>
    <nc r="T54">
      <f>I54*E54</f>
    </nc>
  </rcc>
  <rcc rId="1632" sId="13">
    <oc r="U54">
      <f>J54*E54</f>
    </oc>
    <nc r="U54">
      <f>J54*E54</f>
    </nc>
  </rcc>
  <rcc rId="1633" sId="13">
    <oc r="V54">
      <f>K54*E54</f>
    </oc>
    <nc r="V54">
      <f>K54*E54</f>
    </nc>
  </rcc>
  <rcc rId="1634" sId="13">
    <oc r="S55">
      <f>H55*E55</f>
    </oc>
    <nc r="S55">
      <f>H55*E55</f>
    </nc>
  </rcc>
  <rcc rId="1635" sId="13">
    <oc r="T55">
      <f>I55*E55</f>
    </oc>
    <nc r="T55">
      <f>I55*E55</f>
    </nc>
  </rcc>
  <rcc rId="1636" sId="13">
    <oc r="U55">
      <f>J55*E55</f>
    </oc>
    <nc r="U55">
      <f>J55*E55</f>
    </nc>
  </rcc>
  <rcc rId="1637" sId="13">
    <oc r="V55">
      <f>K55*E55</f>
    </oc>
    <nc r="V55">
      <f>K55*E55</f>
    </nc>
  </rcc>
  <rcc rId="1638" sId="13">
    <oc r="S56">
      <f>H56*E56</f>
    </oc>
    <nc r="S56">
      <f>H56*E56</f>
    </nc>
  </rcc>
  <rcc rId="1639" sId="13">
    <oc r="T56">
      <f>I56*E56</f>
    </oc>
    <nc r="T56">
      <f>I56*E56</f>
    </nc>
  </rcc>
  <rcc rId="1640" sId="13">
    <oc r="U56">
      <f>J56*E56</f>
    </oc>
    <nc r="U56">
      <f>J56*E56</f>
    </nc>
  </rcc>
  <rcc rId="1641" sId="13">
    <oc r="V56">
      <f>K56*E56</f>
    </oc>
    <nc r="V56">
      <f>K56*E56</f>
    </nc>
  </rcc>
  <rcc rId="1642" sId="13">
    <oc r="S57">
      <f>H57*E57</f>
    </oc>
    <nc r="S57">
      <f>H57*E57</f>
    </nc>
  </rcc>
  <rcc rId="1643" sId="13">
    <oc r="T57">
      <f>I57*E57</f>
    </oc>
    <nc r="T57">
      <f>I57*E57</f>
    </nc>
  </rcc>
  <rcc rId="1644" sId="13">
    <oc r="U57">
      <f>J57*E57</f>
    </oc>
    <nc r="U57">
      <f>J57*E57</f>
    </nc>
  </rcc>
  <rcc rId="1645" sId="13">
    <oc r="V57">
      <f>K57*E57</f>
    </oc>
    <nc r="V57">
      <f>K57*E57</f>
    </nc>
  </rcc>
  <rcc rId="1646" sId="13">
    <oc r="S58">
      <f>H58*E58</f>
    </oc>
    <nc r="S58">
      <f>H58*E58</f>
    </nc>
  </rcc>
  <rcc rId="1647" sId="13">
    <oc r="T58">
      <f>I58*E58</f>
    </oc>
    <nc r="T58">
      <f>I58*E58</f>
    </nc>
  </rcc>
  <rcc rId="1648" sId="13">
    <oc r="U58">
      <f>J58*E58</f>
    </oc>
    <nc r="U58">
      <f>J58*E58</f>
    </nc>
  </rcc>
  <rcc rId="1649" sId="13">
    <oc r="V58">
      <f>K58*E58</f>
    </oc>
    <nc r="V58">
      <f>K58*E58</f>
    </nc>
  </rcc>
  <rcc rId="1650" sId="13">
    <oc r="S59">
      <f>H59*E59</f>
    </oc>
    <nc r="S59">
      <f>H59*E59</f>
    </nc>
  </rcc>
  <rcc rId="1651" sId="13">
    <oc r="T59">
      <f>I59*E59</f>
    </oc>
    <nc r="T59">
      <f>I59*E59</f>
    </nc>
  </rcc>
  <rcc rId="1652" sId="13">
    <oc r="U59">
      <f>J59*E59</f>
    </oc>
    <nc r="U59">
      <f>J59*E59</f>
    </nc>
  </rcc>
  <rcc rId="1653" sId="13">
    <oc r="V59">
      <f>K59*E59</f>
    </oc>
    <nc r="V59">
      <f>K59*E59</f>
    </nc>
  </rcc>
  <rcc rId="1654" sId="13">
    <oc r="S60">
      <f>H60*E60</f>
    </oc>
    <nc r="S60">
      <f>H60*E60</f>
    </nc>
  </rcc>
  <rcc rId="1655" sId="13">
    <oc r="T60">
      <f>I60*E60</f>
    </oc>
    <nc r="T60">
      <f>I60*E60</f>
    </nc>
  </rcc>
  <rcc rId="1656" sId="13">
    <oc r="U60">
      <f>J60*E60</f>
    </oc>
    <nc r="U60">
      <f>J60*E60</f>
    </nc>
  </rcc>
  <rcc rId="1657" sId="13">
    <oc r="V60">
      <f>K60*E60</f>
    </oc>
    <nc r="V60">
      <f>K60*E60</f>
    </nc>
  </rcc>
  <rcc rId="1658" sId="13">
    <oc r="S61">
      <f>H61*E61</f>
    </oc>
    <nc r="S61">
      <f>H61*E61</f>
    </nc>
  </rcc>
  <rcc rId="1659" sId="13">
    <oc r="T61">
      <f>I61*E61</f>
    </oc>
    <nc r="T61">
      <f>I61*E61</f>
    </nc>
  </rcc>
  <rcc rId="1660" sId="13">
    <oc r="U61">
      <f>J61*E61</f>
    </oc>
    <nc r="U61">
      <f>J61*E61</f>
    </nc>
  </rcc>
  <rcc rId="1661" sId="13">
    <oc r="V61">
      <f>K61*E61</f>
    </oc>
    <nc r="V61">
      <f>K61*E61</f>
    </nc>
  </rcc>
  <rcc rId="1662" sId="13">
    <oc r="S62">
      <f>H62*E62</f>
    </oc>
    <nc r="S62">
      <f>H62*E62</f>
    </nc>
  </rcc>
  <rcc rId="1663" sId="13">
    <oc r="T62">
      <f>I62*E62</f>
    </oc>
    <nc r="T62">
      <f>I62*E62</f>
    </nc>
  </rcc>
  <rcc rId="1664" sId="13">
    <oc r="U62">
      <f>J62*E62</f>
    </oc>
    <nc r="U62">
      <f>J62*E62</f>
    </nc>
  </rcc>
  <rcc rId="1665" sId="13">
    <oc r="V62">
      <f>K62*E62</f>
    </oc>
    <nc r="V62">
      <f>K62*E62</f>
    </nc>
  </rcc>
  <rcc rId="1666" sId="13">
    <oc r="S63">
      <f>H63*E63</f>
    </oc>
    <nc r="S63">
      <f>H63*E63</f>
    </nc>
  </rcc>
  <rcc rId="1667" sId="13">
    <oc r="T63">
      <f>I63*E63</f>
    </oc>
    <nc r="T63">
      <f>I63*E63</f>
    </nc>
  </rcc>
  <rcc rId="1668" sId="13">
    <oc r="U63">
      <f>J63*E63</f>
    </oc>
    <nc r="U63">
      <f>J63*E63</f>
    </nc>
  </rcc>
  <rcc rId="1669" sId="13">
    <oc r="V63">
      <f>K63*E63</f>
    </oc>
    <nc r="V63">
      <f>K63*E63</f>
    </nc>
  </rcc>
  <rcc rId="1670" sId="13">
    <oc r="S64">
      <f>H64*E64</f>
    </oc>
    <nc r="S64">
      <f>H64*E64</f>
    </nc>
  </rcc>
  <rcc rId="1671" sId="13">
    <oc r="T64">
      <f>I64*E64</f>
    </oc>
    <nc r="T64">
      <f>I64*E64</f>
    </nc>
  </rcc>
  <rcc rId="1672" sId="13">
    <oc r="U64">
      <f>J64*E64</f>
    </oc>
    <nc r="U64">
      <f>J64*E64</f>
    </nc>
  </rcc>
  <rcc rId="1673" sId="13">
    <oc r="V64">
      <f>K64*E64</f>
    </oc>
    <nc r="V64">
      <f>K64*E64</f>
    </nc>
  </rcc>
  <rcc rId="1674" sId="13">
    <oc r="S65">
      <f>H65*E65</f>
    </oc>
    <nc r="S65">
      <f>H65*E65</f>
    </nc>
  </rcc>
  <rcc rId="1675" sId="13">
    <oc r="T65">
      <f>I65*E65</f>
    </oc>
    <nc r="T65">
      <f>I65*E65</f>
    </nc>
  </rcc>
  <rcc rId="1676" sId="13">
    <oc r="U65">
      <f>J65*E65</f>
    </oc>
    <nc r="U65">
      <f>J65*E65</f>
    </nc>
  </rcc>
  <rcc rId="1677" sId="13">
    <oc r="V65">
      <f>K65*E65</f>
    </oc>
    <nc r="V65">
      <f>K65*E65</f>
    </nc>
  </rcc>
  <rcc rId="1678" sId="13">
    <oc r="S66">
      <f>H66*E66</f>
    </oc>
    <nc r="S66">
      <f>H66*E66</f>
    </nc>
  </rcc>
  <rcc rId="1679" sId="13">
    <oc r="T66">
      <f>I66*E66</f>
    </oc>
    <nc r="T66">
      <f>I66*E66</f>
    </nc>
  </rcc>
  <rcc rId="1680" sId="13">
    <oc r="U66">
      <f>J66*E66</f>
    </oc>
    <nc r="U66">
      <f>J66*E66</f>
    </nc>
  </rcc>
  <rcc rId="1681" sId="13">
    <oc r="V66">
      <f>K66*E66</f>
    </oc>
    <nc r="V66">
      <f>K66*E66</f>
    </nc>
  </rcc>
  <rcc rId="1682" sId="13">
    <oc r="S67">
      <f>H67*E67</f>
    </oc>
    <nc r="S67">
      <f>H67*E67</f>
    </nc>
  </rcc>
  <rcc rId="1683" sId="13">
    <oc r="T67">
      <f>I67*E67</f>
    </oc>
    <nc r="T67">
      <f>I67*E67</f>
    </nc>
  </rcc>
  <rcc rId="1684" sId="13">
    <oc r="U67">
      <f>J67*E67</f>
    </oc>
    <nc r="U67">
      <f>J67*E67</f>
    </nc>
  </rcc>
  <rcc rId="1685" sId="13">
    <oc r="V67">
      <f>K67*E67</f>
    </oc>
    <nc r="V67">
      <f>K67*E67</f>
    </nc>
  </rcc>
  <rcc rId="1686" sId="13">
    <oc r="S68">
      <f>H68*E68</f>
    </oc>
    <nc r="S68">
      <f>H68*E68</f>
    </nc>
  </rcc>
  <rcc rId="1687" sId="13">
    <oc r="T68">
      <f>I68*E68</f>
    </oc>
    <nc r="T68">
      <f>I68*E68</f>
    </nc>
  </rcc>
  <rcc rId="1688" sId="13">
    <oc r="U68">
      <f>J68*E68</f>
    </oc>
    <nc r="U68">
      <f>J68*E68</f>
    </nc>
  </rcc>
  <rcc rId="1689" sId="13">
    <oc r="V68">
      <f>K68*E68</f>
    </oc>
    <nc r="V68">
      <f>K68*E68</f>
    </nc>
  </rcc>
  <rcc rId="1690" sId="13">
    <oc r="S69">
      <f>H69*E69</f>
    </oc>
    <nc r="S69">
      <f>H69*E69</f>
    </nc>
  </rcc>
  <rcc rId="1691" sId="13">
    <oc r="T69">
      <f>I69*E69</f>
    </oc>
    <nc r="T69">
      <f>I69*E69</f>
    </nc>
  </rcc>
  <rcc rId="1692" sId="13">
    <oc r="U69">
      <f>J69*E69</f>
    </oc>
    <nc r="U69">
      <f>J69*E69</f>
    </nc>
  </rcc>
  <rcc rId="1693" sId="13">
    <oc r="V69">
      <f>K69*E69</f>
    </oc>
    <nc r="V69">
      <f>K69*E69</f>
    </nc>
  </rcc>
  <rcc rId="1694" sId="13">
    <oc r="S70">
      <f>H70*E70</f>
    </oc>
    <nc r="S70">
      <f>H70*E70</f>
    </nc>
  </rcc>
  <rcc rId="1695" sId="13">
    <oc r="T70">
      <f>I70*E70</f>
    </oc>
    <nc r="T70">
      <f>I70*E70</f>
    </nc>
  </rcc>
  <rcc rId="1696" sId="13">
    <oc r="U70">
      <f>J70*E70</f>
    </oc>
    <nc r="U70">
      <f>J70*E70</f>
    </nc>
  </rcc>
  <rcc rId="1697" sId="13">
    <oc r="V70">
      <f>K70*E70</f>
    </oc>
    <nc r="V70">
      <f>K70*E70</f>
    </nc>
  </rcc>
  <rcc rId="1698" sId="13">
    <oc r="S71">
      <f>H71*E71</f>
    </oc>
    <nc r="S71">
      <f>H71*E71</f>
    </nc>
  </rcc>
  <rcc rId="1699" sId="13">
    <oc r="T71">
      <f>I71*E71</f>
    </oc>
    <nc r="T71">
      <f>I71*E71</f>
    </nc>
  </rcc>
  <rcc rId="1700" sId="13">
    <oc r="U71">
      <f>J71*E71</f>
    </oc>
    <nc r="U71">
      <f>J71*E71</f>
    </nc>
  </rcc>
  <rcc rId="1701" sId="13">
    <oc r="V71">
      <f>K71*E71</f>
    </oc>
    <nc r="V71">
      <f>K71*E71</f>
    </nc>
  </rcc>
  <rcc rId="1702" sId="13">
    <oc r="S72">
      <f>H72*E72</f>
    </oc>
    <nc r="S72">
      <f>H72*E72</f>
    </nc>
  </rcc>
  <rcc rId="1703" sId="13">
    <oc r="T72">
      <f>I72*E72</f>
    </oc>
    <nc r="T72">
      <f>I72*E72</f>
    </nc>
  </rcc>
  <rcc rId="1704" sId="13">
    <oc r="U72">
      <f>J72*E72</f>
    </oc>
    <nc r="U72">
      <f>J72*E72</f>
    </nc>
  </rcc>
  <rcc rId="1705" sId="13">
    <oc r="V72">
      <f>K72*E72</f>
    </oc>
    <nc r="V72">
      <f>K72*E72</f>
    </nc>
  </rcc>
  <rcc rId="1706" sId="13">
    <oc r="S73">
      <f>H73*E73</f>
    </oc>
    <nc r="S73">
      <f>H73*E73</f>
    </nc>
  </rcc>
  <rcc rId="1707" sId="13">
    <oc r="T73">
      <f>I73*E73</f>
    </oc>
    <nc r="T73">
      <f>I73*E73</f>
    </nc>
  </rcc>
  <rcc rId="1708" sId="13">
    <oc r="U73">
      <f>J73*E73</f>
    </oc>
    <nc r="U73">
      <f>J73*E73</f>
    </nc>
  </rcc>
  <rcc rId="1709" sId="13">
    <oc r="V73">
      <f>K73*E73</f>
    </oc>
    <nc r="V73">
      <f>K73*E73</f>
    </nc>
  </rcc>
  <rcc rId="1710" sId="13">
    <oc r="S74">
      <f>H74*E74</f>
    </oc>
    <nc r="S74">
      <f>H74*E74</f>
    </nc>
  </rcc>
  <rcc rId="1711" sId="13">
    <oc r="T74">
      <f>I74*E74</f>
    </oc>
    <nc r="T74">
      <f>I74*E74</f>
    </nc>
  </rcc>
  <rcc rId="1712" sId="13">
    <oc r="U74">
      <f>J74*E74</f>
    </oc>
    <nc r="U74">
      <f>J74*E74</f>
    </nc>
  </rcc>
  <rcc rId="1713" sId="13">
    <oc r="V74">
      <f>K74*E74</f>
    </oc>
    <nc r="V74">
      <f>K74*E74</f>
    </nc>
  </rcc>
  <rcc rId="1714" sId="13">
    <oc r="S75">
      <f>H75*E75</f>
    </oc>
    <nc r="S75">
      <f>H75*E75</f>
    </nc>
  </rcc>
  <rcc rId="1715" sId="13">
    <oc r="T75">
      <f>I75*E75</f>
    </oc>
    <nc r="T75">
      <f>I75*E75</f>
    </nc>
  </rcc>
  <rcc rId="1716" sId="13">
    <oc r="U75">
      <f>J75*E75</f>
    </oc>
    <nc r="U75">
      <f>J75*E75</f>
    </nc>
  </rcc>
  <rcc rId="1717" sId="13">
    <oc r="V75">
      <f>K75*E75</f>
    </oc>
    <nc r="V75">
      <f>K75*E75</f>
    </nc>
  </rcc>
  <rcc rId="1718" sId="13">
    <oc r="S76">
      <f>H76*E76</f>
    </oc>
    <nc r="S76">
      <f>H76*E76</f>
    </nc>
  </rcc>
  <rcc rId="1719" sId="13">
    <oc r="T76">
      <f>I76*E76</f>
    </oc>
    <nc r="T76">
      <f>I76*E76</f>
    </nc>
  </rcc>
  <rcc rId="1720" sId="13">
    <oc r="U76">
      <f>J76*E76</f>
    </oc>
    <nc r="U76">
      <f>J76*E76</f>
    </nc>
  </rcc>
  <rcc rId="1721" sId="13">
    <oc r="V76">
      <f>K76*E76</f>
    </oc>
    <nc r="V76">
      <f>K76*E76</f>
    </nc>
  </rcc>
  <rcc rId="1722" sId="13">
    <oc r="S77">
      <f>H77*E77</f>
    </oc>
    <nc r="S77">
      <f>H77*E77</f>
    </nc>
  </rcc>
  <rcc rId="1723" sId="13">
    <oc r="T77">
      <f>I77*E77</f>
    </oc>
    <nc r="T77">
      <f>I77*E77</f>
    </nc>
  </rcc>
  <rcc rId="1724" sId="13">
    <oc r="U77">
      <f>J77*E77</f>
    </oc>
    <nc r="U77">
      <f>J77*E77</f>
    </nc>
  </rcc>
  <rcc rId="1725" sId="13">
    <oc r="V77">
      <f>K77*E77</f>
    </oc>
    <nc r="V77">
      <f>K77*E77</f>
    </nc>
  </rcc>
  <rcc rId="1726" sId="13">
    <oc r="S78">
      <f>H78*E78</f>
    </oc>
    <nc r="S78">
      <f>H78*E78</f>
    </nc>
  </rcc>
  <rcc rId="1727" sId="13">
    <oc r="T78">
      <f>I78*E78</f>
    </oc>
    <nc r="T78">
      <f>I78*E78</f>
    </nc>
  </rcc>
  <rcc rId="1728" sId="13">
    <oc r="U78">
      <f>J78*E78</f>
    </oc>
    <nc r="U78">
      <f>J78*E78</f>
    </nc>
  </rcc>
  <rcc rId="1729" sId="13">
    <oc r="V78">
      <f>K78*E78</f>
    </oc>
    <nc r="V78">
      <f>K78*E78</f>
    </nc>
  </rcc>
  <rcc rId="1730" sId="13">
    <oc r="S79">
      <f>H79*E79</f>
    </oc>
    <nc r="S79">
      <f>H79*E79</f>
    </nc>
  </rcc>
  <rcc rId="1731" sId="13">
    <oc r="T79">
      <f>I79*E79</f>
    </oc>
    <nc r="T79">
      <f>I79*E79</f>
    </nc>
  </rcc>
  <rcc rId="1732" sId="13">
    <oc r="U79">
      <f>J79*E79</f>
    </oc>
    <nc r="U79">
      <f>J79*E79</f>
    </nc>
  </rcc>
  <rcc rId="1733" sId="13">
    <oc r="V79">
      <f>K79*E79</f>
    </oc>
    <nc r="V79">
      <f>K79*E79</f>
    </nc>
  </rcc>
  <rcc rId="1734" sId="13">
    <oc r="S80">
      <f>H80*E80</f>
    </oc>
    <nc r="S80">
      <f>H80*E80</f>
    </nc>
  </rcc>
  <rcc rId="1735" sId="13">
    <oc r="T80">
      <f>I80*E80</f>
    </oc>
    <nc r="T80">
      <f>I80*E80</f>
    </nc>
  </rcc>
  <rcc rId="1736" sId="13">
    <oc r="U80">
      <f>J80*E80</f>
    </oc>
    <nc r="U80">
      <f>J80*E80</f>
    </nc>
  </rcc>
  <rcc rId="1737" sId="13">
    <oc r="V80">
      <f>K80*E80</f>
    </oc>
    <nc r="V80">
      <f>K80*E80</f>
    </nc>
  </rcc>
  <rcc rId="1738" sId="13">
    <oc r="S81">
      <f>H81*E81</f>
    </oc>
    <nc r="S81">
      <f>H81*E81</f>
    </nc>
  </rcc>
  <rcc rId="1739" sId="13">
    <oc r="T81">
      <f>I81*E81</f>
    </oc>
    <nc r="T81">
      <f>I81*E81</f>
    </nc>
  </rcc>
  <rcc rId="1740" sId="13">
    <oc r="U81">
      <f>J81*E81</f>
    </oc>
    <nc r="U81">
      <f>J81*E81</f>
    </nc>
  </rcc>
  <rcc rId="1741" sId="13">
    <oc r="V81">
      <f>K81*E81</f>
    </oc>
    <nc r="V81">
      <f>K81*E81</f>
    </nc>
  </rcc>
  <rcc rId="1742" sId="13">
    <oc r="S82">
      <f>H82*E82</f>
    </oc>
    <nc r="S82">
      <f>H82*E82</f>
    </nc>
  </rcc>
  <rcc rId="1743" sId="13">
    <oc r="T82">
      <f>I82*E82</f>
    </oc>
    <nc r="T82">
      <f>I82*E82</f>
    </nc>
  </rcc>
  <rcc rId="1744" sId="13">
    <oc r="U82">
      <f>J82*E82</f>
    </oc>
    <nc r="U82">
      <f>J82*E82</f>
    </nc>
  </rcc>
  <rcc rId="1745" sId="13">
    <oc r="V82">
      <f>K82*E82</f>
    </oc>
    <nc r="V82">
      <f>K82*E82</f>
    </nc>
  </rcc>
  <rcc rId="1746" sId="13">
    <oc r="S83">
      <f>H83*E83</f>
    </oc>
    <nc r="S83">
      <f>H83*E83</f>
    </nc>
  </rcc>
  <rcc rId="1747" sId="13">
    <oc r="T83">
      <f>I83*E83</f>
    </oc>
    <nc r="T83">
      <f>I83*E83</f>
    </nc>
  </rcc>
  <rcc rId="1748" sId="13">
    <oc r="U83">
      <f>J83*E83</f>
    </oc>
    <nc r="U83">
      <f>J83*E83</f>
    </nc>
  </rcc>
  <rcc rId="1749" sId="13">
    <oc r="V83">
      <f>K83*E83</f>
    </oc>
    <nc r="V83">
      <f>K83*E83</f>
    </nc>
  </rcc>
  <rcc rId="1750" sId="13">
    <oc r="S84">
      <f>H84*E84</f>
    </oc>
    <nc r="S84">
      <f>H84*E84</f>
    </nc>
  </rcc>
  <rcc rId="1751" sId="13">
    <oc r="T84">
      <f>I84*E84</f>
    </oc>
    <nc r="T84">
      <f>I84*E84</f>
    </nc>
  </rcc>
  <rcc rId="1752" sId="13">
    <oc r="U84">
      <f>J84*E84</f>
    </oc>
    <nc r="U84">
      <f>J84*E84</f>
    </nc>
  </rcc>
  <rcc rId="1753" sId="13">
    <oc r="V84">
      <f>K84*E84</f>
    </oc>
    <nc r="V84">
      <f>K84*E84</f>
    </nc>
  </rcc>
  <rcc rId="1754" sId="13">
    <oc r="S85">
      <f>H85*E85</f>
    </oc>
    <nc r="S85">
      <f>H85*E85</f>
    </nc>
  </rcc>
  <rcc rId="1755" sId="13">
    <oc r="T85">
      <f>I85*E85</f>
    </oc>
    <nc r="T85">
      <f>I85*E85</f>
    </nc>
  </rcc>
  <rcc rId="1756" sId="13">
    <oc r="U85">
      <f>J85*E85</f>
    </oc>
    <nc r="U85">
      <f>J85*E85</f>
    </nc>
  </rcc>
  <rcc rId="1757" sId="13">
    <oc r="V85">
      <f>K85*E85</f>
    </oc>
    <nc r="V85">
      <f>K85*E85</f>
    </nc>
  </rcc>
  <rcc rId="1758" sId="13">
    <oc r="S86">
      <f>H86*E86</f>
    </oc>
    <nc r="S86">
      <f>H86*E86</f>
    </nc>
  </rcc>
  <rcc rId="1759" sId="13">
    <oc r="T86">
      <f>I86*E86</f>
    </oc>
    <nc r="T86">
      <f>I86*E86</f>
    </nc>
  </rcc>
  <rcc rId="1760" sId="13">
    <oc r="U86">
      <f>J86*E86</f>
    </oc>
    <nc r="U86">
      <f>J86*E86</f>
    </nc>
  </rcc>
  <rcc rId="1761" sId="13">
    <oc r="V86">
      <f>K86*E86</f>
    </oc>
    <nc r="V86">
      <f>K86*E86</f>
    </nc>
  </rcc>
  <rcc rId="1762" sId="13">
    <oc r="S87">
      <f>H87*E87</f>
    </oc>
    <nc r="S87">
      <f>H87*E87</f>
    </nc>
  </rcc>
  <rcc rId="1763" sId="13">
    <oc r="T87">
      <f>I87*E87</f>
    </oc>
    <nc r="T87">
      <f>I87*E87</f>
    </nc>
  </rcc>
  <rcc rId="1764" sId="13">
    <oc r="U87">
      <f>J87*E87</f>
    </oc>
    <nc r="U87">
      <f>J87*E87</f>
    </nc>
  </rcc>
  <rcc rId="1765" sId="13">
    <oc r="V87">
      <f>K87*E87</f>
    </oc>
    <nc r="V87">
      <f>K87*E87</f>
    </nc>
  </rcc>
  <rcc rId="1766" sId="13">
    <oc r="S88">
      <f>H88*E88</f>
    </oc>
    <nc r="S88">
      <f>H88*E88</f>
    </nc>
  </rcc>
  <rcc rId="1767" sId="13">
    <oc r="T88">
      <f>I88*E88</f>
    </oc>
    <nc r="T88">
      <f>I88*E88</f>
    </nc>
  </rcc>
  <rcc rId="1768" sId="13">
    <oc r="U88">
      <f>J88*E88</f>
    </oc>
    <nc r="U88">
      <f>J88*E88</f>
    </nc>
  </rcc>
  <rcc rId="1769" sId="13">
    <oc r="V88">
      <f>K88*E88</f>
    </oc>
    <nc r="V88">
      <f>K88*E88</f>
    </nc>
  </rcc>
  <rcc rId="1770" sId="13">
    <oc r="S89">
      <f>H89*E89</f>
    </oc>
    <nc r="S89">
      <f>H89*E89</f>
    </nc>
  </rcc>
  <rcc rId="1771" sId="13">
    <oc r="T89">
      <f>I89*E89</f>
    </oc>
    <nc r="T89">
      <f>I89*E89</f>
    </nc>
  </rcc>
  <rcc rId="1772" sId="13">
    <oc r="U89">
      <f>J89*E89</f>
    </oc>
    <nc r="U89">
      <f>J89*E89</f>
    </nc>
  </rcc>
  <rcc rId="1773" sId="13">
    <oc r="V89">
      <f>K89*E89</f>
    </oc>
    <nc r="V89">
      <f>K89*E89</f>
    </nc>
  </rcc>
  <rcc rId="1774" sId="13">
    <oc r="S90">
      <f>H90*E90</f>
    </oc>
    <nc r="S90">
      <f>H90*E90</f>
    </nc>
  </rcc>
  <rcc rId="1775" sId="13">
    <oc r="T90">
      <f>I90*E90</f>
    </oc>
    <nc r="T90">
      <f>I90*E90</f>
    </nc>
  </rcc>
  <rcc rId="1776" sId="13">
    <oc r="U90">
      <f>J90*E90</f>
    </oc>
    <nc r="U90">
      <f>J90*E90</f>
    </nc>
  </rcc>
  <rcc rId="1777" sId="13">
    <oc r="V90">
      <f>K90*E90</f>
    </oc>
    <nc r="V90">
      <f>K90*E90</f>
    </nc>
  </rcc>
  <rcc rId="1778" sId="13">
    <oc r="S91">
      <f>H91*E91</f>
    </oc>
    <nc r="S91">
      <f>H91*E91</f>
    </nc>
  </rcc>
  <rcc rId="1779" sId="13">
    <oc r="T91">
      <f>I91*E91</f>
    </oc>
    <nc r="T91">
      <f>I91*E91</f>
    </nc>
  </rcc>
  <rcc rId="1780" sId="13">
    <oc r="U91">
      <f>J91*E91</f>
    </oc>
    <nc r="U91">
      <f>J91*E91</f>
    </nc>
  </rcc>
  <rcc rId="1781" sId="13">
    <oc r="V91">
      <f>K91*E91</f>
    </oc>
    <nc r="V91">
      <f>K91*E91</f>
    </nc>
  </rcc>
  <rcc rId="1782" sId="13">
    <oc r="S92">
      <f>H92*E92</f>
    </oc>
    <nc r="S92">
      <f>H92*E92</f>
    </nc>
  </rcc>
  <rcc rId="1783" sId="13">
    <oc r="T92">
      <f>I92*E92</f>
    </oc>
    <nc r="T92">
      <f>I92*E92</f>
    </nc>
  </rcc>
  <rcc rId="1784" sId="13">
    <oc r="U92">
      <f>J92*E92</f>
    </oc>
    <nc r="U92">
      <f>J92*E92</f>
    </nc>
  </rcc>
  <rcc rId="1785" sId="13">
    <oc r="V92">
      <f>K92*E92</f>
    </oc>
    <nc r="V92">
      <f>K92*E92</f>
    </nc>
  </rcc>
  <rcc rId="1786" sId="13">
    <oc r="S93">
      <f>H93*E93</f>
    </oc>
    <nc r="S93">
      <f>H93*E93</f>
    </nc>
  </rcc>
  <rcc rId="1787" sId="13">
    <oc r="T93">
      <f>I93*E93</f>
    </oc>
    <nc r="T93">
      <f>I93*E93</f>
    </nc>
  </rcc>
  <rcc rId="1788" sId="13">
    <oc r="U93">
      <f>J93*E93</f>
    </oc>
    <nc r="U93">
      <f>J93*E93</f>
    </nc>
  </rcc>
  <rcc rId="1789" sId="13">
    <oc r="V93">
      <f>K93*E93</f>
    </oc>
    <nc r="V93">
      <f>K93*E93</f>
    </nc>
  </rcc>
  <rcc rId="1790" sId="13">
    <oc r="S94">
      <f>H94*E94</f>
    </oc>
    <nc r="S94">
      <f>H94*E94</f>
    </nc>
  </rcc>
  <rcc rId="1791" sId="13">
    <oc r="T94">
      <f>I94*E94</f>
    </oc>
    <nc r="T94">
      <f>I94*E94</f>
    </nc>
  </rcc>
  <rcc rId="1792" sId="13">
    <oc r="U94">
      <f>J94*E94</f>
    </oc>
    <nc r="U94">
      <f>J94*E94</f>
    </nc>
  </rcc>
  <rcc rId="1793" sId="13">
    <oc r="V94">
      <f>K94*E94</f>
    </oc>
    <nc r="V94">
      <f>K94*E94</f>
    </nc>
  </rcc>
  <rcc rId="1794" sId="13">
    <oc r="S95">
      <f>H95*E95</f>
    </oc>
    <nc r="S95">
      <f>H95*E95</f>
    </nc>
  </rcc>
  <rcc rId="1795" sId="13">
    <oc r="T95">
      <f>I95*E95</f>
    </oc>
    <nc r="T95">
      <f>I95*E95</f>
    </nc>
  </rcc>
  <rcc rId="1796" sId="13">
    <oc r="U95">
      <f>J95*E95</f>
    </oc>
    <nc r="U95">
      <f>J95*E95</f>
    </nc>
  </rcc>
  <rcc rId="1797" sId="13">
    <oc r="V95">
      <f>K95*E95</f>
    </oc>
    <nc r="V95">
      <f>K95*E95</f>
    </nc>
  </rcc>
  <rcc rId="1798" sId="13">
    <oc r="S96">
      <f>H96*E96</f>
    </oc>
    <nc r="S96">
      <f>H96*E96</f>
    </nc>
  </rcc>
  <rcc rId="1799" sId="13">
    <oc r="T96">
      <f>I96*E96</f>
    </oc>
    <nc r="T96">
      <f>I96*E96</f>
    </nc>
  </rcc>
  <rcc rId="1800" sId="13">
    <oc r="U96">
      <f>J96*E96</f>
    </oc>
    <nc r="U96">
      <f>J96*E96</f>
    </nc>
  </rcc>
  <rcc rId="1801" sId="13">
    <oc r="V96">
      <f>K96*E96</f>
    </oc>
    <nc r="V96">
      <f>K96*E96</f>
    </nc>
  </rcc>
  <rcc rId="1802" sId="13">
    <oc r="S97">
      <f>H97*E97</f>
    </oc>
    <nc r="S97">
      <f>H97*E97</f>
    </nc>
  </rcc>
  <rcc rId="1803" sId="13">
    <oc r="T97">
      <f>I97*E97</f>
    </oc>
    <nc r="T97">
      <f>I97*E97</f>
    </nc>
  </rcc>
  <rcc rId="1804" sId="13">
    <oc r="U97">
      <f>J97*E97</f>
    </oc>
    <nc r="U97">
      <f>J97*E97</f>
    </nc>
  </rcc>
  <rcc rId="1805" sId="13">
    <oc r="V97">
      <f>K97*E97</f>
    </oc>
    <nc r="V97">
      <f>K97*E97</f>
    </nc>
  </rcc>
  <rcc rId="1806" sId="13">
    <oc r="S98">
      <f>H98*E98</f>
    </oc>
    <nc r="S98">
      <f>H98*E98</f>
    </nc>
  </rcc>
  <rcc rId="1807" sId="13">
    <oc r="T98">
      <f>I98*E98</f>
    </oc>
    <nc r="T98">
      <f>I98*E98</f>
    </nc>
  </rcc>
  <rcc rId="1808" sId="13">
    <oc r="U98">
      <f>J98*E98</f>
    </oc>
    <nc r="U98">
      <f>J98*E98</f>
    </nc>
  </rcc>
  <rcc rId="1809" sId="13">
    <oc r="V98">
      <f>K98*E98</f>
    </oc>
    <nc r="V98">
      <f>K98*E98</f>
    </nc>
  </rcc>
  <rcc rId="1810" sId="13">
    <oc r="S99">
      <f>H99*E99</f>
    </oc>
    <nc r="S99">
      <f>H99*E99</f>
    </nc>
  </rcc>
  <rcc rId="1811" sId="13">
    <oc r="T99">
      <f>I99*E99</f>
    </oc>
    <nc r="T99">
      <f>I99*E99</f>
    </nc>
  </rcc>
  <rcc rId="1812" sId="13">
    <oc r="U99">
      <f>J99*E99</f>
    </oc>
    <nc r="U99">
      <f>J99*E99</f>
    </nc>
  </rcc>
  <rcc rId="1813" sId="13">
    <oc r="V99">
      <f>K99*E99</f>
    </oc>
    <nc r="V99">
      <f>K99*E99</f>
    </nc>
  </rcc>
  <rcc rId="1814" sId="13">
    <oc r="S100">
      <f>H100*E100</f>
    </oc>
    <nc r="S100">
      <f>H100*E100</f>
    </nc>
  </rcc>
  <rcc rId="1815" sId="13">
    <oc r="T100">
      <f>I100*E100</f>
    </oc>
    <nc r="T100">
      <f>I100*E100</f>
    </nc>
  </rcc>
  <rcc rId="1816" sId="13">
    <oc r="U100">
      <f>J100*E100</f>
    </oc>
    <nc r="U100">
      <f>J100*E100</f>
    </nc>
  </rcc>
  <rcc rId="1817" sId="13">
    <oc r="V100">
      <f>K100*E100</f>
    </oc>
    <nc r="V100">
      <f>K100*E100</f>
    </nc>
  </rcc>
  <rcc rId="1818" sId="13">
    <oc r="S101">
      <f>H101*E101</f>
    </oc>
    <nc r="S101">
      <f>H101*E101</f>
    </nc>
  </rcc>
  <rcc rId="1819" sId="13">
    <oc r="T101">
      <f>I101*E101</f>
    </oc>
    <nc r="T101">
      <f>I101*E101</f>
    </nc>
  </rcc>
  <rcc rId="1820" sId="13">
    <oc r="U101">
      <f>J101*E101</f>
    </oc>
    <nc r="U101">
      <f>J101*E101</f>
    </nc>
  </rcc>
  <rcc rId="1821" sId="13">
    <oc r="V101">
      <f>K101*E101</f>
    </oc>
    <nc r="V101">
      <f>K101*E101</f>
    </nc>
  </rcc>
  <rcc rId="1822" sId="13">
    <oc r="S102">
      <f>H102*E102</f>
    </oc>
    <nc r="S102">
      <f>H102*E102</f>
    </nc>
  </rcc>
  <rcc rId="1823" sId="13">
    <oc r="T102">
      <f>I102*E102</f>
    </oc>
    <nc r="T102">
      <f>I102*E102</f>
    </nc>
  </rcc>
  <rcc rId="1824" sId="13">
    <oc r="U102">
      <f>J102*E102</f>
    </oc>
    <nc r="U102">
      <f>J102*E102</f>
    </nc>
  </rcc>
  <rcc rId="1825" sId="13">
    <oc r="V102">
      <f>K102*E102</f>
    </oc>
    <nc r="V102">
      <f>K102*E102</f>
    </nc>
  </rcc>
  <rcc rId="1826" sId="13">
    <oc r="S103">
      <f>H103*E103</f>
    </oc>
    <nc r="S103">
      <f>H103*E103</f>
    </nc>
  </rcc>
  <rcc rId="1827" sId="13">
    <oc r="T103">
      <f>I103*E103</f>
    </oc>
    <nc r="T103">
      <f>I103*E103</f>
    </nc>
  </rcc>
  <rcc rId="1828" sId="13">
    <oc r="U103">
      <f>J103*E103</f>
    </oc>
    <nc r="U103">
      <f>J103*E103</f>
    </nc>
  </rcc>
  <rcc rId="1829" sId="13">
    <oc r="V103">
      <f>K103*E103</f>
    </oc>
    <nc r="V103">
      <f>K103*E103</f>
    </nc>
  </rcc>
  <rcc rId="1830" sId="13">
    <oc r="S104">
      <f>H104*E104</f>
    </oc>
    <nc r="S104">
      <f>H104*E104</f>
    </nc>
  </rcc>
  <rcc rId="1831" sId="13">
    <oc r="T104">
      <f>I104*E104</f>
    </oc>
    <nc r="T104">
      <f>I104*E104</f>
    </nc>
  </rcc>
  <rcc rId="1832" sId="13">
    <oc r="U104">
      <f>J104*E104</f>
    </oc>
    <nc r="U104">
      <f>J104*E104</f>
    </nc>
  </rcc>
  <rcc rId="1833" sId="13">
    <oc r="V104">
      <f>K104*E104</f>
    </oc>
    <nc r="V104">
      <f>K104*E104</f>
    </nc>
  </rcc>
  <rcc rId="1834" sId="13">
    <oc r="S105">
      <f>H105*E105</f>
    </oc>
    <nc r="S105">
      <f>H105*E105</f>
    </nc>
  </rcc>
  <rcc rId="1835" sId="13">
    <oc r="T105">
      <f>I105*E105</f>
    </oc>
    <nc r="T105">
      <f>I105*E105</f>
    </nc>
  </rcc>
  <rcc rId="1836" sId="13">
    <oc r="U105">
      <f>J105*E105</f>
    </oc>
    <nc r="U105">
      <f>J105*E105</f>
    </nc>
  </rcc>
  <rcc rId="1837" sId="13">
    <oc r="V105">
      <f>K105*E105</f>
    </oc>
    <nc r="V105">
      <f>K105*E105</f>
    </nc>
  </rcc>
  <rcc rId="1838" sId="13">
    <oc r="S106">
      <f>H106*E106</f>
    </oc>
    <nc r="S106">
      <f>H106*E106</f>
    </nc>
  </rcc>
  <rcc rId="1839" sId="13">
    <oc r="T106">
      <f>I106*E106</f>
    </oc>
    <nc r="T106">
      <f>I106*E106</f>
    </nc>
  </rcc>
  <rcc rId="1840" sId="13">
    <oc r="U106">
      <f>J106*E106</f>
    </oc>
    <nc r="U106">
      <f>J106*E106</f>
    </nc>
  </rcc>
  <rcc rId="1841" sId="13">
    <oc r="V106">
      <f>K106*E106</f>
    </oc>
    <nc r="V106">
      <f>K106*E106</f>
    </nc>
  </rcc>
  <rcc rId="1842" sId="13">
    <oc r="S107">
      <f>H107*E107</f>
    </oc>
    <nc r="S107">
      <f>H107*E107</f>
    </nc>
  </rcc>
  <rcc rId="1843" sId="13">
    <oc r="T107">
      <f>I107*E107</f>
    </oc>
    <nc r="T107">
      <f>I107*E107</f>
    </nc>
  </rcc>
  <rcc rId="1844" sId="13">
    <oc r="U107">
      <f>J107*E107</f>
    </oc>
    <nc r="U107">
      <f>J107*E107</f>
    </nc>
  </rcc>
  <rcc rId="1845" sId="13">
    <oc r="V107">
      <f>K107*E107</f>
    </oc>
    <nc r="V107">
      <f>K107*E107</f>
    </nc>
  </rcc>
  <rcc rId="1846" sId="13">
    <oc r="S108">
      <f>H108*E108</f>
    </oc>
    <nc r="S108">
      <f>H108*E108</f>
    </nc>
  </rcc>
  <rcc rId="1847" sId="13">
    <oc r="T108">
      <f>I108*E108</f>
    </oc>
    <nc r="T108">
      <f>I108*E108</f>
    </nc>
  </rcc>
  <rcc rId="1848" sId="13">
    <oc r="U108">
      <f>J108*E108</f>
    </oc>
    <nc r="U108">
      <f>J108*E108</f>
    </nc>
  </rcc>
  <rcc rId="1849" sId="13">
    <oc r="V108">
      <f>K108*E108</f>
    </oc>
    <nc r="V108">
      <f>K108*E108</f>
    </nc>
  </rcc>
  <rcc rId="1850" sId="13">
    <oc r="S109">
      <f>H109*E109</f>
    </oc>
    <nc r="S109">
      <f>H109*E109</f>
    </nc>
  </rcc>
  <rcc rId="1851" sId="13">
    <oc r="T109">
      <f>I109*E109</f>
    </oc>
    <nc r="T109">
      <f>I109*E109</f>
    </nc>
  </rcc>
  <rcc rId="1852" sId="13">
    <oc r="U109">
      <f>J109*E109</f>
    </oc>
    <nc r="U109">
      <f>J109*E109</f>
    </nc>
  </rcc>
  <rcc rId="1853" sId="13">
    <oc r="V109">
      <f>K109*E109</f>
    </oc>
    <nc r="V109">
      <f>K109*E109</f>
    </nc>
  </rcc>
  <rcc rId="1854" sId="13">
    <oc r="S110">
      <f>H110*E110</f>
    </oc>
    <nc r="S110">
      <f>H110*E110</f>
    </nc>
  </rcc>
  <rcc rId="1855" sId="13">
    <oc r="T110">
      <f>I110*E110</f>
    </oc>
    <nc r="T110">
      <f>I110*E110</f>
    </nc>
  </rcc>
  <rcc rId="1856" sId="13">
    <oc r="U110">
      <f>J110*E110</f>
    </oc>
    <nc r="U110">
      <f>J110*E110</f>
    </nc>
  </rcc>
  <rcc rId="1857" sId="13">
    <oc r="V110">
      <f>K110*E110</f>
    </oc>
    <nc r="V110">
      <f>K110*E110</f>
    </nc>
  </rcc>
  <rcc rId="1858" sId="13">
    <oc r="S111">
      <f>H111*E111</f>
    </oc>
    <nc r="S111">
      <f>H111*E111</f>
    </nc>
  </rcc>
  <rcc rId="1859" sId="13">
    <oc r="T111">
      <f>I111*E111</f>
    </oc>
    <nc r="T111">
      <f>I111*E111</f>
    </nc>
  </rcc>
  <rcc rId="1860" sId="13">
    <oc r="U111">
      <f>J111*E111</f>
    </oc>
    <nc r="U111">
      <f>J111*E111</f>
    </nc>
  </rcc>
  <rcc rId="1861" sId="13">
    <oc r="V111">
      <f>K111*E111</f>
    </oc>
    <nc r="V111">
      <f>K111*E111</f>
    </nc>
  </rcc>
  <rcc rId="1862" sId="13">
    <oc r="S112">
      <f>H112*E112</f>
    </oc>
    <nc r="S112">
      <f>H112*E112</f>
    </nc>
  </rcc>
  <rcc rId="1863" sId="13">
    <oc r="T112">
      <f>I112*E112</f>
    </oc>
    <nc r="T112">
      <f>I112*E112</f>
    </nc>
  </rcc>
  <rcc rId="1864" sId="13">
    <oc r="U112">
      <f>J112*E112</f>
    </oc>
    <nc r="U112">
      <f>J112*E112</f>
    </nc>
  </rcc>
  <rcc rId="1865" sId="13">
    <oc r="V112">
      <f>K112*E112</f>
    </oc>
    <nc r="V112">
      <f>K112*E112</f>
    </nc>
  </rcc>
  <rcc rId="1866" sId="13">
    <oc r="S113">
      <f>H113*E113</f>
    </oc>
    <nc r="S113">
      <f>H113*E113</f>
    </nc>
  </rcc>
  <rcc rId="1867" sId="13">
    <oc r="T113">
      <f>I113*E113</f>
    </oc>
    <nc r="T113">
      <f>I113*E113</f>
    </nc>
  </rcc>
  <rcc rId="1868" sId="13">
    <oc r="U113">
      <f>J113*E113</f>
    </oc>
    <nc r="U113">
      <f>J113*E113</f>
    </nc>
  </rcc>
  <rcc rId="1869" sId="13">
    <oc r="V113">
      <f>K113*E113</f>
    </oc>
    <nc r="V113">
      <f>K113*E113</f>
    </nc>
  </rcc>
  <rcc rId="1870" sId="13">
    <oc r="S114">
      <f>H114*E114</f>
    </oc>
    <nc r="S114">
      <f>H114*E114</f>
    </nc>
  </rcc>
  <rcc rId="1871" sId="13">
    <oc r="T114">
      <f>I114*E114</f>
    </oc>
    <nc r="T114">
      <f>I114*E114</f>
    </nc>
  </rcc>
  <rcc rId="1872" sId="13">
    <oc r="U114">
      <f>J114*E114</f>
    </oc>
    <nc r="U114">
      <f>J114*E114</f>
    </nc>
  </rcc>
  <rcc rId="1873" sId="13">
    <oc r="V114">
      <f>K114*E114</f>
    </oc>
    <nc r="V114">
      <f>K114*E114</f>
    </nc>
  </rcc>
  <rcc rId="1874" sId="13">
    <oc r="S115">
      <f>H115*E115</f>
    </oc>
    <nc r="S115">
      <f>H115*E115</f>
    </nc>
  </rcc>
  <rcc rId="1875" sId="13">
    <oc r="T115">
      <f>I115*E115</f>
    </oc>
    <nc r="T115">
      <f>I115*E115</f>
    </nc>
  </rcc>
  <rcc rId="1876" sId="13">
    <oc r="U115">
      <f>J115*E115</f>
    </oc>
    <nc r="U115">
      <f>J115*E115</f>
    </nc>
  </rcc>
  <rcc rId="1877" sId="13">
    <oc r="V115">
      <f>K115*E115</f>
    </oc>
    <nc r="V115">
      <f>K115*E115</f>
    </nc>
  </rcc>
  <rcc rId="1878" sId="13">
    <oc r="S116">
      <f>H116*E116</f>
    </oc>
    <nc r="S116">
      <f>H116*E116</f>
    </nc>
  </rcc>
  <rcc rId="1879" sId="13">
    <oc r="T116">
      <f>I116*E116</f>
    </oc>
    <nc r="T116">
      <f>I116*E116</f>
    </nc>
  </rcc>
  <rcc rId="1880" sId="13">
    <oc r="U116">
      <f>J116*E116</f>
    </oc>
    <nc r="U116">
      <f>J116*E116</f>
    </nc>
  </rcc>
  <rcc rId="1881" sId="13">
    <oc r="V116">
      <f>K116*E116</f>
    </oc>
    <nc r="V116">
      <f>K116*E116</f>
    </nc>
  </rcc>
  <rcc rId="1882" sId="13">
    <oc r="S117">
      <f>H117*E117</f>
    </oc>
    <nc r="S117">
      <f>H117*E117</f>
    </nc>
  </rcc>
  <rcc rId="1883" sId="13">
    <oc r="T117">
      <f>I117*E117</f>
    </oc>
    <nc r="T117">
      <f>I117*E117</f>
    </nc>
  </rcc>
  <rcc rId="1884" sId="13">
    <oc r="U117">
      <f>J117*E117</f>
    </oc>
    <nc r="U117">
      <f>J117*E117</f>
    </nc>
  </rcc>
  <rcc rId="1885" sId="13">
    <oc r="V117">
      <f>K117*E117</f>
    </oc>
    <nc r="V117">
      <f>K117*E117</f>
    </nc>
  </rcc>
  <rcc rId="1886" sId="13">
    <oc r="S118">
      <f>H118*E118</f>
    </oc>
    <nc r="S118">
      <f>H118*E118</f>
    </nc>
  </rcc>
  <rcc rId="1887" sId="13">
    <oc r="T118">
      <f>I118*E118</f>
    </oc>
    <nc r="T118">
      <f>I118*E118</f>
    </nc>
  </rcc>
  <rcc rId="1888" sId="13">
    <oc r="U118">
      <f>J118*E118</f>
    </oc>
    <nc r="U118">
      <f>J118*E118</f>
    </nc>
  </rcc>
  <rcc rId="1889" sId="13">
    <oc r="V118">
      <f>K118*E118</f>
    </oc>
    <nc r="V118">
      <f>K118*E118</f>
    </nc>
  </rcc>
  <rcc rId="1890" sId="13">
    <oc r="S119">
      <f>H119*E119</f>
    </oc>
    <nc r="S119">
      <f>H119*E119</f>
    </nc>
  </rcc>
  <rcc rId="1891" sId="13">
    <oc r="T119">
      <f>I119*E119</f>
    </oc>
    <nc r="T119">
      <f>I119*E119</f>
    </nc>
  </rcc>
  <rcc rId="1892" sId="13">
    <oc r="U119">
      <f>J119*E119</f>
    </oc>
    <nc r="U119">
      <f>J119*E119</f>
    </nc>
  </rcc>
  <rcc rId="1893" sId="13">
    <oc r="V119">
      <f>K119*E119</f>
    </oc>
    <nc r="V119">
      <f>K119*E119</f>
    </nc>
  </rcc>
  <rcc rId="1894" sId="13">
    <nc r="S120">
      <f>H120*E120</f>
    </nc>
  </rcc>
  <rcc rId="1895" sId="13">
    <nc r="T120">
      <f>I120*E120</f>
    </nc>
  </rcc>
  <rcc rId="1896" sId="13">
    <nc r="U120">
      <f>J120*E120</f>
    </nc>
  </rcc>
  <rcc rId="1897" sId="13">
    <nc r="V120">
      <f>K120*E120</f>
    </nc>
  </rcc>
  <rcc rId="1898" sId="13">
    <nc r="S121">
      <f>H121*E121</f>
    </nc>
  </rcc>
  <rcc rId="1899" sId="13">
    <nc r="T121">
      <f>I121*E121</f>
    </nc>
  </rcc>
  <rcc rId="1900" sId="13">
    <nc r="U121">
      <f>J121*E121</f>
    </nc>
  </rcc>
  <rcc rId="1901" sId="13">
    <nc r="V121">
      <f>K121*E121</f>
    </nc>
  </rcc>
  <rcc rId="1902" sId="13">
    <nc r="S122">
      <f>H122*E122</f>
    </nc>
  </rcc>
  <rcc rId="1903" sId="13">
    <nc r="T122">
      <f>I122*E122</f>
    </nc>
  </rcc>
  <rcc rId="1904" sId="13">
    <nc r="U122">
      <f>J122*E122</f>
    </nc>
  </rcc>
  <rcc rId="1905" sId="13">
    <nc r="V122">
      <f>K122*E122</f>
    </nc>
  </rcc>
  <rcc rId="1906" sId="13">
    <nc r="S123">
      <f>H123*E123</f>
    </nc>
  </rcc>
  <rcc rId="1907" sId="13">
    <nc r="T123">
      <f>I123*E123</f>
    </nc>
  </rcc>
  <rcc rId="1908" sId="13">
    <nc r="U123">
      <f>J123*E123</f>
    </nc>
  </rcc>
  <rcc rId="1909" sId="13">
    <nc r="V123">
      <f>K123*E123</f>
    </nc>
  </rcc>
  <rcc rId="1910" sId="13">
    <nc r="S124">
      <f>H124*E124</f>
    </nc>
  </rcc>
  <rcc rId="1911" sId="13">
    <nc r="T124">
      <f>I124*E124</f>
    </nc>
  </rcc>
  <rcc rId="1912" sId="13">
    <nc r="U124">
      <f>J124*E124</f>
    </nc>
  </rcc>
  <rcc rId="1913" sId="13">
    <nc r="V124">
      <f>K124*E124</f>
    </nc>
  </rcc>
  <rcc rId="1914" sId="13">
    <nc r="S125">
      <f>H125*E125</f>
    </nc>
  </rcc>
  <rcc rId="1915" sId="13">
    <nc r="T125">
      <f>I125*E125</f>
    </nc>
  </rcc>
  <rcc rId="1916" sId="13">
    <nc r="U125">
      <f>J125*E125</f>
    </nc>
  </rcc>
  <rcc rId="1917" sId="13">
    <nc r="V125">
      <f>K125*E125</f>
    </nc>
  </rcc>
  <rcc rId="1918" sId="13">
    <nc r="S126">
      <f>H126*E126</f>
    </nc>
  </rcc>
  <rcc rId="1919" sId="13">
    <nc r="T126">
      <f>I126*E126</f>
    </nc>
  </rcc>
  <rcc rId="1920" sId="13">
    <nc r="U126">
      <f>J126*E126</f>
    </nc>
  </rcc>
  <rcc rId="1921" sId="13">
    <nc r="V126">
      <f>K126*E126</f>
    </nc>
  </rcc>
  <rcc rId="1922" sId="13">
    <nc r="S127">
      <f>H127*E127</f>
    </nc>
  </rcc>
  <rcc rId="1923" sId="13">
    <nc r="T127">
      <f>I127*E127</f>
    </nc>
  </rcc>
  <rcc rId="1924" sId="13">
    <nc r="U127">
      <f>J127*E127</f>
    </nc>
  </rcc>
  <rcc rId="1925" sId="13">
    <nc r="V127">
      <f>K127*E127</f>
    </nc>
  </rcc>
  <rcc rId="1926" sId="13">
    <nc r="S128">
      <f>H128*E128</f>
    </nc>
  </rcc>
  <rcc rId="1927" sId="13">
    <nc r="T128">
      <f>I128*E128</f>
    </nc>
  </rcc>
  <rcc rId="1928" sId="13">
    <nc r="U128">
      <f>J128*E128</f>
    </nc>
  </rcc>
  <rcc rId="1929" sId="13">
    <nc r="V128">
      <f>K128*E128</f>
    </nc>
  </rcc>
  <rcc rId="1930" sId="13">
    <nc r="S129">
      <f>H129*E129</f>
    </nc>
  </rcc>
  <rcc rId="1931" sId="13">
    <nc r="T129">
      <f>I129*E129</f>
    </nc>
  </rcc>
  <rcc rId="1932" sId="13">
    <nc r="U129">
      <f>J129*E129</f>
    </nc>
  </rcc>
  <rcc rId="1933" sId="13">
    <nc r="V129">
      <f>K129*E129</f>
    </nc>
  </rcc>
  <rcc rId="1934" sId="13">
    <nc r="S130">
      <f>H130*E130</f>
    </nc>
  </rcc>
  <rcc rId="1935" sId="13">
    <nc r="T130">
      <f>I130*E130</f>
    </nc>
  </rcc>
  <rcc rId="1936" sId="13">
    <nc r="U130">
      <f>J130*E130</f>
    </nc>
  </rcc>
  <rcc rId="1937" sId="13">
    <nc r="V130">
      <f>K130*E130</f>
    </nc>
  </rcc>
  <rcc rId="1938" sId="13">
    <nc r="S131">
      <f>H131*E131</f>
    </nc>
  </rcc>
  <rcc rId="1939" sId="13">
    <nc r="T131">
      <f>I131*E131</f>
    </nc>
  </rcc>
  <rcc rId="1940" sId="13">
    <nc r="U131">
      <f>J131*E131</f>
    </nc>
  </rcc>
  <rcc rId="1941" sId="13">
    <nc r="V131">
      <f>K131*E131</f>
    </nc>
  </rcc>
  <rcc rId="1942" sId="13">
    <nc r="S133">
      <f>H133*E133</f>
    </nc>
  </rcc>
  <rcc rId="1943" sId="13">
    <nc r="T133">
      <f>I133*E133</f>
    </nc>
  </rcc>
  <rcc rId="1944" sId="13">
    <nc r="U133">
      <f>J133*E133</f>
    </nc>
  </rcc>
  <rcc rId="1945" sId="13">
    <nc r="V133">
      <f>K133*E133</f>
    </nc>
  </rcc>
  <rcc rId="1946" sId="13">
    <oc r="S134">
      <f>H134*E134</f>
    </oc>
    <nc r="S134">
      <f>H134*E134</f>
    </nc>
  </rcc>
  <rcc rId="1947" sId="13">
    <oc r="T134">
      <f>I134*E134</f>
    </oc>
    <nc r="T134">
      <f>I134*E134</f>
    </nc>
  </rcc>
  <rcc rId="1948" sId="13">
    <oc r="U134">
      <f>J134*E134</f>
    </oc>
    <nc r="U134">
      <f>J134*E134</f>
    </nc>
  </rcc>
  <rcc rId="1949" sId="13">
    <oc r="V134">
      <f>K134*E134</f>
    </oc>
    <nc r="V134">
      <f>K134*E134</f>
    </nc>
  </rcc>
  <rcc rId="1950" sId="13">
    <oc r="S135">
      <f>H135*E135</f>
    </oc>
    <nc r="S135">
      <f>H135*E135</f>
    </nc>
  </rcc>
  <rcc rId="1951" sId="13">
    <oc r="T135">
      <f>I135*E135</f>
    </oc>
    <nc r="T135">
      <f>I135*E135</f>
    </nc>
  </rcc>
  <rcc rId="1952" sId="13">
    <oc r="U135">
      <f>J135*E135</f>
    </oc>
    <nc r="U135">
      <f>J135*E135</f>
    </nc>
  </rcc>
  <rcc rId="1953" sId="13">
    <oc r="V135">
      <f>K135*E135</f>
    </oc>
    <nc r="V135">
      <f>K135*E135</f>
    </nc>
  </rcc>
  <rcc rId="1954" sId="13">
    <oc r="S136">
      <f>H136*E136</f>
    </oc>
    <nc r="S136">
      <f>H136*E136</f>
    </nc>
  </rcc>
  <rcc rId="1955" sId="13">
    <oc r="T136">
      <f>I136*E136</f>
    </oc>
    <nc r="T136">
      <f>I136*E136</f>
    </nc>
  </rcc>
  <rcc rId="1956" sId="13">
    <oc r="U136">
      <f>J136*E136</f>
    </oc>
    <nc r="U136">
      <f>J136*E136</f>
    </nc>
  </rcc>
  <rcc rId="1957" sId="13">
    <oc r="V136">
      <f>K136*E136</f>
    </oc>
    <nc r="V136">
      <f>K136*E136</f>
    </nc>
  </rcc>
  <rcc rId="1958" sId="13">
    <oc r="S137">
      <f>H137*E137</f>
    </oc>
    <nc r="S137">
      <f>H137*E137</f>
    </nc>
  </rcc>
  <rcc rId="1959" sId="13">
    <oc r="T137">
      <f>I137*E137</f>
    </oc>
    <nc r="T137">
      <f>I137*E137</f>
    </nc>
  </rcc>
  <rcc rId="1960" sId="13">
    <oc r="U137">
      <f>J137*E137</f>
    </oc>
    <nc r="U137">
      <f>J137*E137</f>
    </nc>
  </rcc>
  <rcc rId="1961" sId="13">
    <oc r="V137">
      <f>K137*E137</f>
    </oc>
    <nc r="V137">
      <f>K137*E137</f>
    </nc>
  </rcc>
  <rcc rId="1962" sId="13">
    <oc r="S138">
      <f>H138*E138</f>
    </oc>
    <nc r="S138">
      <f>H138*E138</f>
    </nc>
  </rcc>
  <rcc rId="1963" sId="13">
    <oc r="T138">
      <f>I138*E138</f>
    </oc>
    <nc r="T138">
      <f>I138*E138</f>
    </nc>
  </rcc>
  <rcc rId="1964" sId="13">
    <oc r="U138">
      <f>J138*E138</f>
    </oc>
    <nc r="U138">
      <f>J138*E138</f>
    </nc>
  </rcc>
  <rcc rId="1965" sId="13">
    <oc r="V138">
      <f>K138*E138</f>
    </oc>
    <nc r="V138">
      <f>K138*E138</f>
    </nc>
  </rcc>
  <rcc rId="1966" sId="13">
    <oc r="S139">
      <f>H139*E139</f>
    </oc>
    <nc r="S139">
      <f>H139*E139</f>
    </nc>
  </rcc>
  <rcc rId="1967" sId="13">
    <oc r="T139">
      <f>I139*E139</f>
    </oc>
    <nc r="T139">
      <f>I139*E139</f>
    </nc>
  </rcc>
  <rcc rId="1968" sId="13">
    <oc r="U139">
      <f>J139*E139</f>
    </oc>
    <nc r="U139">
      <f>J139*E139</f>
    </nc>
  </rcc>
  <rcc rId="1969" sId="13">
    <oc r="V139">
      <f>K139*E139</f>
    </oc>
    <nc r="V139">
      <f>K139*E139</f>
    </nc>
  </rcc>
  <rcc rId="1970" sId="13">
    <oc r="S140">
      <f>H140*E140</f>
    </oc>
    <nc r="S140">
      <f>H140*E140</f>
    </nc>
  </rcc>
  <rcc rId="1971" sId="13">
    <oc r="T140">
      <f>I140*E140</f>
    </oc>
    <nc r="T140">
      <f>I140*E140</f>
    </nc>
  </rcc>
  <rcc rId="1972" sId="13">
    <oc r="U140">
      <f>J140*E140</f>
    </oc>
    <nc r="U140">
      <f>J140*E140</f>
    </nc>
  </rcc>
  <rcc rId="1973" sId="13">
    <oc r="V140">
      <f>K140*E140</f>
    </oc>
    <nc r="V140">
      <f>K140*E140</f>
    </nc>
  </rcc>
  <rfmt sheetId="13" sqref="W143" start="0" length="0">
    <dxf>
      <font>
        <sz val="10"/>
        <color indexed="8"/>
        <name val="Arial"/>
        <scheme val="none"/>
      </font>
    </dxf>
  </rfmt>
  <rfmt sheetId="13" sqref="W144" start="0" length="0">
    <dxf>
      <font>
        <sz val="10"/>
        <color indexed="8"/>
        <name val="Arial"/>
        <scheme val="none"/>
      </font>
    </dxf>
  </rfmt>
  <rfmt sheetId="13" sqref="W145" start="0" length="0">
    <dxf>
      <font>
        <sz val="10"/>
        <color indexed="8"/>
        <name val="Arial"/>
        <scheme val="none"/>
      </font>
    </dxf>
  </rfmt>
  <rfmt sheetId="13" sqref="W146" start="0" length="0">
    <dxf>
      <font>
        <sz val="10"/>
        <color indexed="8"/>
        <name val="Arial"/>
        <scheme val="none"/>
      </font>
    </dxf>
  </rfmt>
  <rfmt sheetId="13" sqref="W147" start="0" length="0">
    <dxf>
      <font>
        <sz val="10"/>
        <color indexed="8"/>
        <name val="Arial"/>
        <scheme val="none"/>
      </font>
    </dxf>
  </rfmt>
  <rfmt sheetId="13" sqref="W148" start="0" length="0">
    <dxf>
      <font>
        <sz val="10"/>
        <color indexed="8"/>
        <name val="Arial"/>
        <scheme val="none"/>
      </font>
    </dxf>
  </rfmt>
  <rfmt sheetId="13" sqref="W149" start="0" length="0">
    <dxf>
      <font>
        <sz val="10"/>
        <color indexed="8"/>
        <name val="Arial"/>
        <scheme val="none"/>
      </font>
    </dxf>
  </rfmt>
  <rfmt sheetId="13" sqref="W150" start="0" length="0">
    <dxf>
      <font>
        <sz val="10"/>
        <color indexed="8"/>
        <name val="Arial"/>
        <scheme val="none"/>
      </font>
    </dxf>
  </rfmt>
  <rfmt sheetId="13" sqref="W151" start="0" length="0">
    <dxf>
      <font>
        <sz val="10"/>
        <color indexed="8"/>
        <name val="Arial"/>
        <scheme val="none"/>
      </font>
    </dxf>
  </rfmt>
  <rfmt sheetId="13" sqref="W152" start="0" length="0">
    <dxf>
      <font>
        <sz val="10"/>
        <color indexed="8"/>
        <name val="Arial"/>
        <scheme val="none"/>
      </font>
    </dxf>
  </rfmt>
  <rfmt sheetId="13" sqref="W153" start="0" length="0">
    <dxf>
      <font>
        <sz val="10"/>
        <color indexed="8"/>
        <name val="Arial"/>
        <scheme val="none"/>
      </font>
    </dxf>
  </rfmt>
  <rfmt sheetId="13" sqref="W154" start="0" length="0">
    <dxf>
      <font>
        <sz val="10"/>
        <color indexed="8"/>
        <name val="Arial"/>
        <scheme val="none"/>
      </font>
    </dxf>
  </rfmt>
  <rfmt sheetId="13" sqref="W155" start="0" length="0">
    <dxf>
      <font>
        <sz val="10"/>
        <color indexed="8"/>
        <name val="Arial"/>
        <scheme val="none"/>
      </font>
    </dxf>
  </rfmt>
  <rfmt sheetId="13" sqref="W156" start="0" length="0">
    <dxf>
      <font>
        <sz val="10"/>
        <color indexed="8"/>
        <name val="Arial"/>
        <scheme val="none"/>
      </font>
    </dxf>
  </rfmt>
  <rfmt sheetId="13" sqref="W157" start="0" length="0">
    <dxf>
      <font>
        <sz val="10"/>
        <color indexed="8"/>
        <name val="Arial"/>
        <scheme val="none"/>
      </font>
    </dxf>
  </rfmt>
  <rfmt sheetId="13" sqref="W158" start="0" length="0">
    <dxf>
      <font>
        <sz val="10"/>
        <color indexed="8"/>
        <name val="Arial"/>
        <scheme val="none"/>
      </font>
    </dxf>
  </rfmt>
  <rfmt sheetId="13" sqref="W159" start="0" length="0">
    <dxf>
      <font>
        <sz val="10"/>
        <color indexed="8"/>
        <name val="Arial"/>
        <scheme val="none"/>
      </font>
    </dxf>
  </rfmt>
  <rfmt sheetId="13" sqref="W160" start="0" length="0">
    <dxf>
      <font>
        <sz val="10"/>
        <color indexed="8"/>
        <name val="Arial"/>
        <scheme val="none"/>
      </font>
    </dxf>
  </rfmt>
  <rfmt sheetId="13" sqref="W161" start="0" length="0">
    <dxf>
      <font>
        <sz val="10"/>
        <color indexed="8"/>
        <name val="Arial"/>
        <scheme val="none"/>
      </font>
    </dxf>
  </rfmt>
  <rfmt sheetId="13" sqref="W162" start="0" length="0">
    <dxf>
      <font>
        <sz val="10"/>
        <color indexed="8"/>
        <name val="Arial"/>
        <scheme val="none"/>
      </font>
    </dxf>
  </rfmt>
  <rfmt sheetId="13" sqref="W163" start="0" length="0">
    <dxf>
      <font>
        <sz val="10"/>
        <color indexed="8"/>
        <name val="Arial"/>
        <scheme val="none"/>
      </font>
    </dxf>
  </rfmt>
  <rfmt sheetId="13" sqref="W164" start="0" length="0">
    <dxf>
      <font>
        <sz val="10"/>
        <color indexed="8"/>
        <name val="Arial"/>
        <scheme val="none"/>
      </font>
    </dxf>
  </rfmt>
  <rfmt sheetId="13" sqref="W165" start="0" length="0">
    <dxf>
      <font>
        <sz val="10"/>
        <color indexed="8"/>
        <name val="Arial"/>
        <scheme val="none"/>
      </font>
    </dxf>
  </rfmt>
  <rfmt sheetId="13" sqref="W166" start="0" length="0">
    <dxf>
      <font>
        <sz val="10"/>
        <color indexed="8"/>
        <name val="Arial"/>
        <scheme val="none"/>
      </font>
    </dxf>
  </rfmt>
  <rfmt sheetId="13" sqref="W167" start="0" length="0">
    <dxf>
      <font>
        <sz val="10"/>
        <color indexed="8"/>
        <name val="Arial"/>
        <scheme val="none"/>
      </font>
    </dxf>
  </rfmt>
  <rfmt sheetId="13" sqref="W168" start="0" length="0">
    <dxf>
      <font>
        <sz val="10"/>
        <color indexed="8"/>
        <name val="Arial"/>
        <scheme val="none"/>
      </font>
    </dxf>
  </rfmt>
  <rfmt sheetId="13" sqref="W169" start="0" length="0">
    <dxf>
      <font>
        <sz val="10"/>
        <color indexed="8"/>
        <name val="Arial"/>
        <scheme val="none"/>
      </font>
    </dxf>
  </rfmt>
  <rfmt sheetId="13" sqref="W170" start="0" length="0">
    <dxf>
      <font>
        <sz val="10"/>
        <color indexed="8"/>
        <name val="Arial"/>
        <scheme val="none"/>
      </font>
    </dxf>
  </rfmt>
  <rfmt sheetId="13" sqref="W171" start="0" length="0">
    <dxf>
      <font>
        <sz val="10"/>
        <color indexed="8"/>
        <name val="Arial"/>
        <scheme val="none"/>
      </font>
    </dxf>
  </rfmt>
  <rfmt sheetId="13" sqref="W172" start="0" length="0">
    <dxf>
      <font>
        <sz val="10"/>
        <color indexed="8"/>
        <name val="Arial"/>
        <scheme val="none"/>
      </font>
    </dxf>
  </rfmt>
  <rfmt sheetId="13" sqref="W173" start="0" length="0">
    <dxf>
      <font>
        <sz val="10"/>
        <color indexed="8"/>
        <name val="Arial"/>
        <scheme val="none"/>
      </font>
    </dxf>
  </rfmt>
  <rfmt sheetId="13" sqref="W174" start="0" length="0">
    <dxf>
      <font>
        <sz val="10"/>
        <color indexed="8"/>
        <name val="Arial"/>
        <scheme val="none"/>
      </font>
    </dxf>
  </rfmt>
  <rfmt sheetId="13" sqref="W175" start="0" length="0">
    <dxf>
      <font>
        <sz val="10"/>
        <color indexed="8"/>
        <name val="Arial"/>
        <scheme val="none"/>
      </font>
    </dxf>
  </rfmt>
  <rfmt sheetId="13" sqref="S176" start="0" length="0">
    <dxf>
      <font>
        <sz val="10"/>
        <color indexed="8"/>
        <name val="Arial"/>
        <scheme val="none"/>
      </font>
    </dxf>
  </rfmt>
  <rfmt sheetId="13" sqref="T176" start="0" length="0">
    <dxf>
      <font>
        <sz val="10"/>
        <color indexed="8"/>
        <name val="Arial"/>
        <scheme val="none"/>
      </font>
    </dxf>
  </rfmt>
  <rfmt sheetId="13" sqref="U176" start="0" length="0">
    <dxf>
      <font>
        <sz val="10"/>
        <color indexed="8"/>
        <name val="Arial"/>
        <scheme val="none"/>
      </font>
    </dxf>
  </rfmt>
  <rfmt sheetId="13" sqref="V176" start="0" length="0">
    <dxf>
      <font>
        <sz val="10"/>
        <color indexed="8"/>
        <name val="Arial"/>
        <scheme val="none"/>
      </font>
    </dxf>
  </rfmt>
  <rfmt sheetId="13" sqref="W176" start="0" length="0">
    <dxf>
      <font>
        <sz val="10"/>
        <color indexed="8"/>
        <name val="Arial"/>
        <scheme val="none"/>
      </font>
    </dxf>
  </rfmt>
  <rfmt sheetId="13" sqref="S177" start="0" length="0">
    <dxf>
      <font>
        <sz val="10"/>
        <color indexed="8"/>
        <name val="Arial"/>
        <scheme val="none"/>
      </font>
    </dxf>
  </rfmt>
  <rfmt sheetId="13" sqref="T177" start="0" length="0">
    <dxf>
      <font>
        <sz val="10"/>
        <color indexed="8"/>
        <name val="Arial"/>
        <scheme val="none"/>
      </font>
    </dxf>
  </rfmt>
  <rfmt sheetId="13" sqref="U177" start="0" length="0">
    <dxf>
      <font>
        <sz val="10"/>
        <color indexed="8"/>
        <name val="Arial"/>
        <scheme val="none"/>
      </font>
    </dxf>
  </rfmt>
  <rfmt sheetId="13" sqref="V177" start="0" length="0">
    <dxf>
      <font>
        <sz val="10"/>
        <color indexed="8"/>
        <name val="Arial"/>
        <scheme val="none"/>
      </font>
    </dxf>
  </rfmt>
  <rfmt sheetId="13" sqref="W177" start="0" length="0">
    <dxf>
      <font>
        <sz val="10"/>
        <color indexed="8"/>
        <name val="Arial"/>
        <scheme val="none"/>
      </font>
    </dxf>
  </rfmt>
  <rfmt sheetId="13" sqref="S178" start="0" length="0">
    <dxf>
      <font>
        <sz val="10"/>
        <color indexed="8"/>
        <name val="Arial"/>
        <scheme val="none"/>
      </font>
    </dxf>
  </rfmt>
  <rfmt sheetId="13" sqref="T178" start="0" length="0">
    <dxf>
      <font>
        <sz val="10"/>
        <color indexed="8"/>
        <name val="Arial"/>
        <scheme val="none"/>
      </font>
    </dxf>
  </rfmt>
  <rfmt sheetId="13" sqref="U178" start="0" length="0">
    <dxf>
      <font>
        <sz val="10"/>
        <color indexed="8"/>
        <name val="Arial"/>
        <scheme val="none"/>
      </font>
    </dxf>
  </rfmt>
  <rfmt sheetId="13" sqref="V178" start="0" length="0">
    <dxf>
      <font>
        <sz val="10"/>
        <color indexed="8"/>
        <name val="Arial"/>
        <scheme val="none"/>
      </font>
    </dxf>
  </rfmt>
  <rfmt sheetId="13" sqref="W178" start="0" length="0">
    <dxf>
      <font>
        <sz val="10"/>
        <color indexed="8"/>
        <name val="Arial"/>
        <scheme val="none"/>
      </font>
    </dxf>
  </rfmt>
  <rfmt sheetId="13" sqref="S179" start="0" length="0">
    <dxf>
      <font>
        <sz val="10"/>
        <color indexed="8"/>
        <name val="Arial"/>
        <scheme val="none"/>
      </font>
    </dxf>
  </rfmt>
  <rfmt sheetId="13" sqref="T179" start="0" length="0">
    <dxf>
      <font>
        <sz val="10"/>
        <color indexed="8"/>
        <name val="Arial"/>
        <scheme val="none"/>
      </font>
    </dxf>
  </rfmt>
  <rfmt sheetId="13" sqref="U179" start="0" length="0">
    <dxf>
      <font>
        <sz val="10"/>
        <color indexed="8"/>
        <name val="Arial"/>
        <scheme val="none"/>
      </font>
    </dxf>
  </rfmt>
  <rfmt sheetId="13" sqref="V179" start="0" length="0">
    <dxf>
      <font>
        <sz val="10"/>
        <color indexed="8"/>
        <name val="Arial"/>
        <scheme val="none"/>
      </font>
    </dxf>
  </rfmt>
  <rfmt sheetId="13" sqref="W179" start="0" length="0">
    <dxf>
      <font>
        <sz val="10"/>
        <color indexed="8"/>
        <name val="Arial"/>
        <scheme val="none"/>
      </font>
    </dxf>
  </rfmt>
  <rfmt sheetId="13" sqref="S180" start="0" length="0">
    <dxf>
      <font>
        <sz val="10"/>
        <color indexed="8"/>
        <name val="Arial"/>
        <scheme val="none"/>
      </font>
    </dxf>
  </rfmt>
  <rfmt sheetId="13" sqref="T180" start="0" length="0">
    <dxf>
      <font>
        <sz val="10"/>
        <color indexed="8"/>
        <name val="Arial"/>
        <scheme val="none"/>
      </font>
    </dxf>
  </rfmt>
  <rfmt sheetId="13" sqref="U180" start="0" length="0">
    <dxf>
      <font>
        <sz val="10"/>
        <color indexed="8"/>
        <name val="Arial"/>
        <scheme val="none"/>
      </font>
    </dxf>
  </rfmt>
  <rfmt sheetId="13" sqref="V180" start="0" length="0">
    <dxf>
      <font>
        <sz val="10"/>
        <color indexed="8"/>
        <name val="Arial"/>
        <scheme val="none"/>
      </font>
    </dxf>
  </rfmt>
  <rfmt sheetId="13" sqref="W180" start="0" length="0">
    <dxf>
      <font>
        <sz val="10"/>
        <color indexed="8"/>
        <name val="Arial"/>
        <scheme val="none"/>
      </font>
    </dxf>
  </rfmt>
  <rfmt sheetId="13" sqref="S181" start="0" length="0">
    <dxf>
      <font>
        <sz val="10"/>
        <color indexed="8"/>
        <name val="Arial"/>
        <scheme val="none"/>
      </font>
    </dxf>
  </rfmt>
  <rfmt sheetId="13" sqref="T181" start="0" length="0">
    <dxf>
      <font>
        <sz val="10"/>
        <color indexed="8"/>
        <name val="Arial"/>
        <scheme val="none"/>
      </font>
    </dxf>
  </rfmt>
  <rfmt sheetId="13" sqref="U181" start="0" length="0">
    <dxf>
      <font>
        <sz val="10"/>
        <color indexed="8"/>
        <name val="Arial"/>
        <scheme val="none"/>
      </font>
    </dxf>
  </rfmt>
  <rfmt sheetId="13" sqref="V181" start="0" length="0">
    <dxf>
      <font>
        <sz val="10"/>
        <color indexed="8"/>
        <name val="Arial"/>
        <scheme val="none"/>
      </font>
    </dxf>
  </rfmt>
  <rfmt sheetId="13" sqref="W181" start="0" length="0">
    <dxf>
      <font>
        <sz val="10"/>
        <color indexed="8"/>
        <name val="Arial"/>
        <scheme val="none"/>
      </font>
    </dxf>
  </rfmt>
  <rfmt sheetId="13" sqref="S182" start="0" length="0">
    <dxf>
      <font>
        <sz val="10"/>
        <color indexed="8"/>
        <name val="Arial"/>
        <scheme val="none"/>
      </font>
    </dxf>
  </rfmt>
  <rfmt sheetId="13" sqref="T182" start="0" length="0">
    <dxf>
      <font>
        <sz val="10"/>
        <color indexed="8"/>
        <name val="Arial"/>
        <scheme val="none"/>
      </font>
    </dxf>
  </rfmt>
  <rfmt sheetId="13" sqref="U182" start="0" length="0">
    <dxf>
      <font>
        <sz val="10"/>
        <color indexed="8"/>
        <name val="Arial"/>
        <scheme val="none"/>
      </font>
    </dxf>
  </rfmt>
  <rfmt sheetId="13" sqref="V182" start="0" length="0">
    <dxf>
      <font>
        <sz val="10"/>
        <color indexed="8"/>
        <name val="Arial"/>
        <scheme val="none"/>
      </font>
    </dxf>
  </rfmt>
  <rfmt sheetId="13" sqref="W182" start="0" length="0">
    <dxf>
      <font>
        <sz val="10"/>
        <color indexed="8"/>
        <name val="Arial"/>
        <scheme val="none"/>
      </font>
    </dxf>
  </rfmt>
  <rfmt sheetId="13" sqref="S183" start="0" length="0">
    <dxf>
      <font>
        <sz val="10"/>
        <color indexed="8"/>
        <name val="Arial"/>
        <scheme val="none"/>
      </font>
    </dxf>
  </rfmt>
  <rfmt sheetId="13" sqref="T183" start="0" length="0">
    <dxf>
      <font>
        <sz val="10"/>
        <color indexed="8"/>
        <name val="Arial"/>
        <scheme val="none"/>
      </font>
    </dxf>
  </rfmt>
  <rfmt sheetId="13" sqref="U183" start="0" length="0">
    <dxf>
      <font>
        <sz val="10"/>
        <color indexed="8"/>
        <name val="Arial"/>
        <scheme val="none"/>
      </font>
    </dxf>
  </rfmt>
  <rfmt sheetId="13" sqref="V183" start="0" length="0">
    <dxf>
      <font>
        <sz val="10"/>
        <color indexed="8"/>
        <name val="Arial"/>
        <scheme val="none"/>
      </font>
    </dxf>
  </rfmt>
  <rfmt sheetId="13" sqref="W183" start="0" length="0">
    <dxf>
      <font>
        <sz val="10"/>
        <color indexed="8"/>
        <name val="Arial"/>
        <scheme val="none"/>
      </font>
    </dxf>
  </rfmt>
  <rfmt sheetId="13" sqref="S184" start="0" length="0">
    <dxf>
      <font>
        <sz val="10"/>
        <color indexed="8"/>
        <name val="Arial"/>
        <scheme val="none"/>
      </font>
    </dxf>
  </rfmt>
  <rfmt sheetId="13" sqref="T184" start="0" length="0">
    <dxf>
      <font>
        <sz val="10"/>
        <color indexed="8"/>
        <name val="Arial"/>
        <scheme val="none"/>
      </font>
    </dxf>
  </rfmt>
  <rfmt sheetId="13" sqref="U184" start="0" length="0">
    <dxf>
      <font>
        <sz val="10"/>
        <color indexed="8"/>
        <name val="Arial"/>
        <scheme val="none"/>
      </font>
    </dxf>
  </rfmt>
  <rfmt sheetId="13" sqref="V184" start="0" length="0">
    <dxf>
      <font>
        <sz val="10"/>
        <color indexed="8"/>
        <name val="Arial"/>
        <scheme val="none"/>
      </font>
    </dxf>
  </rfmt>
  <rfmt sheetId="13" sqref="W184" start="0" length="0">
    <dxf>
      <font>
        <sz val="10"/>
        <color indexed="8"/>
        <name val="Arial"/>
        <scheme val="none"/>
      </font>
    </dxf>
  </rfmt>
  <rfmt sheetId="13" sqref="S185" start="0" length="0">
    <dxf>
      <font>
        <sz val="10"/>
        <color indexed="8"/>
        <name val="Arial"/>
        <scheme val="none"/>
      </font>
    </dxf>
  </rfmt>
  <rfmt sheetId="13" sqref="T185" start="0" length="0">
    <dxf>
      <font>
        <sz val="10"/>
        <color indexed="8"/>
        <name val="Arial"/>
        <scheme val="none"/>
      </font>
    </dxf>
  </rfmt>
  <rfmt sheetId="13" sqref="U185" start="0" length="0">
    <dxf>
      <font>
        <sz val="10"/>
        <color indexed="8"/>
        <name val="Arial"/>
        <scheme val="none"/>
      </font>
    </dxf>
  </rfmt>
  <rfmt sheetId="13" sqref="V185" start="0" length="0">
    <dxf>
      <font>
        <sz val="10"/>
        <color indexed="8"/>
        <name val="Arial"/>
        <scheme val="none"/>
      </font>
    </dxf>
  </rfmt>
  <rfmt sheetId="13" sqref="W185" start="0" length="0">
    <dxf>
      <font>
        <sz val="10"/>
        <color indexed="8"/>
        <name val="Arial"/>
        <scheme val="none"/>
      </font>
    </dxf>
  </rfmt>
  <rfmt sheetId="13" sqref="S186" start="0" length="0">
    <dxf>
      <font>
        <sz val="10"/>
        <color indexed="8"/>
        <name val="Arial"/>
        <scheme val="none"/>
      </font>
    </dxf>
  </rfmt>
  <rfmt sheetId="13" sqref="T186" start="0" length="0">
    <dxf>
      <font>
        <sz val="10"/>
        <color indexed="8"/>
        <name val="Arial"/>
        <scheme val="none"/>
      </font>
    </dxf>
  </rfmt>
  <rfmt sheetId="13" sqref="U186" start="0" length="0">
    <dxf>
      <font>
        <sz val="10"/>
        <color indexed="8"/>
        <name val="Arial"/>
        <scheme val="none"/>
      </font>
    </dxf>
  </rfmt>
  <rfmt sheetId="13" sqref="V186" start="0" length="0">
    <dxf>
      <font>
        <sz val="10"/>
        <color indexed="8"/>
        <name val="Arial"/>
        <scheme val="none"/>
      </font>
    </dxf>
  </rfmt>
  <rfmt sheetId="13" sqref="W186" start="0" length="0">
    <dxf>
      <font>
        <sz val="10"/>
        <color indexed="8"/>
        <name val="Arial"/>
        <scheme val="none"/>
      </font>
    </dxf>
  </rfmt>
  <rfmt sheetId="13" sqref="S187" start="0" length="0">
    <dxf>
      <font>
        <sz val="10"/>
        <color indexed="8"/>
        <name val="Arial"/>
        <scheme val="none"/>
      </font>
    </dxf>
  </rfmt>
  <rfmt sheetId="13" sqref="T187" start="0" length="0">
    <dxf>
      <font>
        <sz val="10"/>
        <color indexed="8"/>
        <name val="Arial"/>
        <scheme val="none"/>
      </font>
    </dxf>
  </rfmt>
  <rfmt sheetId="13" sqref="U187" start="0" length="0">
    <dxf>
      <font>
        <sz val="10"/>
        <color indexed="8"/>
        <name val="Arial"/>
        <scheme val="none"/>
      </font>
    </dxf>
  </rfmt>
  <rfmt sheetId="13" sqref="V187" start="0" length="0">
    <dxf>
      <font>
        <sz val="10"/>
        <color indexed="8"/>
        <name val="Arial"/>
        <scheme val="none"/>
      </font>
    </dxf>
  </rfmt>
  <rfmt sheetId="13" sqref="W187" start="0" length="0">
    <dxf>
      <font>
        <sz val="10"/>
        <color indexed="8"/>
        <name val="Arial"/>
        <scheme val="none"/>
      </font>
    </dxf>
  </rfmt>
  <rfmt sheetId="13" sqref="S188" start="0" length="0">
    <dxf>
      <font>
        <sz val="10"/>
        <color indexed="8"/>
        <name val="Arial"/>
        <scheme val="none"/>
      </font>
    </dxf>
  </rfmt>
  <rfmt sheetId="13" sqref="T188" start="0" length="0">
    <dxf>
      <font>
        <sz val="10"/>
        <color indexed="8"/>
        <name val="Arial"/>
        <scheme val="none"/>
      </font>
    </dxf>
  </rfmt>
  <rfmt sheetId="13" sqref="U188" start="0" length="0">
    <dxf>
      <font>
        <sz val="10"/>
        <color indexed="8"/>
        <name val="Arial"/>
        <scheme val="none"/>
      </font>
    </dxf>
  </rfmt>
  <rfmt sheetId="13" sqref="V188" start="0" length="0">
    <dxf>
      <font>
        <sz val="10"/>
        <color indexed="8"/>
        <name val="Arial"/>
        <scheme val="none"/>
      </font>
    </dxf>
  </rfmt>
  <rfmt sheetId="13" sqref="W188" start="0" length="0">
    <dxf>
      <font>
        <sz val="10"/>
        <color indexed="8"/>
        <name val="Arial"/>
        <scheme val="none"/>
      </font>
    </dxf>
  </rfmt>
  <rfmt sheetId="13" sqref="S189" start="0" length="0">
    <dxf>
      <font>
        <sz val="10"/>
        <color indexed="8"/>
        <name val="Arial"/>
        <scheme val="none"/>
      </font>
    </dxf>
  </rfmt>
  <rfmt sheetId="13" sqref="T189" start="0" length="0">
    <dxf>
      <font>
        <sz val="10"/>
        <color indexed="8"/>
        <name val="Arial"/>
        <scheme val="none"/>
      </font>
    </dxf>
  </rfmt>
  <rfmt sheetId="13" sqref="U189" start="0" length="0">
    <dxf>
      <font>
        <sz val="10"/>
        <color indexed="8"/>
        <name val="Arial"/>
        <scheme val="none"/>
      </font>
    </dxf>
  </rfmt>
  <rfmt sheetId="13" sqref="V189" start="0" length="0">
    <dxf>
      <font>
        <sz val="10"/>
        <color indexed="8"/>
        <name val="Arial"/>
        <scheme val="none"/>
      </font>
    </dxf>
  </rfmt>
  <rfmt sheetId="13" sqref="W189" start="0" length="0">
    <dxf>
      <font>
        <sz val="10"/>
        <color indexed="8"/>
        <name val="Arial"/>
        <scheme val="none"/>
      </font>
    </dxf>
  </rfmt>
  <rcc rId="1974" sId="13">
    <oc r="S142">
      <f>H142*E142</f>
    </oc>
    <nc r="S142"/>
  </rcc>
  <rcc rId="1975" sId="13">
    <oc r="T142">
      <f>SUM(T9:T141)</f>
    </oc>
    <nc r="T142"/>
  </rcc>
  <rcc rId="1976" sId="13">
    <oc r="U142">
      <f>SUM(U9:U141)</f>
    </oc>
    <nc r="U142"/>
  </rcc>
  <rcc rId="1977" sId="13">
    <oc r="V142">
      <f>SUM(V9:V141)</f>
    </oc>
    <nc r="V142"/>
  </rcc>
  <rcc rId="1978" sId="13">
    <oc r="S143">
      <f>H143*E143</f>
    </oc>
    <nc r="S143"/>
  </rcc>
  <rcc rId="1979" sId="13">
    <oc r="T143">
      <f>SUM(T10:T142)</f>
    </oc>
    <nc r="T143"/>
  </rcc>
  <rcc rId="1980" sId="13">
    <oc r="U143">
      <f>SUM(U10:U142)</f>
    </oc>
    <nc r="U143"/>
  </rcc>
  <rcc rId="1981" sId="13">
    <oc r="V143">
      <f>SUM(V10:V142)</f>
    </oc>
    <nc r="V143"/>
  </rcc>
  <rcc rId="1982" sId="13">
    <oc r="S144">
      <f>H144*E144</f>
    </oc>
    <nc r="S144"/>
  </rcc>
  <rcc rId="1983" sId="13">
    <oc r="T144">
      <f>SUM(T11:T143)</f>
    </oc>
    <nc r="T144"/>
  </rcc>
  <rcc rId="1984" sId="13">
    <oc r="U144">
      <f>SUM(U11:U143)</f>
    </oc>
    <nc r="U144"/>
  </rcc>
  <rcc rId="1985" sId="13">
    <oc r="V144">
      <f>SUM(V11:V143)</f>
    </oc>
    <nc r="V144"/>
  </rcc>
  <rcc rId="1986" sId="13">
    <oc r="S145">
      <f>H145*E145</f>
    </oc>
    <nc r="S145"/>
  </rcc>
  <rcc rId="1987" sId="13">
    <oc r="T145">
      <f>SUM(T12:T144)</f>
    </oc>
    <nc r="T145"/>
  </rcc>
  <rcc rId="1988" sId="13">
    <oc r="U145">
      <f>SUM(U12:U144)</f>
    </oc>
    <nc r="U145"/>
  </rcc>
  <rcc rId="1989" sId="13">
    <oc r="V145">
      <f>SUM(V12:V144)</f>
    </oc>
    <nc r="V145"/>
  </rcc>
  <rcc rId="1990" sId="13">
    <oc r="S146">
      <f>H146*E146</f>
    </oc>
    <nc r="S146"/>
  </rcc>
  <rcc rId="1991" sId="13">
    <oc r="T146">
      <f>SUM(T13:T145)</f>
    </oc>
    <nc r="T146"/>
  </rcc>
  <rcc rId="1992" sId="13">
    <oc r="U146">
      <f>SUM(U13:U145)</f>
    </oc>
    <nc r="U146"/>
  </rcc>
  <rcc rId="1993" sId="13">
    <oc r="V146">
      <f>SUM(V13:V145)</f>
    </oc>
    <nc r="V146"/>
  </rcc>
  <rcc rId="1994" sId="13">
    <oc r="S147">
      <f>H147*E147</f>
    </oc>
    <nc r="S147"/>
  </rcc>
  <rcc rId="1995" sId="13">
    <oc r="T147">
      <f>SUM(T14:T146)</f>
    </oc>
    <nc r="T147"/>
  </rcc>
  <rcc rId="1996" sId="13">
    <oc r="U147">
      <f>SUM(U14:U146)</f>
    </oc>
    <nc r="U147"/>
  </rcc>
  <rcc rId="1997" sId="13">
    <oc r="V147">
      <f>SUM(V14:V146)</f>
    </oc>
    <nc r="V147"/>
  </rcc>
  <rcc rId="1998" sId="13">
    <oc r="S148">
      <f>H148*E148</f>
    </oc>
    <nc r="S148"/>
  </rcc>
  <rcc rId="1999" sId="13">
    <oc r="T148">
      <f>SUM(T15:T147)</f>
    </oc>
    <nc r="T148"/>
  </rcc>
  <rcc rId="2000" sId="13">
    <oc r="U148">
      <f>SUM(U15:U147)</f>
    </oc>
    <nc r="U148"/>
  </rcc>
  <rcc rId="2001" sId="13">
    <oc r="V148">
      <f>SUM(V15:V147)</f>
    </oc>
    <nc r="V148"/>
  </rcc>
  <rcc rId="2002" sId="13">
    <oc r="S149">
      <f>H149*E149</f>
    </oc>
    <nc r="S149"/>
  </rcc>
  <rcc rId="2003" sId="13">
    <oc r="T149">
      <f>SUM(T16:T148)</f>
    </oc>
    <nc r="T149"/>
  </rcc>
  <rcc rId="2004" sId="13">
    <oc r="U149">
      <f>SUM(U16:U148)</f>
    </oc>
    <nc r="U149"/>
  </rcc>
  <rcc rId="2005" sId="13">
    <oc r="V149">
      <f>SUM(V16:V148)</f>
    </oc>
    <nc r="V149"/>
  </rcc>
  <rcc rId="2006" sId="13">
    <oc r="S150">
      <f>H150*E150</f>
    </oc>
    <nc r="S150"/>
  </rcc>
  <rcc rId="2007" sId="13">
    <oc r="T150">
      <f>SUM(T17:T149)</f>
    </oc>
    <nc r="T150"/>
  </rcc>
  <rcc rId="2008" sId="13">
    <oc r="U150">
      <f>SUM(U17:U149)</f>
    </oc>
    <nc r="U150"/>
  </rcc>
  <rcc rId="2009" sId="13">
    <oc r="V150">
      <f>SUM(V17:V149)</f>
    </oc>
    <nc r="V150"/>
  </rcc>
  <rcc rId="2010" sId="13">
    <oc r="S151">
      <f>H151*E151</f>
    </oc>
    <nc r="S151"/>
  </rcc>
  <rcc rId="2011" sId="13">
    <oc r="T151">
      <f>SUM(T18:T150)</f>
    </oc>
    <nc r="T151"/>
  </rcc>
  <rcc rId="2012" sId="13">
    <oc r="U151">
      <f>SUM(U18:U150)</f>
    </oc>
    <nc r="U151"/>
  </rcc>
  <rcc rId="2013" sId="13">
    <oc r="V151">
      <f>SUM(V18:V150)</f>
    </oc>
    <nc r="V151"/>
  </rcc>
  <rcc rId="2014" sId="13">
    <oc r="S152">
      <f>H152*E152</f>
    </oc>
    <nc r="S152"/>
  </rcc>
  <rcc rId="2015" sId="13">
    <oc r="T152">
      <f>SUM(T19:T151)</f>
    </oc>
    <nc r="T152"/>
  </rcc>
  <rcc rId="2016" sId="13">
    <oc r="U152">
      <f>SUM(U19:U151)</f>
    </oc>
    <nc r="U152"/>
  </rcc>
  <rcc rId="2017" sId="13">
    <oc r="V152">
      <f>SUM(V19:V151)</f>
    </oc>
    <nc r="V152"/>
  </rcc>
  <rcc rId="2018" sId="13">
    <oc r="S153">
      <f>H153*E153</f>
    </oc>
    <nc r="S153"/>
  </rcc>
  <rcc rId="2019" sId="13">
    <oc r="T153">
      <f>SUM(T20:T152)</f>
    </oc>
    <nc r="T153"/>
  </rcc>
  <rcc rId="2020" sId="13">
    <oc r="U153">
      <f>SUM(U20:U152)</f>
    </oc>
    <nc r="U153"/>
  </rcc>
  <rcc rId="2021" sId="13">
    <oc r="V153">
      <f>SUM(V20:V152)</f>
    </oc>
    <nc r="V153"/>
  </rcc>
  <rcc rId="2022" sId="13">
    <oc r="S154">
      <f>H154*E154</f>
    </oc>
    <nc r="S154"/>
  </rcc>
  <rcc rId="2023" sId="13">
    <oc r="T154">
      <f>SUM(T21:T153)</f>
    </oc>
    <nc r="T154"/>
  </rcc>
  <rcc rId="2024" sId="13">
    <oc r="U154">
      <f>SUM(U21:U153)</f>
    </oc>
    <nc r="U154"/>
  </rcc>
  <rcc rId="2025" sId="13">
    <oc r="V154">
      <f>SUM(V21:V153)</f>
    </oc>
    <nc r="V154"/>
  </rcc>
  <rcc rId="2026" sId="13">
    <oc r="S155">
      <f>H155*E155</f>
    </oc>
    <nc r="S155"/>
  </rcc>
  <rcc rId="2027" sId="13">
    <oc r="T155">
      <f>SUM(T22:T154)</f>
    </oc>
    <nc r="T155"/>
  </rcc>
  <rcc rId="2028" sId="13">
    <oc r="U155">
      <f>SUM(U22:U154)</f>
    </oc>
    <nc r="U155"/>
  </rcc>
  <rcc rId="2029" sId="13">
    <oc r="V155">
      <f>SUM(V22:V154)</f>
    </oc>
    <nc r="V155"/>
  </rcc>
  <rcc rId="2030" sId="13">
    <oc r="S156">
      <f>H156*E156</f>
    </oc>
    <nc r="S156"/>
  </rcc>
  <rcc rId="2031" sId="13">
    <oc r="T156">
      <f>SUM(T23:T155)</f>
    </oc>
    <nc r="T156"/>
  </rcc>
  <rcc rId="2032" sId="13">
    <oc r="U156">
      <f>SUM(U23:U155)</f>
    </oc>
    <nc r="U156"/>
  </rcc>
  <rcc rId="2033" sId="13">
    <oc r="V156">
      <f>SUM(V23:V155)</f>
    </oc>
    <nc r="V156"/>
  </rcc>
  <rcc rId="2034" sId="13">
    <oc r="S157">
      <f>H157*E157</f>
    </oc>
    <nc r="S157"/>
  </rcc>
  <rcc rId="2035" sId="13">
    <oc r="T157">
      <f>SUM(T24:T156)</f>
    </oc>
    <nc r="T157"/>
  </rcc>
  <rcc rId="2036" sId="13">
    <oc r="U157">
      <f>SUM(U24:U156)</f>
    </oc>
    <nc r="U157"/>
  </rcc>
  <rcc rId="2037" sId="13">
    <oc r="V157">
      <f>SUM(V24:V156)</f>
    </oc>
    <nc r="V157"/>
  </rcc>
  <rcc rId="2038" sId="13">
    <oc r="S158">
      <f>H158*E158</f>
    </oc>
    <nc r="S158"/>
  </rcc>
  <rcc rId="2039" sId="13">
    <oc r="T158">
      <f>SUM(T25:T157)</f>
    </oc>
    <nc r="T158"/>
  </rcc>
  <rcc rId="2040" sId="13">
    <oc r="U158">
      <f>SUM(U25:U157)</f>
    </oc>
    <nc r="U158"/>
  </rcc>
  <rcc rId="2041" sId="13">
    <oc r="V158">
      <f>SUM(V25:V157)</f>
    </oc>
    <nc r="V158"/>
  </rcc>
  <rcc rId="2042" sId="13">
    <oc r="S159">
      <f>H159*E159</f>
    </oc>
    <nc r="S159"/>
  </rcc>
  <rcc rId="2043" sId="13">
    <oc r="T159">
      <f>SUM(T26:T158)</f>
    </oc>
    <nc r="T159"/>
  </rcc>
  <rcc rId="2044" sId="13">
    <oc r="U159">
      <f>SUM(U26:U158)</f>
    </oc>
    <nc r="U159"/>
  </rcc>
  <rcc rId="2045" sId="13">
    <oc r="V159">
      <f>SUM(V26:V158)</f>
    </oc>
    <nc r="V159"/>
  </rcc>
  <rcc rId="2046" sId="13">
    <oc r="S160">
      <f>H160*E160</f>
    </oc>
    <nc r="S160"/>
  </rcc>
  <rcc rId="2047" sId="13">
    <oc r="T160">
      <f>SUM(T27:T159)</f>
    </oc>
    <nc r="T160"/>
  </rcc>
  <rcc rId="2048" sId="13">
    <oc r="U160">
      <f>SUM(U27:U159)</f>
    </oc>
    <nc r="U160"/>
  </rcc>
  <rcc rId="2049" sId="13">
    <oc r="V160">
      <f>SUM(V27:V159)</f>
    </oc>
    <nc r="V160"/>
  </rcc>
  <rcc rId="2050" sId="13">
    <oc r="S161">
      <f>H161*E161</f>
    </oc>
    <nc r="S161"/>
  </rcc>
  <rcc rId="2051" sId="13">
    <oc r="T161">
      <f>SUM(T28:T160)</f>
    </oc>
    <nc r="T161"/>
  </rcc>
  <rcc rId="2052" sId="13">
    <oc r="U161">
      <f>SUM(U28:U160)</f>
    </oc>
    <nc r="U161"/>
  </rcc>
  <rcc rId="2053" sId="13">
    <oc r="V161">
      <f>SUM(V28:V160)</f>
    </oc>
    <nc r="V161"/>
  </rcc>
  <rcc rId="2054" sId="13">
    <oc r="S162">
      <f>H162*E162</f>
    </oc>
    <nc r="S162"/>
  </rcc>
  <rcc rId="2055" sId="13">
    <oc r="T162">
      <f>SUM(T29:T161)</f>
    </oc>
    <nc r="T162"/>
  </rcc>
  <rcc rId="2056" sId="13">
    <oc r="U162">
      <f>SUM(U29:U161)</f>
    </oc>
    <nc r="U162"/>
  </rcc>
  <rcc rId="2057" sId="13">
    <oc r="V162">
      <f>SUM(V29:V161)</f>
    </oc>
    <nc r="V162"/>
  </rcc>
  <rcc rId="2058" sId="13">
    <oc r="S163">
      <f>H163*E163</f>
    </oc>
    <nc r="S163"/>
  </rcc>
  <rcc rId="2059" sId="13">
    <oc r="T163">
      <f>SUM(T30:T162)</f>
    </oc>
    <nc r="T163"/>
  </rcc>
  <rcc rId="2060" sId="13">
    <oc r="U163">
      <f>SUM(U30:U162)</f>
    </oc>
    <nc r="U163"/>
  </rcc>
  <rcc rId="2061" sId="13">
    <oc r="V163">
      <f>SUM(V30:V162)</f>
    </oc>
    <nc r="V163"/>
  </rcc>
  <rcc rId="2062" sId="13">
    <oc r="S164">
      <f>H164*E164</f>
    </oc>
    <nc r="S164"/>
  </rcc>
  <rcc rId="2063" sId="13">
    <oc r="T164">
      <f>SUM(T31:T163)</f>
    </oc>
    <nc r="T164"/>
  </rcc>
  <rcc rId="2064" sId="13">
    <oc r="U164">
      <f>SUM(U31:U163)</f>
    </oc>
    <nc r="U164"/>
  </rcc>
  <rcc rId="2065" sId="13">
    <oc r="V164">
      <f>SUM(V31:V163)</f>
    </oc>
    <nc r="V164"/>
  </rcc>
  <rcc rId="2066" sId="13">
    <oc r="S165">
      <f>H165*E165</f>
    </oc>
    <nc r="S165"/>
  </rcc>
  <rcc rId="2067" sId="13">
    <oc r="T165">
      <f>SUM(T32:T164)</f>
    </oc>
    <nc r="T165"/>
  </rcc>
  <rcc rId="2068" sId="13">
    <oc r="U165">
      <f>SUM(U32:U164)</f>
    </oc>
    <nc r="U165"/>
  </rcc>
  <rcc rId="2069" sId="13">
    <oc r="V165">
      <f>SUM(V32:V164)</f>
    </oc>
    <nc r="V165"/>
  </rcc>
  <rcc rId="2070" sId="13">
    <oc r="S166">
      <f>H166*E166</f>
    </oc>
    <nc r="S166"/>
  </rcc>
  <rcc rId="2071" sId="13">
    <oc r="T166">
      <f>SUM(T33:T165)</f>
    </oc>
    <nc r="T166"/>
  </rcc>
  <rcc rId="2072" sId="13">
    <oc r="U166">
      <f>SUM(U33:U165)</f>
    </oc>
    <nc r="U166"/>
  </rcc>
  <rcc rId="2073" sId="13">
    <oc r="V166">
      <f>SUM(V33:V165)</f>
    </oc>
    <nc r="V166"/>
  </rcc>
  <rcc rId="2074" sId="13">
    <oc r="S167">
      <f>H167*E167</f>
    </oc>
    <nc r="S167"/>
  </rcc>
  <rcc rId="2075" sId="13">
    <oc r="T167">
      <f>SUM(T34:T166)</f>
    </oc>
    <nc r="T167"/>
  </rcc>
  <rcc rId="2076" sId="13">
    <oc r="U167">
      <f>SUM(U34:U166)</f>
    </oc>
    <nc r="U167"/>
  </rcc>
  <rcc rId="2077" sId="13">
    <oc r="V167">
      <f>SUM(V34:V166)</f>
    </oc>
    <nc r="V167"/>
  </rcc>
  <rcc rId="2078" sId="13">
    <oc r="S168">
      <f>H168*E168</f>
    </oc>
    <nc r="S168"/>
  </rcc>
  <rcc rId="2079" sId="13">
    <oc r="T168">
      <f>SUM(T35:T167)</f>
    </oc>
    <nc r="T168"/>
  </rcc>
  <rcc rId="2080" sId="13">
    <oc r="U168">
      <f>SUM(U35:U167)</f>
    </oc>
    <nc r="U168"/>
  </rcc>
  <rcc rId="2081" sId="13">
    <oc r="V168">
      <f>SUM(V35:V167)</f>
    </oc>
    <nc r="V168"/>
  </rcc>
  <rcc rId="2082" sId="13">
    <oc r="S169">
      <f>H169*E169</f>
    </oc>
    <nc r="S169"/>
  </rcc>
  <rcc rId="2083" sId="13">
    <oc r="T169">
      <f>SUM(T36:T168)</f>
    </oc>
    <nc r="T169"/>
  </rcc>
  <rcc rId="2084" sId="13">
    <oc r="U169">
      <f>SUM(U36:U168)</f>
    </oc>
    <nc r="U169"/>
  </rcc>
  <rcc rId="2085" sId="13">
    <oc r="V169">
      <f>SUM(V36:V168)</f>
    </oc>
    <nc r="V169"/>
  </rcc>
  <rcc rId="2086" sId="13">
    <oc r="S170">
      <f>H170*E170</f>
    </oc>
    <nc r="S170"/>
  </rcc>
  <rcc rId="2087" sId="13">
    <oc r="T170">
      <f>SUM(T37:T169)</f>
    </oc>
    <nc r="T170"/>
  </rcc>
  <rcc rId="2088" sId="13">
    <oc r="U170">
      <f>SUM(U37:U169)</f>
    </oc>
    <nc r="U170"/>
  </rcc>
  <rcc rId="2089" sId="13">
    <oc r="V170">
      <f>SUM(V37:V169)</f>
    </oc>
    <nc r="V170"/>
  </rcc>
  <rcc rId="2090" sId="13">
    <oc r="S171">
      <f>H171*E171</f>
    </oc>
    <nc r="S171"/>
  </rcc>
  <rcc rId="2091" sId="13">
    <oc r="T171">
      <f>SUM(T38:T170)</f>
    </oc>
    <nc r="T171"/>
  </rcc>
  <rcc rId="2092" sId="13">
    <oc r="U171">
      <f>SUM(U38:U170)</f>
    </oc>
    <nc r="U171"/>
  </rcc>
  <rcc rId="2093" sId="13">
    <oc r="V171">
      <f>SUM(V38:V170)</f>
    </oc>
    <nc r="V171"/>
  </rcc>
  <rcc rId="2094" sId="13">
    <oc r="S172">
      <f>H172*E172</f>
    </oc>
    <nc r="S172"/>
  </rcc>
  <rcc rId="2095" sId="13">
    <oc r="T172">
      <f>SUM(T39:T171)</f>
    </oc>
    <nc r="T172"/>
  </rcc>
  <rcc rId="2096" sId="13">
    <oc r="U172">
      <f>SUM(U39:U171)</f>
    </oc>
    <nc r="U172"/>
  </rcc>
  <rcc rId="2097" sId="13">
    <oc r="V172">
      <f>SUM(V39:V171)</f>
    </oc>
    <nc r="V172"/>
  </rcc>
  <rcc rId="2098" sId="13">
    <oc r="S173">
      <f>H173*E173</f>
    </oc>
    <nc r="S173"/>
  </rcc>
  <rcc rId="2099" sId="13">
    <oc r="T173">
      <f>SUM(T40:T172)</f>
    </oc>
    <nc r="T173"/>
  </rcc>
  <rcc rId="2100" sId="13">
    <oc r="U173">
      <f>SUM(U40:U172)</f>
    </oc>
    <nc r="U173"/>
  </rcc>
  <rcc rId="2101" sId="13">
    <oc r="V173">
      <f>SUM(V40:V172)</f>
    </oc>
    <nc r="V173"/>
  </rcc>
  <rcc rId="2102" sId="13">
    <oc r="S174">
      <f>H174*E174</f>
    </oc>
    <nc r="S174"/>
  </rcc>
  <rcc rId="2103" sId="13">
    <oc r="T174">
      <f>SUM(T41:T173)</f>
    </oc>
    <nc r="T174"/>
  </rcc>
  <rcc rId="2104" sId="13">
    <oc r="U174">
      <f>SUM(U41:U173)</f>
    </oc>
    <nc r="U174"/>
  </rcc>
  <rcc rId="2105" sId="13">
    <oc r="V174">
      <f>SUM(V41:V173)</f>
    </oc>
    <nc r="V174"/>
  </rcc>
  <rcc rId="2106" sId="13">
    <oc r="S175">
      <f>H175*E175</f>
    </oc>
    <nc r="S175"/>
  </rcc>
  <rcc rId="2107" sId="13">
    <oc r="T175">
      <f>SUM(T42:T174)</f>
    </oc>
    <nc r="T175"/>
  </rcc>
  <rcc rId="2108" sId="13">
    <oc r="U175">
      <f>SUM(U42:U174)</f>
    </oc>
    <nc r="U175"/>
  </rcc>
  <rcc rId="2109" sId="13">
    <oc r="V175">
      <f>SUM(V42:V174)</f>
    </oc>
    <nc r="V175"/>
  </rcc>
  <rcc rId="2110" sId="13">
    <oc r="S141">
      <f>SUM(S8:S140)</f>
    </oc>
    <nc r="S141">
      <f>SUM(S8:S140)</f>
    </nc>
  </rcc>
  <rcc rId="2111" sId="13">
    <oc r="T141">
      <f>SUM(T8:T140)</f>
    </oc>
    <nc r="T141">
      <f>SUM(T8:T140)</f>
    </nc>
  </rcc>
  <rcc rId="2112" sId="13">
    <oc r="U141">
      <f>SUM(U8:U140)</f>
    </oc>
    <nc r="U141">
      <f>SUM(U8:U140)</f>
    </nc>
  </rcc>
  <rcc rId="2113" sId="13">
    <oc r="V141">
      <f>SUM(V8:V140)</f>
    </oc>
    <nc r="V141">
      <f>SUM(V8:V140)</f>
    </nc>
  </rcc>
  <rrc rId="2114" sId="13" ref="A132:XFD134" action="insert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undo index="0" exp="area" ref3D="1" dr="$S$1:$V$1048576" dn="Z_06317133_151B_4DBC_8EB3_9345BA061F91_.wvu.Cols" sId="13"/>
  </rrc>
  <rcc rId="2115" sId="13">
    <nc r="S132">
      <f>H132*E132</f>
    </nc>
  </rcc>
  <rcc rId="2116" sId="13">
    <nc r="T132">
      <f>I132*E132</f>
    </nc>
  </rcc>
  <rcc rId="2117" sId="13">
    <nc r="U132">
      <f>J132*E132</f>
    </nc>
  </rcc>
  <rcc rId="2118" sId="13">
    <nc r="V132">
      <f>K132*E132</f>
    </nc>
  </rcc>
  <rcc rId="2119" sId="13">
    <nc r="S133">
      <f>H133*E133</f>
    </nc>
  </rcc>
  <rcc rId="2120" sId="13">
    <nc r="T133">
      <f>I133*E133</f>
    </nc>
  </rcc>
  <rcc rId="2121" sId="13">
    <nc r="U133">
      <f>J133*E133</f>
    </nc>
  </rcc>
  <rcc rId="2122" sId="13">
    <nc r="V133">
      <f>K133*E133</f>
    </nc>
  </rcc>
  <rcc rId="2123" sId="13">
    <nc r="S134">
      <f>H134*E134</f>
    </nc>
  </rcc>
  <rcc rId="2124" sId="13">
    <nc r="T134">
      <f>I134*E134</f>
    </nc>
  </rcc>
  <rcc rId="2125" sId="13">
    <nc r="U134">
      <f>J134*E134</f>
    </nc>
  </rcc>
  <rcc rId="2126" sId="13">
    <nc r="V134">
      <f>K134*E134</f>
    </nc>
  </rcc>
  <rcc rId="2127" sId="13">
    <nc r="S135">
      <f>H135*E135</f>
    </nc>
  </rcc>
  <rcc rId="2128" sId="13">
    <nc r="T135">
      <f>I135*E135</f>
    </nc>
  </rcc>
  <rcc rId="2129" sId="13">
    <nc r="U135">
      <f>J135*E135</f>
    </nc>
  </rcc>
  <rcc rId="2130" sId="13">
    <nc r="V135">
      <f>K135*E135</f>
    </nc>
  </rcc>
  <rcc rId="2131" sId="13">
    <oc r="L131">
      <f>E131*(H131+I131+J131+K131)</f>
    </oc>
    <nc r="L131">
      <f>E131*(H131+I131+J131+K131)</f>
    </nc>
  </rcc>
  <rcc rId="2132" sId="13">
    <nc r="L132">
      <f>E132*(H132+I132+J132+K132)</f>
    </nc>
  </rcc>
  <rcc rId="2133" sId="13">
    <nc r="L133">
      <f>E133*(H133+I133+J133+K133)</f>
    </nc>
  </rcc>
  <rcc rId="2134" sId="13">
    <nc r="L134">
      <f>E134*(H134+I134+J134+K134)</f>
    </nc>
  </rcc>
  <rcc rId="2135" sId="13">
    <oc r="L135">
      <f>E135*(H135+I135+J135+K135)</f>
    </oc>
    <nc r="L135">
      <f>E135*(H135+I135+J135+K135)</f>
    </nc>
  </rcc>
  <rcc rId="2136" sId="13">
    <oc r="L136">
      <f>E136*(H136+I136+J136+K136)</f>
    </oc>
    <nc r="L136">
      <f>E136*(H136+I136+J136+K136)</f>
    </nc>
  </rcc>
  <rcc rId="2137" sId="13">
    <oc r="F131">
      <f>E131*D131</f>
    </oc>
    <nc r="F131">
      <f>E131*D131</f>
    </nc>
  </rcc>
  <rcc rId="2138" sId="13">
    <nc r="F132">
      <f>E132*D132</f>
    </nc>
  </rcc>
  <rcc rId="2139" sId="13">
    <nc r="F133">
      <f>E133*D133</f>
    </nc>
  </rcc>
  <rcc rId="2140" sId="13">
    <nc r="F134">
      <f>E134*D134</f>
    </nc>
  </rcc>
  <rcc rId="2141" sId="13">
    <oc r="F135">
      <f>E135*D135</f>
    </oc>
    <nc r="F135">
      <f>E135*D135</f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A79" start="0" length="0">
    <dxf>
      <font>
        <sz val="14"/>
        <color indexed="8"/>
        <name val="Times New Roman"/>
        <scheme val="none"/>
      </font>
      <alignment vertical="center" readingOrder="0"/>
    </dxf>
  </rfmt>
  <rfmt sheetId="12" sqref="B79" start="0" length="0">
    <dxf>
      <alignment horizontal="general" vertical="bottom" wrapText="0" readingOrder="0"/>
      <border outline="0">
        <top/>
        <bottom/>
      </border>
    </dxf>
  </rfmt>
  <rfmt sheetId="12" sqref="F79" start="0" length="0">
    <dxf>
      <font>
        <sz val="12"/>
        <color rgb="FFFF0000"/>
      </font>
    </dxf>
  </rfmt>
  <rcc rId="2142" sId="12">
    <oc r="E12">
      <f>D12*C12</f>
    </oc>
    <nc r="E12">
      <f>D12*C12</f>
    </nc>
  </rcc>
  <rcc rId="2143" sId="12">
    <oc r="K12">
      <f>G12+H12+I12+J12</f>
    </oc>
    <nc r="K12">
      <f>G12+H12+I12+J12</f>
    </nc>
  </rcc>
  <rcc rId="2144" sId="12">
    <oc r="L12">
      <f>D12*K12</f>
    </oc>
    <nc r="L12">
      <f>D12*K12</f>
    </nc>
  </rcc>
  <rcc rId="2145" sId="12">
    <oc r="M12">
      <f>F12-K12</f>
    </oc>
    <nc r="M12">
      <f>F12-K12</f>
    </nc>
  </rcc>
  <rcc rId="2146" sId="12">
    <oc r="N12">
      <f>K12/C12</f>
    </oc>
    <nc r="N12">
      <f>K12/C12</f>
    </nc>
  </rcc>
  <rcc rId="2147" sId="12">
    <oc r="S12">
      <f>G12*D12</f>
    </oc>
    <nc r="S12">
      <f>G12*D12</f>
    </nc>
  </rcc>
  <rcc rId="2148" sId="12">
    <oc r="T12">
      <f>H12*D12</f>
    </oc>
    <nc r="T12">
      <f>H12*D12</f>
    </nc>
  </rcc>
  <rcc rId="2149" sId="12">
    <oc r="U12">
      <f>I12*D12</f>
    </oc>
    <nc r="U12">
      <f>I12*D12</f>
    </nc>
  </rcc>
  <rcc rId="2150" sId="12">
    <oc r="V12">
      <f>J12*D12</f>
    </oc>
    <nc r="V12">
      <f>J12*D12</f>
    </nc>
  </rcc>
  <rcc rId="2151" sId="12">
    <oc r="E13">
      <f>D13*C13</f>
    </oc>
    <nc r="E13">
      <f>D13*C13</f>
    </nc>
  </rcc>
  <rfmt sheetId="12" sqref="H13" start="0" length="0">
    <dxf/>
  </rfmt>
  <rcc rId="2152" sId="12">
    <oc r="K13">
      <f>G13+H13+I13+J13</f>
    </oc>
    <nc r="K13">
      <f>G13+H13+I13+J13</f>
    </nc>
  </rcc>
  <rcc rId="2153" sId="12">
    <oc r="L13">
      <f>D13*K13</f>
    </oc>
    <nc r="L13">
      <f>D13*K13</f>
    </nc>
  </rcc>
  <rcc rId="2154" sId="12">
    <oc r="M13">
      <f>F13-K13</f>
    </oc>
    <nc r="M13">
      <f>F13-K13</f>
    </nc>
  </rcc>
  <rcc rId="2155" sId="12">
    <oc r="N13">
      <f>K13/C13</f>
    </oc>
    <nc r="N13">
      <f>K13/C13</f>
    </nc>
  </rcc>
  <rcc rId="2156" sId="12">
    <oc r="S13">
      <f>G13*D13</f>
    </oc>
    <nc r="S13">
      <f>G13*D13</f>
    </nc>
  </rcc>
  <rcc rId="2157" sId="12">
    <oc r="T13">
      <f>H13*D13</f>
    </oc>
    <nc r="T13">
      <f>H13*D13</f>
    </nc>
  </rcc>
  <rcc rId="2158" sId="12">
    <oc r="U13">
      <f>I13*D13</f>
    </oc>
    <nc r="U13">
      <f>I13*D13</f>
    </nc>
  </rcc>
  <rcc rId="2159" sId="12">
    <oc r="V13">
      <f>J13*D13</f>
    </oc>
    <nc r="V13">
      <f>J13*D13</f>
    </nc>
  </rcc>
  <rfmt sheetId="12" s="1" sqref="B14" start="0" length="0">
    <dxf>
      <font>
        <sz val="12"/>
        <color auto="1"/>
        <name val="Arial Cyr"/>
        <scheme val="none"/>
      </font>
      <alignment horizontal="left" readingOrder="0"/>
      <protection locked="0"/>
    </dxf>
  </rfmt>
  <rcc rId="2160" sId="12">
    <oc r="E14">
      <f>D14*C14</f>
    </oc>
    <nc r="E14">
      <f>D14*C14</f>
    </nc>
  </rcc>
  <rcc rId="2161" sId="12">
    <oc r="K14">
      <f>G14+H14+I14+J14</f>
    </oc>
    <nc r="K14">
      <f>G14+H14+I14+J14</f>
    </nc>
  </rcc>
  <rcc rId="2162" sId="12">
    <oc r="L14">
      <f>D14*K14</f>
    </oc>
    <nc r="L14">
      <f>D14*K14</f>
    </nc>
  </rcc>
  <rcc rId="2163" sId="12">
    <oc r="M14">
      <f>F14-K14</f>
    </oc>
    <nc r="M14">
      <f>F14-K14</f>
    </nc>
  </rcc>
  <rcc rId="2164" sId="12">
    <oc r="N14">
      <f>K14/C14</f>
    </oc>
    <nc r="N14">
      <f>K14/C14</f>
    </nc>
  </rcc>
  <rcc rId="2165" sId="12">
    <oc r="S14">
      <f>G14*D14</f>
    </oc>
    <nc r="S14">
      <f>G14*D14</f>
    </nc>
  </rcc>
  <rcc rId="2166" sId="12">
    <oc r="T14">
      <f>H14*D14</f>
    </oc>
    <nc r="T14">
      <f>H14*D14</f>
    </nc>
  </rcc>
  <rcc rId="2167" sId="12">
    <oc r="U14">
      <f>I14*D14</f>
    </oc>
    <nc r="U14">
      <f>I14*D14</f>
    </nc>
  </rcc>
  <rcc rId="2168" sId="12">
    <oc r="V14">
      <f>J14*D14</f>
    </oc>
    <nc r="V14">
      <f>J14*D14</f>
    </nc>
  </rcc>
  <rfmt sheetId="12" s="1" sqref="B15" start="0" length="0">
    <dxf>
      <font>
        <sz val="12"/>
        <color auto="1"/>
        <name val="Arial Cyr"/>
        <scheme val="none"/>
      </font>
      <alignment horizontal="left" readingOrder="0"/>
      <protection locked="0"/>
    </dxf>
  </rfmt>
  <rcc rId="2169" sId="12">
    <oc r="E15">
      <f>D15*C15</f>
    </oc>
    <nc r="E15">
      <f>D15*C15</f>
    </nc>
  </rcc>
  <rcc rId="2170" sId="12">
    <oc r="K15">
      <f>G15+H15+I15+J15</f>
    </oc>
    <nc r="K15">
      <f>G15+H15+I15+J15</f>
    </nc>
  </rcc>
  <rcc rId="2171" sId="12">
    <oc r="L15">
      <f>D15*K15</f>
    </oc>
    <nc r="L15">
      <f>D15*K15</f>
    </nc>
  </rcc>
  <rcc rId="2172" sId="12">
    <oc r="M15">
      <f>F15-K15</f>
    </oc>
    <nc r="M15">
      <f>F15-K15</f>
    </nc>
  </rcc>
  <rcc rId="2173" sId="12">
    <oc r="N15">
      <f>K15/C15</f>
    </oc>
    <nc r="N15">
      <f>K15/C15</f>
    </nc>
  </rcc>
  <rfmt sheetId="12" s="1" sqref="O15" start="0" length="0">
    <dxf>
      <font>
        <sz val="10"/>
        <color auto="1"/>
        <name val="Arial Cyr"/>
        <scheme val="none"/>
      </font>
    </dxf>
  </rfmt>
  <rcc rId="2174" sId="12">
    <oc r="S15">
      <f>G15*D15</f>
    </oc>
    <nc r="S15">
      <f>G15*D15</f>
    </nc>
  </rcc>
  <rcc rId="2175" sId="12">
    <oc r="T15">
      <f>H15*D15</f>
    </oc>
    <nc r="T15">
      <f>H15*D15</f>
    </nc>
  </rcc>
  <rcc rId="2176" sId="12">
    <oc r="U15">
      <f>I15*D15</f>
    </oc>
    <nc r="U15">
      <f>I15*D15</f>
    </nc>
  </rcc>
  <rcc rId="2177" sId="12">
    <oc r="V15">
      <f>J15*D15</f>
    </oc>
    <nc r="V15">
      <f>J15*D15</f>
    </nc>
  </rcc>
  <rfmt sheetId="12" sqref="B16" start="0" length="0">
    <dxf>
      <font>
        <sz val="12"/>
      </font>
    </dxf>
  </rfmt>
  <rcc rId="2178" sId="12">
    <oc r="E16">
      <f>D16*C16</f>
    </oc>
    <nc r="E16">
      <f>D16*C16</f>
    </nc>
  </rcc>
  <rcc rId="2179" sId="12">
    <oc r="K16">
      <f>G16+H16+I16+J16</f>
    </oc>
    <nc r="K16">
      <f>G16+H16+I16+J16</f>
    </nc>
  </rcc>
  <rcc rId="2180" sId="12">
    <oc r="L16">
      <f>D16*K16</f>
    </oc>
    <nc r="L16">
      <f>D16*K16</f>
    </nc>
  </rcc>
  <rcc rId="2181" sId="12">
    <oc r="M16">
      <f>F16-K16</f>
    </oc>
    <nc r="M16">
      <f>F16-K16</f>
    </nc>
  </rcc>
  <rcc rId="2182" sId="12">
    <oc r="N16">
      <f>K16/C16</f>
    </oc>
    <nc r="N16">
      <f>K16/C16</f>
    </nc>
  </rcc>
  <rcc rId="2183" sId="12">
    <oc r="S16">
      <f>G16*D16</f>
    </oc>
    <nc r="S16">
      <f>G16*D16</f>
    </nc>
  </rcc>
  <rcc rId="2184" sId="12">
    <oc r="T16">
      <f>H16*D16</f>
    </oc>
    <nc r="T16">
      <f>H16*D16</f>
    </nc>
  </rcc>
  <rcc rId="2185" sId="12">
    <oc r="U16">
      <f>I16*D16</f>
    </oc>
    <nc r="U16">
      <f>I16*D16</f>
    </nc>
  </rcc>
  <rcc rId="2186" sId="12">
    <oc r="V16">
      <f>J16*D16</f>
    </oc>
    <nc r="V16">
      <f>J16*D16</f>
    </nc>
  </rcc>
  <rcc rId="2187" sId="12">
    <oc r="E17">
      <f>D17*C17</f>
    </oc>
    <nc r="E17">
      <f>D17*C17</f>
    </nc>
  </rcc>
  <rcc rId="2188" sId="12">
    <oc r="K17">
      <f>G17+H17+I17+J17</f>
    </oc>
    <nc r="K17">
      <f>G17+H17+I17+J17</f>
    </nc>
  </rcc>
  <rcc rId="2189" sId="12">
    <oc r="L17">
      <f>D17*K17</f>
    </oc>
    <nc r="L17">
      <f>D17*K17</f>
    </nc>
  </rcc>
  <rcc rId="2190" sId="12">
    <oc r="M17">
      <f>F17-K17</f>
    </oc>
    <nc r="M17">
      <f>F17-K17</f>
    </nc>
  </rcc>
  <rcc rId="2191" sId="12">
    <oc r="N17">
      <f>K17/C17</f>
    </oc>
    <nc r="N17">
      <f>K17/C17</f>
    </nc>
  </rcc>
  <rfmt sheetId="12" sqref="P17" start="0" length="0">
    <dxf>
      <numFmt numFmtId="0" formatCode="General"/>
    </dxf>
  </rfmt>
  <rcc rId="2192" sId="12">
    <oc r="S17">
      <f>G17*D17</f>
    </oc>
    <nc r="S17">
      <f>G17*D17</f>
    </nc>
  </rcc>
  <rcc rId="2193" sId="12">
    <oc r="T17">
      <f>H17*D17</f>
    </oc>
    <nc r="T17">
      <f>H17*D17</f>
    </nc>
  </rcc>
  <rcc rId="2194" sId="12">
    <oc r="U17">
      <f>I17*D17</f>
    </oc>
    <nc r="U17">
      <f>I17*D17</f>
    </nc>
  </rcc>
  <rcc rId="2195" sId="12">
    <oc r="V17">
      <f>J17*D17</f>
    </oc>
    <nc r="V17">
      <f>J17*D17</f>
    </nc>
  </rcc>
  <rcc rId="2196" sId="12">
    <oc r="E18">
      <f>D18*C18</f>
    </oc>
    <nc r="E18">
      <f>D18*C18</f>
    </nc>
  </rcc>
  <rcc rId="2197" sId="12">
    <oc r="K18">
      <f>G18+H18+I18+J18</f>
    </oc>
    <nc r="K18">
      <f>G18+H18+I18+J18</f>
    </nc>
  </rcc>
  <rcc rId="2198" sId="12">
    <oc r="L18">
      <f>D18*K18</f>
    </oc>
    <nc r="L18">
      <f>D18*K18</f>
    </nc>
  </rcc>
  <rcc rId="2199" sId="12">
    <oc r="M18">
      <f>F18-K18</f>
    </oc>
    <nc r="M18">
      <f>F18-K18</f>
    </nc>
  </rcc>
  <rcc rId="2200" sId="12">
    <oc r="N18">
      <f>K18/C18</f>
    </oc>
    <nc r="N18">
      <f>K18/C18</f>
    </nc>
  </rcc>
  <rcc rId="2201" sId="12">
    <oc r="S18">
      <f>G18*D18</f>
    </oc>
    <nc r="S18">
      <f>G18*D18</f>
    </nc>
  </rcc>
  <rcc rId="2202" sId="12">
    <oc r="T18">
      <f>H18*D18</f>
    </oc>
    <nc r="T18">
      <f>H18*D18</f>
    </nc>
  </rcc>
  <rcc rId="2203" sId="12">
    <oc r="U18">
      <f>I18*D18</f>
    </oc>
    <nc r="U18">
      <f>I18*D18</f>
    </nc>
  </rcc>
  <rcc rId="2204" sId="12">
    <oc r="V18">
      <f>J18*D18</f>
    </oc>
    <nc r="V18">
      <f>J18*D18</f>
    </nc>
  </rcc>
  <rcc rId="2205" sId="12">
    <oc r="E19">
      <f>D19*C19</f>
    </oc>
    <nc r="E19">
      <f>D19*C19</f>
    </nc>
  </rcc>
  <rcc rId="2206" sId="12">
    <oc r="K19">
      <f>G19+H19+I19+J19</f>
    </oc>
    <nc r="K19">
      <f>G19+H19+I19+J19</f>
    </nc>
  </rcc>
  <rcc rId="2207" sId="12">
    <oc r="L19">
      <f>D19*K19</f>
    </oc>
    <nc r="L19">
      <f>D19*K19</f>
    </nc>
  </rcc>
  <rcc rId="2208" sId="12">
    <oc r="M19">
      <f>F19-K19</f>
    </oc>
    <nc r="M19">
      <f>F19-K19</f>
    </nc>
  </rcc>
  <rcc rId="2209" sId="12">
    <oc r="N19">
      <f>K19/C19</f>
    </oc>
    <nc r="N19">
      <f>K19/C19</f>
    </nc>
  </rcc>
  <rcc rId="2210" sId="12">
    <oc r="S19">
      <f>G19*D19</f>
    </oc>
    <nc r="S19">
      <f>G19*D19</f>
    </nc>
  </rcc>
  <rcc rId="2211" sId="12">
    <oc r="T19">
      <f>H19*D19</f>
    </oc>
    <nc r="T19">
      <f>H19*D19</f>
    </nc>
  </rcc>
  <rcc rId="2212" sId="12">
    <oc r="U19">
      <f>I19*D19</f>
    </oc>
    <nc r="U19">
      <f>I19*D19</f>
    </nc>
  </rcc>
  <rcc rId="2213" sId="12">
    <oc r="V19">
      <f>J19*D19</f>
    </oc>
    <nc r="V19">
      <f>J19*D19</f>
    </nc>
  </rcc>
  <rcc rId="2214" sId="12">
    <oc r="E20">
      <f>D20*C20</f>
    </oc>
    <nc r="E20">
      <f>D20*C20</f>
    </nc>
  </rcc>
  <rcc rId="2215" sId="12">
    <oc r="K20">
      <f>G20+H20+I20+J20</f>
    </oc>
    <nc r="K20">
      <f>G20+H20+I20+J20</f>
    </nc>
  </rcc>
  <rcc rId="2216" sId="12">
    <oc r="L20">
      <f>D20*K20</f>
    </oc>
    <nc r="L20">
      <f>D20*K20</f>
    </nc>
  </rcc>
  <rcc rId="2217" sId="12">
    <oc r="M20">
      <f>F20-K20</f>
    </oc>
    <nc r="M20">
      <f>F20-K20</f>
    </nc>
  </rcc>
  <rcc rId="2218" sId="12">
    <oc r="N20">
      <f>K20/C20</f>
    </oc>
    <nc r="N20">
      <f>K20/C20</f>
    </nc>
  </rcc>
  <rcc rId="2219" sId="12">
    <oc r="S20">
      <f>G20*D20</f>
    </oc>
    <nc r="S20">
      <f>G20*D20</f>
    </nc>
  </rcc>
  <rcc rId="2220" sId="12">
    <oc r="T20">
      <f>H20*D20</f>
    </oc>
    <nc r="T20">
      <f>H20*D20</f>
    </nc>
  </rcc>
  <rcc rId="2221" sId="12">
    <oc r="U20">
      <f>I20*D20</f>
    </oc>
    <nc r="U20">
      <f>I20*D20</f>
    </nc>
  </rcc>
  <rcc rId="2222" sId="12">
    <oc r="V20">
      <f>J20*D20</f>
    </oc>
    <nc r="V20">
      <f>J20*D20</f>
    </nc>
  </rcc>
  <rfmt sheetId="12" s="1" sqref="B22" start="0" length="0">
    <dxf>
      <font>
        <sz val="12"/>
        <color auto="1"/>
        <name val="Arial Cyr"/>
        <scheme val="none"/>
      </font>
      <alignment horizontal="left" readingOrder="0"/>
      <protection locked="0"/>
    </dxf>
  </rfmt>
  <rcc rId="2223" sId="12" odxf="1" dxf="1">
    <oc r="C22">
      <f>38</f>
    </oc>
    <nc r="C22">
      <f>38</f>
    </nc>
    <odxf>
      <border outline="0">
        <left/>
      </border>
    </odxf>
    <ndxf>
      <border outline="0">
        <left style="medium">
          <color indexed="64"/>
        </left>
      </border>
    </ndxf>
  </rcc>
  <rcc rId="2224" sId="12">
    <oc r="E22">
      <f>D22*C22</f>
    </oc>
    <nc r="E22">
      <f>D22*C22</f>
    </nc>
  </rcc>
  <rcc rId="2225" sId="12">
    <oc r="K22">
      <f>G22+H22+I22+J22</f>
    </oc>
    <nc r="K22">
      <f>G22+H22+I22+J22</f>
    </nc>
  </rcc>
  <rcc rId="2226" sId="12">
    <oc r="L22">
      <f>D22*K22</f>
    </oc>
    <nc r="L22">
      <f>D22*K22</f>
    </nc>
  </rcc>
  <rcc rId="2227" sId="12">
    <oc r="M22">
      <f>F22-K22</f>
    </oc>
    <nc r="M22">
      <f>F22-K22</f>
    </nc>
  </rcc>
  <rcc rId="2228" sId="12">
    <oc r="N22">
      <f>K22/C22</f>
    </oc>
    <nc r="N22">
      <f>K22/C22</f>
    </nc>
  </rcc>
  <rcc rId="2229" sId="12">
    <oc r="S22">
      <f>G22*D22</f>
    </oc>
    <nc r="S22">
      <f>G22*D22</f>
    </nc>
  </rcc>
  <rcc rId="2230" sId="12">
    <oc r="T22">
      <f>H22*D22</f>
    </oc>
    <nc r="T22">
      <f>H22*D22</f>
    </nc>
  </rcc>
  <rcc rId="2231" sId="12">
    <oc r="U22">
      <f>I22*D22</f>
    </oc>
    <nc r="U22">
      <f>I22*D22</f>
    </nc>
  </rcc>
  <rcc rId="2232" sId="12">
    <oc r="V22">
      <f>J22*D22</f>
    </oc>
    <nc r="V22">
      <f>J22*D22</f>
    </nc>
  </rcc>
  <rcc rId="2233" sId="12" odxf="1" dxf="1">
    <oc r="C23">
      <f>86+35+80</f>
    </oc>
    <nc r="C23">
      <f>86+35+80</f>
    </nc>
    <odxf>
      <border outline="0">
        <left/>
      </border>
    </odxf>
    <ndxf>
      <border outline="0">
        <left style="medium">
          <color indexed="64"/>
        </left>
      </border>
    </ndxf>
  </rcc>
  <rcc rId="2234" sId="12">
    <oc r="E23">
      <f>D23*C23</f>
    </oc>
    <nc r="E23">
      <f>D23*C23</f>
    </nc>
  </rcc>
  <rcc rId="2235" sId="12">
    <oc r="K23">
      <f>G23+H23+I23+J23</f>
    </oc>
    <nc r="K23">
      <f>G23+H23+I23+J23</f>
    </nc>
  </rcc>
  <rcc rId="2236" sId="12">
    <oc r="L23">
      <f>D23*K23</f>
    </oc>
    <nc r="L23">
      <f>D23*K23</f>
    </nc>
  </rcc>
  <rcc rId="2237" sId="12">
    <oc r="M23">
      <f>F23-K23</f>
    </oc>
    <nc r="M23">
      <f>F23-K23</f>
    </nc>
  </rcc>
  <rcc rId="2238" sId="12">
    <oc r="N23">
      <f>K23/C23</f>
    </oc>
    <nc r="N23">
      <f>K23/C23</f>
    </nc>
  </rcc>
  <rcc rId="2239" sId="12">
    <oc r="S23">
      <f>G23*D23</f>
    </oc>
    <nc r="S23">
      <f>G23*D23</f>
    </nc>
  </rcc>
  <rcc rId="2240" sId="12">
    <oc r="T23">
      <f>H23*D23</f>
    </oc>
    <nc r="T23">
      <f>H23*D23</f>
    </nc>
  </rcc>
  <rcc rId="2241" sId="12">
    <oc r="U23">
      <f>I23*D23</f>
    </oc>
    <nc r="U23">
      <f>I23*D23</f>
    </nc>
  </rcc>
  <rcc rId="2242" sId="12">
    <oc r="V23">
      <f>J23*D23</f>
    </oc>
    <nc r="V23">
      <f>J23*D23</f>
    </nc>
  </rcc>
  <rfmt sheetId="12" sqref="B24" start="0" length="0">
    <dxf>
      <font>
        <sz val="12"/>
      </font>
    </dxf>
  </rfmt>
  <rcc rId="2243" sId="12" odxf="1" dxf="1">
    <oc r="C24">
      <f>38</f>
    </oc>
    <nc r="C24">
      <f>38</f>
    </nc>
    <odxf>
      <border outline="0">
        <left/>
      </border>
    </odxf>
    <ndxf>
      <border outline="0">
        <left style="medium">
          <color indexed="64"/>
        </left>
      </border>
    </ndxf>
  </rcc>
  <rcc rId="2244" sId="12">
    <oc r="E24">
      <f>D24*C24</f>
    </oc>
    <nc r="E24">
      <f>D24*C24</f>
    </nc>
  </rcc>
  <rcc rId="2245" sId="12">
    <oc r="K24">
      <f>G24+H24+I24+J24</f>
    </oc>
    <nc r="K24">
      <f>G24+H24+I24+J24</f>
    </nc>
  </rcc>
  <rcc rId="2246" sId="12">
    <oc r="L24">
      <f>D24*K24</f>
    </oc>
    <nc r="L24">
      <f>D24*K24</f>
    </nc>
  </rcc>
  <rcc rId="2247" sId="12">
    <oc r="M24">
      <f>F24-K24</f>
    </oc>
    <nc r="M24">
      <f>F24-K24</f>
    </nc>
  </rcc>
  <rcc rId="2248" sId="12">
    <oc r="N24">
      <f>K24/C24</f>
    </oc>
    <nc r="N24">
      <f>K24/C24</f>
    </nc>
  </rcc>
  <rcc rId="2249" sId="12">
    <oc r="S24">
      <f>G24*D24</f>
    </oc>
    <nc r="S24">
      <f>G24*D24</f>
    </nc>
  </rcc>
  <rcc rId="2250" sId="12">
    <oc r="T24">
      <f>H24*D24</f>
    </oc>
    <nc r="T24">
      <f>H24*D24</f>
    </nc>
  </rcc>
  <rcc rId="2251" sId="12">
    <oc r="U24">
      <f>I24*D24</f>
    </oc>
    <nc r="U24">
      <f>I24*D24</f>
    </nc>
  </rcc>
  <rcc rId="2252" sId="12">
    <oc r="V24">
      <f>J24*D24</f>
    </oc>
    <nc r="V24">
      <f>J24*D24</f>
    </nc>
  </rcc>
  <rfmt sheetId="12" s="1" sqref="B25" start="0" length="0">
    <dxf>
      <font>
        <sz val="12"/>
        <color auto="1"/>
        <name val="Arial Cyr"/>
        <scheme val="none"/>
      </font>
      <alignment horizontal="left" readingOrder="0"/>
      <protection locked="0"/>
    </dxf>
  </rfmt>
  <rfmt sheetId="12" sqref="C25" start="0" length="0">
    <dxf>
      <border outline="0">
        <left style="medium">
          <color indexed="64"/>
        </left>
      </border>
    </dxf>
  </rfmt>
  <rcc rId="2253" sId="12">
    <oc r="E25">
      <f>D25*C25</f>
    </oc>
    <nc r="E25">
      <f>D25*C25</f>
    </nc>
  </rcc>
  <rcc rId="2254" sId="12">
    <oc r="K25">
      <f>G25+H25+I25+J25</f>
    </oc>
    <nc r="K25">
      <f>G25+H25+I25+J25</f>
    </nc>
  </rcc>
  <rcc rId="2255" sId="12">
    <oc r="L25">
      <f>D25*K25</f>
    </oc>
    <nc r="L25">
      <f>D25*K25</f>
    </nc>
  </rcc>
  <rcc rId="2256" sId="12">
    <oc r="M25">
      <f>F25-K25</f>
    </oc>
    <nc r="M25">
      <f>F25-K25</f>
    </nc>
  </rcc>
  <rcc rId="2257" sId="12">
    <oc r="N25">
      <f>K25/C25</f>
    </oc>
    <nc r="N25">
      <f>K25/C25</f>
    </nc>
  </rcc>
  <rcc rId="2258" sId="12">
    <oc r="S25">
      <f>G25*D25</f>
    </oc>
    <nc r="S25">
      <f>G25*D25</f>
    </nc>
  </rcc>
  <rcc rId="2259" sId="12">
    <oc r="T25">
      <f>H25*D25</f>
    </oc>
    <nc r="T25">
      <f>H25*D25</f>
    </nc>
  </rcc>
  <rcc rId="2260" sId="12">
    <oc r="U25">
      <f>I25*D25</f>
    </oc>
    <nc r="U25">
      <f>I25*D25</f>
    </nc>
  </rcc>
  <rcc rId="2261" sId="12">
    <oc r="V25">
      <f>J25*D25</f>
    </oc>
    <nc r="V25">
      <f>J25*D25</f>
    </nc>
  </rcc>
  <rcc rId="2262" sId="12" odxf="1" dxf="1">
    <oc r="C26">
      <f>38+86+35+80</f>
    </oc>
    <nc r="C26">
      <f>38+86+35+80</f>
    </nc>
    <odxf>
      <border outline="0">
        <left/>
      </border>
    </odxf>
    <ndxf>
      <border outline="0">
        <left style="medium">
          <color indexed="64"/>
        </left>
      </border>
    </ndxf>
  </rcc>
  <rcc rId="2263" sId="12">
    <oc r="E26">
      <f>D26*C26</f>
    </oc>
    <nc r="E26">
      <f>D26*C26</f>
    </nc>
  </rcc>
  <rcc rId="2264" sId="12">
    <oc r="K26">
      <f>G26+H26+I26+J26</f>
    </oc>
    <nc r="K26">
      <f>G26+H26+I26+J26</f>
    </nc>
  </rcc>
  <rcc rId="2265" sId="12">
    <oc r="L26">
      <f>D26*K26</f>
    </oc>
    <nc r="L26">
      <f>D26*K26</f>
    </nc>
  </rcc>
  <rcc rId="2266" sId="12">
    <oc r="M26">
      <f>F26-K26</f>
    </oc>
    <nc r="M26">
      <f>F26-K26</f>
    </nc>
  </rcc>
  <rcc rId="2267" sId="12">
    <oc r="N26">
      <f>K26/C26</f>
    </oc>
    <nc r="N26">
      <f>K26/C26</f>
    </nc>
  </rcc>
  <rcc rId="2268" sId="12">
    <oc r="S26">
      <f>G26*D26</f>
    </oc>
    <nc r="S26">
      <f>G26*D26</f>
    </nc>
  </rcc>
  <rcc rId="2269" sId="12">
    <oc r="T26">
      <f>H26*D26</f>
    </oc>
    <nc r="T26">
      <f>H26*D26</f>
    </nc>
  </rcc>
  <rcc rId="2270" sId="12">
    <oc r="U26">
      <f>I26*D26</f>
    </oc>
    <nc r="U26">
      <f>I26*D26</f>
    </nc>
  </rcc>
  <rcc rId="2271" sId="12">
    <oc r="V26">
      <f>J26*D26</f>
    </oc>
    <nc r="V26">
      <f>J26*D26</f>
    </nc>
  </rcc>
  <rfmt sheetId="12" s="1" sqref="B27" start="0" length="0">
    <dxf>
      <font>
        <sz val="12"/>
        <color auto="1"/>
        <name val="Arial Cyr"/>
        <scheme val="none"/>
      </font>
      <alignment horizontal="left" readingOrder="0"/>
    </dxf>
  </rfmt>
  <rfmt sheetId="12" sqref="C27" start="0" length="0">
    <dxf>
      <border outline="0">
        <left style="medium">
          <color indexed="64"/>
        </left>
      </border>
    </dxf>
  </rfmt>
  <rcc rId="2272" sId="12">
    <oc r="E27">
      <f>D27*C27</f>
    </oc>
    <nc r="E27">
      <f>D27*C27</f>
    </nc>
  </rcc>
  <rcc rId="2273" sId="12">
    <oc r="K27">
      <f>G27+H27+I27+J27</f>
    </oc>
    <nc r="K27">
      <f>G27+H27+I27+J27</f>
    </nc>
  </rcc>
  <rcc rId="2274" sId="12">
    <oc r="L27">
      <f>D27*K27</f>
    </oc>
    <nc r="L27">
      <f>D27*K27</f>
    </nc>
  </rcc>
  <rcc rId="2275" sId="12">
    <oc r="M27">
      <f>F27-K27</f>
    </oc>
    <nc r="M27">
      <f>F27-K27</f>
    </nc>
  </rcc>
  <rcc rId="2276" sId="12">
    <oc r="N27">
      <f>K27/C27</f>
    </oc>
    <nc r="N27">
      <f>K27/C27</f>
    </nc>
  </rcc>
  <rcc rId="2277" sId="12">
    <oc r="S27">
      <f>G27*D27</f>
    </oc>
    <nc r="S27">
      <f>G27*D27</f>
    </nc>
  </rcc>
  <rcc rId="2278" sId="12">
    <oc r="T27">
      <f>H27*D27</f>
    </oc>
    <nc r="T27">
      <f>H27*D27</f>
    </nc>
  </rcc>
  <rcc rId="2279" sId="12">
    <oc r="U27">
      <f>I27*D27</f>
    </oc>
    <nc r="U27">
      <f>I27*D27</f>
    </nc>
  </rcc>
  <rcc rId="2280" sId="12">
    <oc r="V27">
      <f>J27*D27</f>
    </oc>
    <nc r="V27">
      <f>J27*D27</f>
    </nc>
  </rcc>
  <rfmt sheetId="12" sqref="A28" start="0" length="0">
    <dxf>
      <font>
        <sz val="14"/>
        <color indexed="8"/>
        <name val="Times New Roman"/>
        <scheme val="none"/>
      </font>
      <alignment vertical="top" readingOrder="0"/>
    </dxf>
  </rfmt>
  <rfmt sheetId="12" sqref="C28" start="0" length="0">
    <dxf>
      <border outline="0">
        <left style="medium">
          <color indexed="64"/>
        </left>
      </border>
    </dxf>
  </rfmt>
  <rcc rId="2281" sId="12">
    <oc r="S28">
      <f>G28*D28</f>
    </oc>
    <nc r="S28">
      <f>G28*D28</f>
    </nc>
  </rcc>
  <rcc rId="2282" sId="12">
    <oc r="T28">
      <f>H28*D28</f>
    </oc>
    <nc r="T28">
      <f>H28*D28</f>
    </nc>
  </rcc>
  <rcc rId="2283" sId="12">
    <oc r="U28">
      <f>I28*D28</f>
    </oc>
    <nc r="U28">
      <f>I28*D28</f>
    </nc>
  </rcc>
  <rcc rId="2284" sId="12">
    <oc r="V28">
      <f>J28*D28</f>
    </oc>
    <nc r="V28">
      <f>J28*D28</f>
    </nc>
  </rcc>
  <rfmt sheetId="12" sqref="A29" start="0" length="0">
    <dxf>
      <font>
        <sz val="14"/>
        <color indexed="8"/>
        <name val="Times New Roman"/>
        <scheme val="none"/>
      </font>
      <alignment vertical="top" readingOrder="0"/>
    </dxf>
  </rfmt>
  <rfmt sheetId="12" sqref="B29" start="0" length="0">
    <dxf>
      <font>
        <sz val="12"/>
      </font>
    </dxf>
  </rfmt>
  <rcc rId="2285" sId="12" odxf="1" dxf="1">
    <oc r="C29">
      <f>86*2+35*2+80*2</f>
    </oc>
    <nc r="C29">
      <f>86*2+35*2+80*2</f>
    </nc>
    <odxf>
      <border outline="0">
        <left/>
      </border>
    </odxf>
    <ndxf>
      <border outline="0">
        <left style="medium">
          <color indexed="64"/>
        </left>
      </border>
    </ndxf>
  </rcc>
  <rfmt sheetId="12" sqref="D29" start="0" length="0">
    <dxf>
      <font>
        <sz val="12"/>
      </font>
    </dxf>
  </rfmt>
  <rcc rId="2286" sId="12">
    <oc r="E29">
      <f>D29*C29</f>
    </oc>
    <nc r="E29">
      <f>D29*C29</f>
    </nc>
  </rcc>
  <rfmt sheetId="12" sqref="I29" start="0" length="0">
    <dxf>
      <font>
        <sz val="12"/>
      </font>
    </dxf>
  </rfmt>
  <rfmt sheetId="12" sqref="J29" start="0" length="0">
    <dxf>
      <font>
        <sz val="12"/>
      </font>
    </dxf>
  </rfmt>
  <rcc rId="2287" sId="12">
    <oc r="K29">
      <f>G29+H29+I29+J29</f>
    </oc>
    <nc r="K29">
      <f>G29+H29+I29+J29</f>
    </nc>
  </rcc>
  <rcc rId="2288" sId="12">
    <oc r="L29">
      <f>D29*K29</f>
    </oc>
    <nc r="L29">
      <f>D29*K29</f>
    </nc>
  </rcc>
  <rcc rId="2289" sId="12">
    <oc r="M29">
      <f>F29-K29</f>
    </oc>
    <nc r="M29">
      <f>F29-K29</f>
    </nc>
  </rcc>
  <rcc rId="2290" sId="12">
    <oc r="N29">
      <f>K29/C29</f>
    </oc>
    <nc r="N29">
      <f>K29/C29</f>
    </nc>
  </rcc>
  <rcc rId="2291" sId="12">
    <oc r="S29">
      <f>G29*D29</f>
    </oc>
    <nc r="S29">
      <f>G29*D29</f>
    </nc>
  </rcc>
  <rcc rId="2292" sId="12">
    <oc r="T29">
      <f>H29*D29</f>
    </oc>
    <nc r="T29">
      <f>H29*D29</f>
    </nc>
  </rcc>
  <rcc rId="2293" sId="12">
    <oc r="U29">
      <f>I29*D29</f>
    </oc>
    <nc r="U29">
      <f>I29*D29</f>
    </nc>
  </rcc>
  <rcc rId="2294" sId="12">
    <oc r="V29">
      <f>J29*D29</f>
    </oc>
    <nc r="V29">
      <f>J29*D29</f>
    </nc>
  </rcc>
  <rfmt sheetId="12" sqref="C31" start="0" length="0">
    <dxf>
      <border outline="0">
        <left style="medium">
          <color indexed="64"/>
        </left>
      </border>
    </dxf>
  </rfmt>
  <rcc rId="2295" sId="12">
    <oc r="E31">
      <f>D31*C31</f>
    </oc>
    <nc r="E31">
      <f>D31*C31</f>
    </nc>
  </rcc>
  <rcc rId="2296" sId="12">
    <oc r="K31">
      <f>G31+H31+I31+J31</f>
    </oc>
    <nc r="K31">
      <f>G31+H31+I31+J31</f>
    </nc>
  </rcc>
  <rcc rId="2297" sId="12">
    <oc r="L31">
      <f>D31*K31</f>
    </oc>
    <nc r="L31">
      <f>D31*K31</f>
    </nc>
  </rcc>
  <rcc rId="2298" sId="12">
    <oc r="M31">
      <f>F31-K31</f>
    </oc>
    <nc r="M31">
      <f>F31-K31</f>
    </nc>
  </rcc>
  <rcc rId="2299" sId="12">
    <oc r="N31">
      <f>K31/C31</f>
    </oc>
    <nc r="N31">
      <f>K31/C31</f>
    </nc>
  </rcc>
  <rcc rId="2300" sId="12">
    <oc r="S31">
      <f>G31*D31</f>
    </oc>
    <nc r="S31">
      <f>G31*D31</f>
    </nc>
  </rcc>
  <rcc rId="2301" sId="12">
    <oc r="T31">
      <f>H31*D31</f>
    </oc>
    <nc r="T31">
      <f>H31*D31</f>
    </nc>
  </rcc>
  <rcc rId="2302" sId="12">
    <oc r="U31">
      <f>I31*D31</f>
    </oc>
    <nc r="U31">
      <f>I31*D31</f>
    </nc>
  </rcc>
  <rcc rId="2303" sId="12">
    <oc r="V31">
      <f>J31*D31</f>
    </oc>
    <nc r="V31">
      <f>J31*D31</f>
    </nc>
  </rcc>
  <rfmt sheetId="12" sqref="C32" start="0" length="0">
    <dxf>
      <border outline="0">
        <left style="medium">
          <color indexed="64"/>
        </left>
      </border>
    </dxf>
  </rfmt>
  <rcc rId="2304" sId="12">
    <oc r="E32">
      <f>D32*C32</f>
    </oc>
    <nc r="E32">
      <f>D32*C32</f>
    </nc>
  </rcc>
  <rcc rId="2305" sId="12">
    <oc r="K32">
      <f>G32+H32+I32+J32</f>
    </oc>
    <nc r="K32">
      <f>G32+H32+I32+J32</f>
    </nc>
  </rcc>
  <rcc rId="2306" sId="12">
    <oc r="L32">
      <f>D32*K32</f>
    </oc>
    <nc r="L32">
      <f>D32*K32</f>
    </nc>
  </rcc>
  <rcc rId="2307" sId="12">
    <oc r="M32">
      <f>F32-K32</f>
    </oc>
    <nc r="M32">
      <f>F32-K32</f>
    </nc>
  </rcc>
  <rcc rId="2308" sId="12">
    <oc r="N32">
      <f>K32/C32</f>
    </oc>
    <nc r="N32">
      <f>K32/C32</f>
    </nc>
  </rcc>
  <rcc rId="2309" sId="12">
    <oc r="S32">
      <f>G32*D32</f>
    </oc>
    <nc r="S32">
      <f>G32*D32</f>
    </nc>
  </rcc>
  <rcc rId="2310" sId="12">
    <oc r="T32">
      <f>H32*D32</f>
    </oc>
    <nc r="T32">
      <f>H32*D32</f>
    </nc>
  </rcc>
  <rcc rId="2311" sId="12">
    <oc r="U32">
      <f>I32*D32</f>
    </oc>
    <nc r="U32">
      <f>I32*D32</f>
    </nc>
  </rcc>
  <rcc rId="2312" sId="12">
    <oc r="V32">
      <f>J32*D32</f>
    </oc>
    <nc r="V32">
      <f>J32*D32</f>
    </nc>
  </rcc>
  <rfmt sheetId="12" sqref="C33" start="0" length="0">
    <dxf>
      <border outline="0">
        <left style="medium">
          <color indexed="64"/>
        </left>
      </border>
    </dxf>
  </rfmt>
  <rcc rId="2313" sId="12">
    <oc r="E33">
      <f>D33*C33</f>
    </oc>
    <nc r="E33">
      <f>D33*C33</f>
    </nc>
  </rcc>
  <rcc rId="2314" sId="12">
    <oc r="K33">
      <f>G33+H33+I33+J33</f>
    </oc>
    <nc r="K33">
      <f>G33+H33+I33+J33</f>
    </nc>
  </rcc>
  <rcc rId="2315" sId="12">
    <oc r="L33">
      <f>D33*K33</f>
    </oc>
    <nc r="L33">
      <f>D33*K33</f>
    </nc>
  </rcc>
  <rcc rId="2316" sId="12">
    <oc r="M33">
      <f>F33-K33</f>
    </oc>
    <nc r="M33">
      <f>F33-K33</f>
    </nc>
  </rcc>
  <rcc rId="2317" sId="12">
    <oc r="N33">
      <f>K33/C33</f>
    </oc>
    <nc r="N33">
      <f>K33/C33</f>
    </nc>
  </rcc>
  <rcc rId="2318" sId="12">
    <oc r="S33">
      <f>G33*D33</f>
    </oc>
    <nc r="S33">
      <f>G33*D33</f>
    </nc>
  </rcc>
  <rcc rId="2319" sId="12">
    <oc r="T33">
      <f>H33*D33</f>
    </oc>
    <nc r="T33">
      <f>H33*D33</f>
    </nc>
  </rcc>
  <rcc rId="2320" sId="12">
    <oc r="U33">
      <f>I33*D33</f>
    </oc>
    <nc r="U33">
      <f>I33*D33</f>
    </nc>
  </rcc>
  <rcc rId="2321" sId="12">
    <oc r="V33">
      <f>J33*D33</f>
    </oc>
    <nc r="V33">
      <f>J33*D33</f>
    </nc>
  </rcc>
  <rfmt sheetId="12" sqref="C34" start="0" length="0">
    <dxf>
      <border outline="0">
        <left style="medium">
          <color indexed="64"/>
        </left>
      </border>
    </dxf>
  </rfmt>
  <rcc rId="2322" sId="12">
    <oc r="E34">
      <f>D34*C34</f>
    </oc>
    <nc r="E34">
      <f>D34*C34</f>
    </nc>
  </rcc>
  <rcc rId="2323" sId="12">
    <oc r="K34">
      <f>G34+H34+I34+J34</f>
    </oc>
    <nc r="K34">
      <f>G34+H34+I34+J34</f>
    </nc>
  </rcc>
  <rcc rId="2324" sId="12">
    <oc r="L34">
      <f>D34*K34</f>
    </oc>
    <nc r="L34">
      <f>D34*K34</f>
    </nc>
  </rcc>
  <rcc rId="2325" sId="12">
    <oc r="M34">
      <f>F34-K34</f>
    </oc>
    <nc r="M34">
      <f>F34-K34</f>
    </nc>
  </rcc>
  <rcc rId="2326" sId="12">
    <oc r="N34">
      <f>K34/C34</f>
    </oc>
    <nc r="N34">
      <f>K34/C34</f>
    </nc>
  </rcc>
  <rcc rId="2327" sId="12">
    <oc r="S34">
      <f>G34*D34</f>
    </oc>
    <nc r="S34">
      <f>G34*D34</f>
    </nc>
  </rcc>
  <rcc rId="2328" sId="12">
    <oc r="T34">
      <f>H34*D34</f>
    </oc>
    <nc r="T34">
      <f>H34*D34</f>
    </nc>
  </rcc>
  <rcc rId="2329" sId="12">
    <oc r="U34">
      <f>I34*D34</f>
    </oc>
    <nc r="U34">
      <f>I34*D34</f>
    </nc>
  </rcc>
  <rcc rId="2330" sId="12">
    <oc r="V34">
      <f>J34*D34</f>
    </oc>
    <nc r="V34">
      <f>J34*D34</f>
    </nc>
  </rcc>
  <rfmt sheetId="12" sqref="C35" start="0" length="0">
    <dxf>
      <border outline="0">
        <left style="medium">
          <color indexed="64"/>
        </left>
      </border>
    </dxf>
  </rfmt>
  <rcc rId="2331" sId="12">
    <oc r="E35">
      <f>D35*C35</f>
    </oc>
    <nc r="E35">
      <f>D35*C35</f>
    </nc>
  </rcc>
  <rcc rId="2332" sId="12">
    <oc r="K35">
      <f>G35+H35+I35+J35</f>
    </oc>
    <nc r="K35">
      <f>G35+H35+I35+J35</f>
    </nc>
  </rcc>
  <rcc rId="2333" sId="12">
    <oc r="L35">
      <f>D35*K35</f>
    </oc>
    <nc r="L35">
      <f>D35*K35</f>
    </nc>
  </rcc>
  <rcc rId="2334" sId="12">
    <oc r="M35">
      <f>F35-K35</f>
    </oc>
    <nc r="M35">
      <f>F35-K35</f>
    </nc>
  </rcc>
  <rcc rId="2335" sId="12">
    <oc r="N35">
      <f>K35/C35</f>
    </oc>
    <nc r="N35">
      <f>K35/C35</f>
    </nc>
  </rcc>
  <rcc rId="2336" sId="12">
    <oc r="S35">
      <f>G35*D35</f>
    </oc>
    <nc r="S35">
      <f>G35*D35</f>
    </nc>
  </rcc>
  <rcc rId="2337" sId="12">
    <oc r="T35">
      <f>H35*D35</f>
    </oc>
    <nc r="T35">
      <f>H35*D35</f>
    </nc>
  </rcc>
  <rcc rId="2338" sId="12">
    <oc r="U35">
      <f>I35*D35</f>
    </oc>
    <nc r="U35">
      <f>I35*D35</f>
    </nc>
  </rcc>
  <rcc rId="2339" sId="12">
    <oc r="V35">
      <f>J35*D35</f>
    </oc>
    <nc r="V35">
      <f>J35*D35</f>
    </nc>
  </rcc>
  <rcc rId="2340" sId="12" odxf="1" dxf="1">
    <oc r="C37">
      <f>84+50+144+70+20+50</f>
    </oc>
    <nc r="C37">
      <f>84+50+144+70+20+50</f>
    </nc>
    <odxf>
      <border outline="0">
        <left/>
      </border>
    </odxf>
    <ndxf>
      <border outline="0">
        <left style="medium">
          <color indexed="64"/>
        </left>
      </border>
    </ndxf>
  </rcc>
  <rcc rId="2341" sId="12">
    <oc r="E37">
      <f>D37*C37</f>
    </oc>
    <nc r="E37">
      <f>D37*C37</f>
    </nc>
  </rcc>
  <rcc rId="2342" sId="12">
    <oc r="K37">
      <f>G37+H37+I37+J37</f>
    </oc>
    <nc r="K37">
      <f>G37+H37+I37+J37</f>
    </nc>
  </rcc>
  <rcc rId="2343" sId="12">
    <oc r="L37">
      <f>D37*K37</f>
    </oc>
    <nc r="L37">
      <f>D37*K37</f>
    </nc>
  </rcc>
  <rcc rId="2344" sId="12">
    <oc r="M37">
      <f>F37-K37</f>
    </oc>
    <nc r="M37">
      <f>F37-K37</f>
    </nc>
  </rcc>
  <rcc rId="2345" sId="12">
    <oc r="N37">
      <f>K37/C37</f>
    </oc>
    <nc r="N37">
      <f>K37/C37</f>
    </nc>
  </rcc>
  <rcc rId="2346" sId="12">
    <oc r="S37">
      <f>G37*D37</f>
    </oc>
    <nc r="S37">
      <f>G37*D37</f>
    </nc>
  </rcc>
  <rcc rId="2347" sId="12">
    <oc r="T37">
      <f>H37*D37</f>
    </oc>
    <nc r="T37">
      <f>H37*D37</f>
    </nc>
  </rcc>
  <rcc rId="2348" sId="12">
    <oc r="U37">
      <f>I37*D37</f>
    </oc>
    <nc r="U37">
      <f>I37*D37</f>
    </nc>
  </rcc>
  <rcc rId="2349" sId="12">
    <oc r="V37">
      <f>J37*D37</f>
    </oc>
    <nc r="V37">
      <f>J37*D37</f>
    </nc>
  </rcc>
  <rfmt sheetId="12" sqref="C39" start="0" length="0">
    <dxf>
      <font>
        <sz val="12"/>
        <color rgb="FFFF0000"/>
      </font>
      <border outline="0">
        <left style="medium">
          <color indexed="64"/>
        </left>
      </border>
    </dxf>
  </rfmt>
  <rcc rId="2350" sId="12">
    <oc r="E39">
      <f>D39*C39</f>
    </oc>
    <nc r="E39">
      <f>D39*C39</f>
    </nc>
  </rcc>
  <rfmt sheetId="12" sqref="J39" start="0" length="0">
    <dxf>
      <font>
        <sz val="12"/>
      </font>
    </dxf>
  </rfmt>
  <rcc rId="2351" sId="12">
    <oc r="K39">
      <f>G39+H39+I39+J39</f>
    </oc>
    <nc r="K39">
      <f>G39+H39+I39+J39</f>
    </nc>
  </rcc>
  <rcc rId="2352" sId="12">
    <oc r="L39">
      <f>D39*K39</f>
    </oc>
    <nc r="L39">
      <f>D39*K39</f>
    </nc>
  </rcc>
  <rcc rId="2353" sId="12">
    <oc r="M39">
      <f>F39-K39</f>
    </oc>
    <nc r="M39">
      <f>F39-K39</f>
    </nc>
  </rcc>
  <rcc rId="2354" sId="12">
    <oc r="N39">
      <f>K39/C39</f>
    </oc>
    <nc r="N39">
      <f>K39/C39</f>
    </nc>
  </rcc>
  <rcc rId="2355" sId="12">
    <oc r="S39">
      <f>G39*D39</f>
    </oc>
    <nc r="S39">
      <f>G39*D39</f>
    </nc>
  </rcc>
  <rcc rId="2356" sId="12">
    <oc r="T39">
      <f>H39*D39</f>
    </oc>
    <nc r="T39">
      <f>H39*D39</f>
    </nc>
  </rcc>
  <rcc rId="2357" sId="12">
    <oc r="U39">
      <f>I39*D39</f>
    </oc>
    <nc r="U39">
      <f>I39*D39</f>
    </nc>
  </rcc>
  <rcc rId="2358" sId="12">
    <oc r="V39">
      <f>J39*D39</f>
    </oc>
    <nc r="V39">
      <f>J39*D39</f>
    </nc>
  </rcc>
  <rfmt sheetId="12" sqref="C40" start="0" length="0">
    <dxf>
      <border outline="0">
        <left style="medium">
          <color indexed="64"/>
        </left>
      </border>
    </dxf>
  </rfmt>
  <rcc rId="2359" sId="12">
    <oc r="S40">
      <f>G40*D40</f>
    </oc>
    <nc r="S40">
      <f>G40*D40</f>
    </nc>
  </rcc>
  <rcc rId="2360" sId="12">
    <oc r="T40">
      <f>H40*D40</f>
    </oc>
    <nc r="T40">
      <f>H40*D40</f>
    </nc>
  </rcc>
  <rcc rId="2361" sId="12">
    <oc r="U40">
      <f>I40*D40</f>
    </oc>
    <nc r="U40">
      <f>I40*D40</f>
    </nc>
  </rcc>
  <rcc rId="2362" sId="12">
    <oc r="V40">
      <f>J40*D40</f>
    </oc>
    <nc r="V40">
      <f>J40*D40</f>
    </nc>
  </rcc>
  <rfmt sheetId="12" s="1" sqref="B41" start="0" length="0">
    <dxf>
      <font>
        <sz val="12"/>
        <color auto="1"/>
        <name val="Arial Cyr"/>
        <scheme val="none"/>
      </font>
      <alignment horizontal="left" readingOrder="0"/>
    </dxf>
  </rfmt>
  <rfmt sheetId="12" sqref="C41" start="0" length="0">
    <dxf>
      <font>
        <sz val="12"/>
      </font>
      <border outline="0">
        <left style="medium">
          <color indexed="64"/>
        </left>
      </border>
    </dxf>
  </rfmt>
  <rcc rId="2363" sId="12">
    <oc r="E41">
      <f>D41*C41</f>
    </oc>
    <nc r="E41">
      <f>D41*C41</f>
    </nc>
  </rcc>
  <rfmt sheetId="12" sqref="G41" start="0" length="0">
    <dxf>
      <border outline="0">
        <bottom style="thin">
          <color indexed="64"/>
        </bottom>
      </border>
    </dxf>
  </rfmt>
  <rfmt sheetId="12" sqref="H41" start="0" length="0">
    <dxf>
      <border outline="0">
        <bottom style="thin">
          <color indexed="64"/>
        </bottom>
      </border>
    </dxf>
  </rfmt>
  <rfmt sheetId="12" sqref="I41" start="0" length="0">
    <dxf>
      <border outline="0">
        <bottom style="thin">
          <color indexed="64"/>
        </bottom>
      </border>
    </dxf>
  </rfmt>
  <rfmt sheetId="12" sqref="J41" start="0" length="0">
    <dxf>
      <border outline="0">
        <bottom style="thin">
          <color indexed="64"/>
        </bottom>
      </border>
    </dxf>
  </rfmt>
  <rcc rId="2364" sId="12">
    <oc r="K41">
      <f>G41+H41+I41+J41</f>
    </oc>
    <nc r="K41">
      <f>G41+H41+I41+J41</f>
    </nc>
  </rcc>
  <rcc rId="2365" sId="12">
    <oc r="L41">
      <f>D41*K41</f>
    </oc>
    <nc r="L41">
      <f>D41*K41</f>
    </nc>
  </rcc>
  <rcc rId="2366" sId="12">
    <oc r="M41">
      <f>F41-K41</f>
    </oc>
    <nc r="M41">
      <f>F41-K41</f>
    </nc>
  </rcc>
  <rcc rId="2367" sId="12">
    <oc r="N41">
      <f>K41/C41</f>
    </oc>
    <nc r="N41">
      <f>K41/C41</f>
    </nc>
  </rcc>
  <rcc rId="2368" sId="12">
    <oc r="S41">
      <f>G41*D41</f>
    </oc>
    <nc r="S41">
      <f>G41*D41</f>
    </nc>
  </rcc>
  <rcc rId="2369" sId="12">
    <oc r="T41">
      <f>H41*D41</f>
    </oc>
    <nc r="T41">
      <f>H41*D41</f>
    </nc>
  </rcc>
  <rcc rId="2370" sId="12">
    <oc r="U41">
      <f>I41*D41</f>
    </oc>
    <nc r="U41">
      <f>I41*D41</f>
    </nc>
  </rcc>
  <rcc rId="2371" sId="12">
    <oc r="V41">
      <f>J41*D41</f>
    </oc>
    <nc r="V41">
      <f>J41*D41</f>
    </nc>
  </rcc>
  <rcc rId="2372" sId="12">
    <oc r="E42">
      <f>D42*C42</f>
    </oc>
    <nc r="E42">
      <f>D42*C42</f>
    </nc>
  </rcc>
  <rcc rId="2373" sId="12">
    <oc r="K42">
      <f>G42+H42+I42+J42</f>
    </oc>
    <nc r="K42">
      <f>G42+H42+I42+J42</f>
    </nc>
  </rcc>
  <rcc rId="2374" sId="12">
    <oc r="L42">
      <f>D42*K42</f>
    </oc>
    <nc r="L42">
      <f>D42*K42</f>
    </nc>
  </rcc>
  <rcc rId="2375" sId="12">
    <oc r="M42">
      <f>F42-K42</f>
    </oc>
    <nc r="M42">
      <f>F42-K42</f>
    </nc>
  </rcc>
  <rcc rId="2376" sId="12">
    <oc r="N42">
      <f>K42/C42</f>
    </oc>
    <nc r="N42">
      <f>K42/C42</f>
    </nc>
  </rcc>
  <rcc rId="2377" sId="12">
    <oc r="S42">
      <f>G42*D42</f>
    </oc>
    <nc r="S42">
      <f>G42*D42</f>
    </nc>
  </rcc>
  <rcc rId="2378" sId="12">
    <oc r="T42">
      <f>H42*D42</f>
    </oc>
    <nc r="T42">
      <f>H42*D42</f>
    </nc>
  </rcc>
  <rcc rId="2379" sId="12">
    <oc r="U42">
      <f>I42*D42</f>
    </oc>
    <nc r="U42">
      <f>I42*D42</f>
    </nc>
  </rcc>
  <rcc rId="2380" sId="12">
    <oc r="V42">
      <f>J42*D42</f>
    </oc>
    <nc r="V42">
      <f>J42*D42</f>
    </nc>
  </rcc>
  <rfmt sheetId="12" s="1" sqref="B43" start="0" length="0">
    <dxf>
      <font>
        <sz val="12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wrapText="1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2" sqref="C43" start="0" length="0">
    <dxf>
      <font>
        <sz val="12"/>
        <color rgb="FFFF0000"/>
      </font>
      <border outline="0">
        <bottom style="thin">
          <color indexed="64"/>
        </bottom>
      </border>
    </dxf>
  </rfmt>
  <rfmt sheetId="12" sqref="D43" start="0" length="0">
    <dxf>
      <font>
        <sz val="12"/>
      </font>
      <border outline="0">
        <bottom style="thin">
          <color indexed="64"/>
        </bottom>
      </border>
    </dxf>
  </rfmt>
  <rcc rId="2381" sId="12">
    <oc r="E43">
      <f>D43*C43</f>
    </oc>
    <nc r="E43">
      <f>D43*C43</f>
    </nc>
  </rcc>
  <rfmt sheetId="12" sqref="F43" start="0" length="0">
    <dxf>
      <font>
        <sz val="12"/>
        <color rgb="FFFF0000"/>
      </font>
    </dxf>
  </rfmt>
  <rfmt sheetId="12" sqref="G43" start="0" length="0">
    <dxf>
      <border outline="0">
        <bottom style="thin">
          <color indexed="64"/>
        </bottom>
      </border>
    </dxf>
  </rfmt>
  <rfmt sheetId="12" sqref="H43" start="0" length="0">
    <dxf>
      <border outline="0">
        <bottom style="thin">
          <color indexed="64"/>
        </bottom>
      </border>
    </dxf>
  </rfmt>
  <rfmt sheetId="12" sqref="I43" start="0" length="0">
    <dxf>
      <border outline="0">
        <bottom style="thin">
          <color indexed="64"/>
        </bottom>
      </border>
    </dxf>
  </rfmt>
  <rfmt sheetId="12" sqref="J43" start="0" length="0">
    <dxf>
      <border outline="0">
        <bottom style="thin">
          <color indexed="64"/>
        </bottom>
      </border>
    </dxf>
  </rfmt>
  <rcc rId="2382" sId="12">
    <oc r="K43">
      <f>G43+H43+I43+J43</f>
    </oc>
    <nc r="K43">
      <f>G43+H43+I43+J43</f>
    </nc>
  </rcc>
  <rcc rId="2383" sId="12">
    <oc r="L43">
      <f>D43*K43</f>
    </oc>
    <nc r="L43">
      <f>D43*K43</f>
    </nc>
  </rcc>
  <rcc rId="2384" sId="12">
    <oc r="M43">
      <f>F43-K43</f>
    </oc>
    <nc r="M43">
      <f>F43-K43</f>
    </nc>
  </rcc>
  <rcc rId="2385" sId="12">
    <oc r="N43">
      <f>K43/C43</f>
    </oc>
    <nc r="N43">
      <f>K43/C43</f>
    </nc>
  </rcc>
  <rcc rId="2386" sId="12">
    <oc r="S43">
      <f>G43*D43</f>
    </oc>
    <nc r="S43">
      <f>G43*D43</f>
    </nc>
  </rcc>
  <rcc rId="2387" sId="12">
    <oc r="T43">
      <f>H43*D43</f>
    </oc>
    <nc r="T43">
      <f>H43*D43</f>
    </nc>
  </rcc>
  <rcc rId="2388" sId="12">
    <oc r="U43">
      <f>I43*D43</f>
    </oc>
    <nc r="U43">
      <f>I43*D43</f>
    </nc>
  </rcc>
  <rcc rId="2389" sId="12">
    <oc r="V43">
      <f>J43*D43</f>
    </oc>
    <nc r="V43">
      <f>J43*D43</f>
    </nc>
  </rcc>
  <rfmt sheetId="12" s="1" sqref="B44" start="0" length="0">
    <dxf>
      <font>
        <sz val="12"/>
        <color auto="1"/>
        <name val="Arial Cyr"/>
        <scheme val="none"/>
      </font>
      <alignment horizontal="left" readingOrder="0"/>
    </dxf>
  </rfmt>
  <rfmt sheetId="12" sqref="C44" start="0" length="0">
    <dxf>
      <font>
        <sz val="12"/>
        <color rgb="FFFF0000"/>
      </font>
      <border outline="0">
        <left style="medium">
          <color indexed="64"/>
        </left>
        <bottom style="thin">
          <color indexed="64"/>
        </bottom>
      </border>
    </dxf>
  </rfmt>
  <rfmt sheetId="12" sqref="D44" start="0" length="0">
    <dxf>
      <font>
        <sz val="12"/>
      </font>
      <border outline="0">
        <right style="medium">
          <color indexed="64"/>
        </right>
        <bottom style="thin">
          <color indexed="64"/>
        </bottom>
      </border>
    </dxf>
  </rfmt>
  <rcc rId="2390" sId="12">
    <oc r="E44">
      <f>D44*C44</f>
    </oc>
    <nc r="E44">
      <f>D44*C44</f>
    </nc>
  </rcc>
  <rfmt sheetId="12" sqref="F44" start="0" length="0">
    <dxf>
      <font>
        <sz val="12"/>
        <color rgb="FFFF0000"/>
      </font>
    </dxf>
  </rfmt>
  <rfmt sheetId="12" sqref="G44" start="0" length="0">
    <dxf>
      <border outline="0">
        <bottom style="thin">
          <color indexed="64"/>
        </bottom>
      </border>
    </dxf>
  </rfmt>
  <rfmt sheetId="12" sqref="H44" start="0" length="0">
    <dxf>
      <border outline="0">
        <bottom style="thin">
          <color indexed="64"/>
        </bottom>
      </border>
    </dxf>
  </rfmt>
  <rfmt sheetId="12" sqref="I44" start="0" length="0">
    <dxf>
      <border outline="0">
        <bottom style="thin">
          <color indexed="64"/>
        </bottom>
      </border>
    </dxf>
  </rfmt>
  <rfmt sheetId="12" sqref="J44" start="0" length="0">
    <dxf>
      <border outline="0">
        <bottom style="thin">
          <color indexed="64"/>
        </bottom>
      </border>
    </dxf>
  </rfmt>
  <rcc rId="2391" sId="12">
    <oc r="K44">
      <f>G44+H44+I44+J44</f>
    </oc>
    <nc r="K44">
      <f>G44+H44+I44+J44</f>
    </nc>
  </rcc>
  <rcc rId="2392" sId="12">
    <oc r="L44">
      <f>D44*K44</f>
    </oc>
    <nc r="L44">
      <f>D44*K44</f>
    </nc>
  </rcc>
  <rcc rId="2393" sId="12">
    <oc r="M44">
      <f>F44-K44</f>
    </oc>
    <nc r="M44">
      <f>F44-K44</f>
    </nc>
  </rcc>
  <rcc rId="2394" sId="12">
    <oc r="N44">
      <f>K44/C44</f>
    </oc>
    <nc r="N44">
      <f>K44/C44</f>
    </nc>
  </rcc>
  <rcc rId="2395" sId="12">
    <oc r="S44">
      <f>G44*D44</f>
    </oc>
    <nc r="S44">
      <f>G44*D44</f>
    </nc>
  </rcc>
  <rcc rId="2396" sId="12">
    <oc r="T44">
      <f>H44*D44</f>
    </oc>
    <nc r="T44">
      <f>H44*D44</f>
    </nc>
  </rcc>
  <rcc rId="2397" sId="12">
    <oc r="U44">
      <f>I44*D44</f>
    </oc>
    <nc r="U44">
      <f>I44*D44</f>
    </nc>
  </rcc>
  <rcc rId="2398" sId="12">
    <oc r="V44">
      <f>J44*D44</f>
    </oc>
    <nc r="V44">
      <f>J44*D44</f>
    </nc>
  </rcc>
  <rfmt sheetId="12" s="1" sqref="B45" start="0" length="0">
    <dxf>
      <font>
        <sz val="12"/>
        <color auto="1"/>
        <name val="Arial Cyr"/>
        <scheme val="none"/>
      </font>
      <alignment horizontal="left" readingOrder="0"/>
    </dxf>
  </rfmt>
  <rfmt sheetId="12" sqref="C45" start="0" length="0">
    <dxf>
      <border outline="0">
        <left style="medium">
          <color indexed="64"/>
        </left>
        <bottom style="thin">
          <color indexed="64"/>
        </bottom>
      </border>
    </dxf>
  </rfmt>
  <rfmt sheetId="12" s="1" sqref="D45" start="0" length="0">
    <dxf>
      <font>
        <sz val="12"/>
        <color auto="1"/>
        <name val="Arial Cyr"/>
        <scheme val="none"/>
      </font>
      <numFmt numFmtId="34" formatCode="_-* #,##0.00&quot;р.&quot;_-;\-* #,##0.00&quot;р.&quot;_-;_-* &quot;-&quot;??&quot;р.&quot;_-;_-@_-"/>
      <border outline="0">
        <right style="medium">
          <color indexed="64"/>
        </right>
        <bottom style="thin">
          <color indexed="64"/>
        </bottom>
      </border>
    </dxf>
  </rfmt>
  <rcc rId="2399" sId="12">
    <oc r="E45">
      <f>D45*C45</f>
    </oc>
    <nc r="E45">
      <f>D45*C45</f>
    </nc>
  </rcc>
  <rfmt sheetId="12" sqref="G45" start="0" length="0">
    <dxf>
      <border outline="0">
        <bottom style="thin">
          <color indexed="64"/>
        </bottom>
      </border>
    </dxf>
  </rfmt>
  <rfmt sheetId="12" sqref="H45" start="0" length="0">
    <dxf>
      <border outline="0">
        <bottom style="thin">
          <color indexed="64"/>
        </bottom>
      </border>
    </dxf>
  </rfmt>
  <rfmt sheetId="12" sqref="I45" start="0" length="0">
    <dxf>
      <border outline="0">
        <bottom style="thin">
          <color indexed="64"/>
        </bottom>
      </border>
    </dxf>
  </rfmt>
  <rfmt sheetId="12" sqref="J45" start="0" length="0">
    <dxf>
      <border outline="0">
        <bottom style="thin">
          <color indexed="64"/>
        </bottom>
      </border>
    </dxf>
  </rfmt>
  <rcc rId="2400" sId="12">
    <oc r="K45">
      <f>G45+H45+I45+J45</f>
    </oc>
    <nc r="K45">
      <f>G45+H45+I45+J45</f>
    </nc>
  </rcc>
  <rcc rId="2401" sId="12">
    <oc r="L45">
      <f>D45*K45</f>
    </oc>
    <nc r="L45">
      <f>D45*K45</f>
    </nc>
  </rcc>
  <rcc rId="2402" sId="12">
    <oc r="M45">
      <f>F45-K45</f>
    </oc>
    <nc r="M45">
      <f>F45-K45</f>
    </nc>
  </rcc>
  <rcc rId="2403" sId="12">
    <oc r="N45">
      <f>K45/C45</f>
    </oc>
    <nc r="N45">
      <f>K45/C45</f>
    </nc>
  </rcc>
  <rcc rId="2404" sId="12">
    <oc r="S45">
      <f>G45*D45</f>
    </oc>
    <nc r="S45">
      <f>G45*D45</f>
    </nc>
  </rcc>
  <rcc rId="2405" sId="12">
    <oc r="T45">
      <f>H45*D45</f>
    </oc>
    <nc r="T45">
      <f>H45*D45</f>
    </nc>
  </rcc>
  <rcc rId="2406" sId="12">
    <oc r="U45">
      <f>I45*D45</f>
    </oc>
    <nc r="U45">
      <f>I45*D45</f>
    </nc>
  </rcc>
  <rcc rId="2407" sId="12">
    <oc r="V45">
      <f>J45*D45</f>
    </oc>
    <nc r="V45">
      <f>J45*D45</f>
    </nc>
  </rcc>
  <rfmt sheetId="12" s="1" sqref="B47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fmt sheetId="12" sqref="C47" start="0" length="0">
    <dxf>
      <border outline="0">
        <bottom style="thin">
          <color indexed="64"/>
        </bottom>
      </border>
    </dxf>
  </rfmt>
  <rfmt sheetId="12" sqref="D47" start="0" length="0">
    <dxf>
      <border outline="0">
        <bottom style="thin">
          <color indexed="64"/>
        </bottom>
      </border>
    </dxf>
  </rfmt>
  <rcc rId="2408" sId="12">
    <oc r="E47">
      <f>D47*C47</f>
    </oc>
    <nc r="E47">
      <f>D47*C47</f>
    </nc>
  </rcc>
  <rfmt sheetId="12" sqref="G47" start="0" length="0">
    <dxf>
      <border outline="0">
        <bottom style="thin">
          <color indexed="64"/>
        </bottom>
      </border>
    </dxf>
  </rfmt>
  <rfmt sheetId="12" sqref="H47" start="0" length="0">
    <dxf>
      <border outline="0">
        <bottom style="thin">
          <color indexed="64"/>
        </bottom>
      </border>
    </dxf>
  </rfmt>
  <rfmt sheetId="12" sqref="I47" start="0" length="0">
    <dxf>
      <border outline="0">
        <bottom style="thin">
          <color indexed="64"/>
        </bottom>
      </border>
    </dxf>
  </rfmt>
  <rfmt sheetId="12" sqref="J47" start="0" length="0">
    <dxf>
      <border outline="0">
        <bottom style="thin">
          <color indexed="64"/>
        </bottom>
      </border>
    </dxf>
  </rfmt>
  <rcc rId="2409" sId="12">
    <oc r="K47">
      <f>G47+H47+I47+J47</f>
    </oc>
    <nc r="K47">
      <f>G47+H47+I47+J47</f>
    </nc>
  </rcc>
  <rcc rId="2410" sId="12">
    <oc r="L47">
      <f>D47*K47</f>
    </oc>
    <nc r="L47">
      <f>D47*K47</f>
    </nc>
  </rcc>
  <rcc rId="2411" sId="12">
    <oc r="M47">
      <f>F47-K47</f>
    </oc>
    <nc r="M47">
      <f>F47-K47</f>
    </nc>
  </rcc>
  <rcc rId="2412" sId="12">
    <oc r="N47">
      <f>K47/C47</f>
    </oc>
    <nc r="N47">
      <f>K47/C47</f>
    </nc>
  </rcc>
  <rcc rId="2413" sId="12">
    <oc r="S47">
      <f>G47*D47</f>
    </oc>
    <nc r="S47">
      <f>G47*D47</f>
    </nc>
  </rcc>
  <rcc rId="2414" sId="12">
    <oc r="T47">
      <f>H47*D47</f>
    </oc>
    <nc r="T47">
      <f>H47*D47</f>
    </nc>
  </rcc>
  <rcc rId="2415" sId="12">
    <oc r="U47">
      <f>I47*D47</f>
    </oc>
    <nc r="U47">
      <f>I47*D47</f>
    </nc>
  </rcc>
  <rcc rId="2416" sId="12">
    <oc r="V47">
      <f>J47*D47</f>
    </oc>
    <nc r="V47">
      <f>J47*D47</f>
    </nc>
  </rcc>
  <rfmt sheetId="12" s="1" sqref="A48" start="0" length="0">
    <dxf>
      <numFmt numFmtId="30" formatCode="@"/>
      <alignment vertical="top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12" s="1" sqref="B48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fmt sheetId="12" sqref="C48" start="0" length="0">
    <dxf>
      <border outline="0">
        <bottom style="thin">
          <color indexed="64"/>
        </bottom>
      </border>
    </dxf>
  </rfmt>
  <rfmt sheetId="12" s="1" sqref="D48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cc rId="2417" sId="12">
    <oc r="E48">
      <f>D48*C48</f>
    </oc>
    <nc r="E48">
      <f>D48*C48</f>
    </nc>
  </rcc>
  <rfmt sheetId="12" sqref="G48" start="0" length="0">
    <dxf>
      <border outline="0">
        <bottom style="thin">
          <color indexed="64"/>
        </bottom>
      </border>
    </dxf>
  </rfmt>
  <rfmt sheetId="12" sqref="H48" start="0" length="0">
    <dxf>
      <border outline="0">
        <bottom style="thin">
          <color indexed="64"/>
        </bottom>
      </border>
    </dxf>
  </rfmt>
  <rfmt sheetId="12" sqref="I48" start="0" length="0">
    <dxf>
      <border outline="0">
        <bottom style="thin">
          <color indexed="64"/>
        </bottom>
      </border>
    </dxf>
  </rfmt>
  <rfmt sheetId="12" sqref="J48" start="0" length="0">
    <dxf>
      <border outline="0">
        <bottom style="thin">
          <color indexed="64"/>
        </bottom>
      </border>
    </dxf>
  </rfmt>
  <rcc rId="2418" sId="12">
    <oc r="K48">
      <f>G48+H48+I48+J48</f>
    </oc>
    <nc r="K48">
      <f>G48+H48+I48+J48</f>
    </nc>
  </rcc>
  <rcc rId="2419" sId="12">
    <oc r="L48">
      <f>D48*K48</f>
    </oc>
    <nc r="L48">
      <f>D48*K48</f>
    </nc>
  </rcc>
  <rcc rId="2420" sId="12">
    <oc r="M48">
      <f>F48-K48</f>
    </oc>
    <nc r="M48">
      <f>F48-K48</f>
    </nc>
  </rcc>
  <rcc rId="2421" sId="12">
    <oc r="N48">
      <f>K48/C48</f>
    </oc>
    <nc r="N48">
      <f>K48/C48</f>
    </nc>
  </rcc>
  <rcc rId="2422" sId="12">
    <oc r="S48">
      <f>G48*D48</f>
    </oc>
    <nc r="S48">
      <f>G48*D48</f>
    </nc>
  </rcc>
  <rcc rId="2423" sId="12">
    <oc r="T48">
      <f>H48*D48</f>
    </oc>
    <nc r="T48">
      <f>H48*D48</f>
    </nc>
  </rcc>
  <rcc rId="2424" sId="12">
    <oc r="U48">
      <f>I48*D48</f>
    </oc>
    <nc r="U48">
      <f>I48*D48</f>
    </nc>
  </rcc>
  <rcc rId="2425" sId="12">
    <oc r="V48">
      <f>J48*D48</f>
    </oc>
    <nc r="V48">
      <f>J48*D48</f>
    </nc>
  </rcc>
  <rfmt sheetId="12" s="1" sqref="A49" start="0" length="0">
    <dxf>
      <numFmt numFmtId="30" formatCode="@"/>
      <alignment vertical="top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12" s="1" sqref="B49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fmt sheetId="12" sqref="C49" start="0" length="0">
    <dxf>
      <border outline="0">
        <bottom style="thin">
          <color indexed="64"/>
        </bottom>
      </border>
    </dxf>
  </rfmt>
  <rfmt sheetId="12" s="1" sqref="D49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cc rId="2426" sId="12">
    <oc r="E49">
      <f>D49*C49</f>
    </oc>
    <nc r="E49">
      <f>D49*C49</f>
    </nc>
  </rcc>
  <rfmt sheetId="12" sqref="G49" start="0" length="0">
    <dxf>
      <border outline="0">
        <bottom style="thin">
          <color indexed="64"/>
        </bottom>
      </border>
    </dxf>
  </rfmt>
  <rfmt sheetId="12" sqref="H49" start="0" length="0">
    <dxf>
      <border outline="0">
        <bottom style="thin">
          <color indexed="64"/>
        </bottom>
      </border>
    </dxf>
  </rfmt>
  <rfmt sheetId="12" sqref="I49" start="0" length="0">
    <dxf>
      <border outline="0">
        <bottom style="thin">
          <color indexed="64"/>
        </bottom>
      </border>
    </dxf>
  </rfmt>
  <rfmt sheetId="12" sqref="J49" start="0" length="0">
    <dxf>
      <border outline="0">
        <bottom style="thin">
          <color indexed="64"/>
        </bottom>
      </border>
    </dxf>
  </rfmt>
  <rcc rId="2427" sId="12">
    <oc r="K49">
      <f>J49+I49+H49+G49</f>
    </oc>
    <nc r="K49">
      <f>J49+I49+H49+G49</f>
    </nc>
  </rcc>
  <rcc rId="2428" sId="12">
    <oc r="L49">
      <f>D49*K49</f>
    </oc>
    <nc r="L49">
      <f>D49*K49</f>
    </nc>
  </rcc>
  <rcc rId="2429" sId="12">
    <oc r="M49">
      <f>F49-K49</f>
    </oc>
    <nc r="M49">
      <f>F49-K49</f>
    </nc>
  </rcc>
  <rcc rId="2430" sId="12">
    <oc r="N49">
      <f>K49/C49</f>
    </oc>
    <nc r="N49">
      <f>K49/C49</f>
    </nc>
  </rcc>
  <rcc rId="2431" sId="12">
    <oc r="S49">
      <f>G49*D49</f>
    </oc>
    <nc r="S49">
      <f>G49*D49</f>
    </nc>
  </rcc>
  <rcc rId="2432" sId="12">
    <oc r="T49">
      <f>H49*D49</f>
    </oc>
    <nc r="T49">
      <f>H49*D49</f>
    </nc>
  </rcc>
  <rcc rId="2433" sId="12">
    <oc r="U49">
      <f>I49*D49</f>
    </oc>
    <nc r="U49">
      <f>I49*D49</f>
    </nc>
  </rcc>
  <rcc rId="2434" sId="12">
    <oc r="V49">
      <f>J49*D49</f>
    </oc>
    <nc r="V49">
      <f>J49*D49</f>
    </nc>
  </rcc>
  <rfmt sheetId="12" s="1" sqref="A50" start="0" length="0">
    <dxf>
      <numFmt numFmtId="30" formatCode="@"/>
      <alignment vertical="top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12" s="1" sqref="B50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fmt sheetId="12" sqref="C50" start="0" length="0">
    <dxf>
      <border outline="0">
        <bottom style="thin">
          <color indexed="64"/>
        </bottom>
      </border>
    </dxf>
  </rfmt>
  <rfmt sheetId="12" s="1" sqref="D50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cc rId="2435" sId="12">
    <oc r="E50">
      <f>D50*C50</f>
    </oc>
    <nc r="E50">
      <f>D50*C50</f>
    </nc>
  </rcc>
  <rfmt sheetId="12" sqref="F50" start="0" length="0">
    <dxf>
      <border outline="0">
        <left style="thin">
          <color indexed="64"/>
        </left>
        <bottom style="thin">
          <color indexed="64"/>
        </bottom>
      </border>
    </dxf>
  </rfmt>
  <rfmt sheetId="12" sqref="G50" start="0" length="0">
    <dxf>
      <border outline="0">
        <bottom style="thin">
          <color indexed="64"/>
        </bottom>
      </border>
    </dxf>
  </rfmt>
  <rfmt sheetId="12" sqref="H50" start="0" length="0">
    <dxf>
      <border outline="0">
        <bottom style="thin">
          <color indexed="64"/>
        </bottom>
      </border>
    </dxf>
  </rfmt>
  <rfmt sheetId="12" sqref="I50" start="0" length="0">
    <dxf>
      <border outline="0">
        <bottom style="thin">
          <color indexed="64"/>
        </bottom>
      </border>
    </dxf>
  </rfmt>
  <rfmt sheetId="12" sqref="J50" start="0" length="0">
    <dxf>
      <border outline="0">
        <bottom style="thin">
          <color indexed="64"/>
        </bottom>
      </border>
    </dxf>
  </rfmt>
  <rcc rId="2436" sId="12">
    <oc r="K50">
      <f>G50+H50+I50+J50</f>
    </oc>
    <nc r="K50">
      <f>G50+H50+I50+J50</f>
    </nc>
  </rcc>
  <rcc rId="2437" sId="12">
    <oc r="L50">
      <f>D50*K50</f>
    </oc>
    <nc r="L50">
      <f>D50*K50</f>
    </nc>
  </rcc>
  <rcc rId="2438" sId="12">
    <oc r="M50">
      <f>F50-K50</f>
    </oc>
    <nc r="M50">
      <f>F50-K50</f>
    </nc>
  </rcc>
  <rcc rId="2439" sId="12">
    <oc r="N50">
      <f>K50/C50</f>
    </oc>
    <nc r="N50">
      <f>K50/C50</f>
    </nc>
  </rcc>
  <rcc rId="2440" sId="12">
    <oc r="S50">
      <f>G50*D50</f>
    </oc>
    <nc r="S50">
      <f>G50*D50</f>
    </nc>
  </rcc>
  <rcc rId="2441" sId="12">
    <oc r="T50">
      <f>H50*D50</f>
    </oc>
    <nc r="T50">
      <f>H50*D50</f>
    </nc>
  </rcc>
  <rcc rId="2442" sId="12">
    <oc r="U50">
      <f>I50*D50</f>
    </oc>
    <nc r="U50">
      <f>I50*D50</f>
    </nc>
  </rcc>
  <rcc rId="2443" sId="12">
    <oc r="V50">
      <f>J50*D50</f>
    </oc>
    <nc r="V50">
      <f>J50*D50</f>
    </nc>
  </rcc>
  <rfmt sheetId="12" s="1" sqref="A51" start="0" length="0">
    <dxf>
      <numFmt numFmtId="30" formatCode="@"/>
      <alignment vertical="top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12" s="1" sqref="B51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fmt sheetId="12" sqref="C51" start="0" length="0">
    <dxf>
      <border outline="0">
        <bottom style="thin">
          <color indexed="64"/>
        </bottom>
      </border>
    </dxf>
  </rfmt>
  <rfmt sheetId="12" s="1" sqref="D51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cc rId="2444" sId="12">
    <oc r="E51">
      <f>D51*C51</f>
    </oc>
    <nc r="E51">
      <f>D51*C51</f>
    </nc>
  </rcc>
  <rfmt sheetId="12" sqref="F51" start="0" length="0">
    <dxf>
      <border outline="0">
        <left style="thin">
          <color indexed="64"/>
        </left>
        <bottom style="thin">
          <color indexed="64"/>
        </bottom>
      </border>
    </dxf>
  </rfmt>
  <rfmt sheetId="12" sqref="G51" start="0" length="0">
    <dxf>
      <border outline="0">
        <bottom style="thin">
          <color indexed="64"/>
        </bottom>
      </border>
    </dxf>
  </rfmt>
  <rfmt sheetId="12" sqref="H51" start="0" length="0">
    <dxf>
      <border outline="0">
        <bottom style="thin">
          <color indexed="64"/>
        </bottom>
      </border>
    </dxf>
  </rfmt>
  <rfmt sheetId="12" sqref="I51" start="0" length="0">
    <dxf>
      <border outline="0">
        <bottom style="thin">
          <color indexed="64"/>
        </bottom>
      </border>
    </dxf>
  </rfmt>
  <rfmt sheetId="12" sqref="J51" start="0" length="0">
    <dxf>
      <font>
        <sz val="12"/>
      </font>
      <border outline="0">
        <bottom style="thin">
          <color indexed="64"/>
        </bottom>
      </border>
    </dxf>
  </rfmt>
  <rcc rId="2445" sId="12">
    <oc r="K51">
      <f>G51+H51+I51+J51</f>
    </oc>
    <nc r="K51">
      <f>G51+H51+I51+J51</f>
    </nc>
  </rcc>
  <rcc rId="2446" sId="12">
    <oc r="L51">
      <f>D51*K51</f>
    </oc>
    <nc r="L51">
      <f>D51*K51</f>
    </nc>
  </rcc>
  <rcc rId="2447" sId="12">
    <oc r="M51">
      <f>F51-K51</f>
    </oc>
    <nc r="M51">
      <f>F51-K51</f>
    </nc>
  </rcc>
  <rcc rId="2448" sId="12">
    <oc r="N51">
      <f>K51/C51</f>
    </oc>
    <nc r="N51">
      <f>K51/C51</f>
    </nc>
  </rcc>
  <rcc rId="2449" sId="12">
    <oc r="S51">
      <f>G51*D51</f>
    </oc>
    <nc r="S51">
      <f>G51*D51</f>
    </nc>
  </rcc>
  <rcc rId="2450" sId="12">
    <oc r="T51">
      <f>H51*D51</f>
    </oc>
    <nc r="T51">
      <f>H51*D51</f>
    </nc>
  </rcc>
  <rcc rId="2451" sId="12">
    <oc r="U51">
      <f>I51*D51</f>
    </oc>
    <nc r="U51">
      <f>I51*D51</f>
    </nc>
  </rcc>
  <rcc rId="2452" sId="12">
    <oc r="V51">
      <f>J51*D51</f>
    </oc>
    <nc r="V51">
      <f>J51*D51</f>
    </nc>
  </rcc>
  <rfmt sheetId="12" s="1" sqref="A52" start="0" length="0">
    <dxf>
      <numFmt numFmtId="30" formatCode="@"/>
      <alignment vertical="top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12" s="1" sqref="B52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fmt sheetId="12" sqref="C52" start="0" length="0">
    <dxf>
      <border outline="0">
        <bottom style="thin">
          <color indexed="64"/>
        </bottom>
      </border>
    </dxf>
  </rfmt>
  <rfmt sheetId="12" s="1" sqref="D52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cc rId="2453" sId="12">
    <oc r="E52">
      <f>D52*C52</f>
    </oc>
    <nc r="E52">
      <f>D52*C52</f>
    </nc>
  </rcc>
  <rfmt sheetId="12" sqref="G52" start="0" length="0">
    <dxf>
      <border outline="0">
        <bottom style="thin">
          <color indexed="64"/>
        </bottom>
      </border>
    </dxf>
  </rfmt>
  <rfmt sheetId="12" sqref="H52" start="0" length="0">
    <dxf>
      <border outline="0">
        <bottom style="thin">
          <color indexed="64"/>
        </bottom>
      </border>
    </dxf>
  </rfmt>
  <rfmt sheetId="12" sqref="I52" start="0" length="0">
    <dxf>
      <border outline="0">
        <bottom style="thin">
          <color indexed="64"/>
        </bottom>
      </border>
    </dxf>
  </rfmt>
  <rfmt sheetId="12" sqref="J52" start="0" length="0">
    <dxf>
      <border outline="0">
        <bottom style="thin">
          <color indexed="64"/>
        </bottom>
      </border>
    </dxf>
  </rfmt>
  <rcc rId="2454" sId="12">
    <oc r="K52">
      <f>G52+H52+I52+J52</f>
    </oc>
    <nc r="K52">
      <f>G52+H52+I52+J52</f>
    </nc>
  </rcc>
  <rcc rId="2455" sId="12">
    <oc r="L52">
      <f>D52*K52</f>
    </oc>
    <nc r="L52">
      <f>D52*K52</f>
    </nc>
  </rcc>
  <rcc rId="2456" sId="12">
    <oc r="M52">
      <f>F52-K52</f>
    </oc>
    <nc r="M52">
      <f>F52-K52</f>
    </nc>
  </rcc>
  <rcc rId="2457" sId="12">
    <oc r="N52">
      <f>K52/C52</f>
    </oc>
    <nc r="N52">
      <f>K52/C52</f>
    </nc>
  </rcc>
  <rcc rId="2458" sId="12">
    <oc r="S52">
      <f>G52*D52</f>
    </oc>
    <nc r="S52">
      <f>G52*D52</f>
    </nc>
  </rcc>
  <rcc rId="2459" sId="12">
    <oc r="T52">
      <f>H52*D52</f>
    </oc>
    <nc r="T52">
      <f>H52*D52</f>
    </nc>
  </rcc>
  <rcc rId="2460" sId="12">
    <oc r="U52">
      <f>I52*D52</f>
    </oc>
    <nc r="U52">
      <f>I52*D52</f>
    </nc>
  </rcc>
  <rcc rId="2461" sId="12">
    <oc r="V52">
      <f>J52*D52</f>
    </oc>
    <nc r="V52">
      <f>J52*D52</f>
    </nc>
  </rcc>
  <rfmt sheetId="12" s="1" sqref="A53" start="0" length="0">
    <dxf>
      <numFmt numFmtId="30" formatCode="@"/>
      <alignment vertical="top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12" s="1" sqref="B53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fmt sheetId="12" sqref="C53" start="0" length="0">
    <dxf>
      <border outline="0">
        <bottom style="thin">
          <color indexed="64"/>
        </bottom>
      </border>
    </dxf>
  </rfmt>
  <rfmt sheetId="12" s="1" sqref="D53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cc rId="2462" sId="12">
    <oc r="E53">
      <f>D53*C53</f>
    </oc>
    <nc r="E53">
      <f>D53*C53</f>
    </nc>
  </rcc>
  <rfmt sheetId="12" sqref="G53" start="0" length="0">
    <dxf>
      <border outline="0">
        <bottom style="thin">
          <color indexed="64"/>
        </bottom>
      </border>
    </dxf>
  </rfmt>
  <rfmt sheetId="12" sqref="H53" start="0" length="0">
    <dxf>
      <border outline="0">
        <bottom style="thin">
          <color indexed="64"/>
        </bottom>
      </border>
    </dxf>
  </rfmt>
  <rfmt sheetId="12" sqref="I53" start="0" length="0">
    <dxf>
      <border outline="0">
        <bottom style="thin">
          <color indexed="64"/>
        </bottom>
      </border>
    </dxf>
  </rfmt>
  <rfmt sheetId="12" sqref="J53" start="0" length="0">
    <dxf>
      <border outline="0">
        <bottom style="thin">
          <color indexed="64"/>
        </bottom>
      </border>
    </dxf>
  </rfmt>
  <rcc rId="2463" sId="12">
    <oc r="K53">
      <f>G53+H53+I53+J53</f>
    </oc>
    <nc r="K53">
      <f>G53+H53+I53+J53</f>
    </nc>
  </rcc>
  <rcc rId="2464" sId="12">
    <oc r="L53">
      <f>D53*K53</f>
    </oc>
    <nc r="L53">
      <f>D53*K53</f>
    </nc>
  </rcc>
  <rcc rId="2465" sId="12">
    <oc r="M53">
      <f>F53-K53</f>
    </oc>
    <nc r="M53">
      <f>F53-K53</f>
    </nc>
  </rcc>
  <rcc rId="2466" sId="12">
    <oc r="N53">
      <f>K53/C53</f>
    </oc>
    <nc r="N53">
      <f>K53/C53</f>
    </nc>
  </rcc>
  <rcc rId="2467" sId="12">
    <oc r="S53">
      <f>G53*D53</f>
    </oc>
    <nc r="S53">
      <f>G53*D53</f>
    </nc>
  </rcc>
  <rcc rId="2468" sId="12">
    <oc r="T53">
      <f>H53*D53</f>
    </oc>
    <nc r="T53">
      <f>H53*D53</f>
    </nc>
  </rcc>
  <rcc rId="2469" sId="12">
    <oc r="U53">
      <f>I53*D53</f>
    </oc>
    <nc r="U53">
      <f>I53*D53</f>
    </nc>
  </rcc>
  <rcc rId="2470" sId="12">
    <oc r="V53">
      <f>J53*D53</f>
    </oc>
    <nc r="V53">
      <f>J53*D53</f>
    </nc>
  </rcc>
  <rfmt sheetId="12" s="1" sqref="A54" start="0" length="0">
    <dxf>
      <font>
        <sz val="14"/>
        <color indexed="8"/>
        <name val="Times New Roman"/>
        <scheme val="none"/>
      </font>
      <numFmt numFmtId="30" formatCode="@"/>
      <alignment vertical="top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12" s="1" sqref="B54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fmt sheetId="12" sqref="C54" start="0" length="0">
    <dxf>
      <border outline="0">
        <bottom style="thin">
          <color indexed="64"/>
        </bottom>
      </border>
    </dxf>
  </rfmt>
  <rfmt sheetId="12" s="1" sqref="D54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cc rId="2471" sId="12" odxf="1" dxf="1">
    <oc r="E54">
      <f>D54*C54</f>
    </oc>
    <nc r="E54">
      <f>D54*C54</f>
    </nc>
    <odxf>
      <numFmt numFmtId="168" formatCode="#,##0.00&quot;р.&quot;"/>
    </odxf>
    <ndxf>
      <numFmt numFmtId="171" formatCode="#,##0.0&quot;р.&quot;"/>
    </ndxf>
  </rcc>
  <rfmt sheetId="12" sqref="G54" start="0" length="0">
    <dxf>
      <border outline="0">
        <bottom style="thin">
          <color indexed="64"/>
        </bottom>
      </border>
    </dxf>
  </rfmt>
  <rfmt sheetId="12" sqref="H54" start="0" length="0">
    <dxf>
      <border outline="0">
        <bottom style="thin">
          <color indexed="64"/>
        </bottom>
      </border>
    </dxf>
  </rfmt>
  <rfmt sheetId="12" sqref="I54" start="0" length="0">
    <dxf>
      <border outline="0">
        <bottom style="thin">
          <color indexed="64"/>
        </bottom>
      </border>
    </dxf>
  </rfmt>
  <rfmt sheetId="12" sqref="J54" start="0" length="0">
    <dxf>
      <border outline="0">
        <bottom style="thin">
          <color indexed="64"/>
        </bottom>
      </border>
    </dxf>
  </rfmt>
  <rcc rId="2472" sId="12">
    <oc r="K54">
      <f>G54+H54+I54+J54</f>
    </oc>
    <nc r="K54">
      <f>G54+H54+I54+J54</f>
    </nc>
  </rcc>
  <rcc rId="2473" sId="12">
    <oc r="L54">
      <f>D54*K54</f>
    </oc>
    <nc r="L54">
      <f>D54*K54</f>
    </nc>
  </rcc>
  <rcc rId="2474" sId="12">
    <oc r="M54">
      <f>F54-K54</f>
    </oc>
    <nc r="M54">
      <f>F54-K54</f>
    </nc>
  </rcc>
  <rcc rId="2475" sId="12">
    <oc r="N54">
      <f>K54/C54</f>
    </oc>
    <nc r="N54">
      <f>K54/C54</f>
    </nc>
  </rcc>
  <rcc rId="2476" sId="12">
    <oc r="S54">
      <f>G54*D54</f>
    </oc>
    <nc r="S54">
      <f>G54*D54</f>
    </nc>
  </rcc>
  <rcc rId="2477" sId="12">
    <oc r="T54">
      <f>H54*D54</f>
    </oc>
    <nc r="T54">
      <f>H54*D54</f>
    </nc>
  </rcc>
  <rcc rId="2478" sId="12">
    <oc r="U54">
      <f>I54*D54</f>
    </oc>
    <nc r="U54">
      <f>I54*D54</f>
    </nc>
  </rcc>
  <rcc rId="2479" sId="12">
    <oc r="V54">
      <f>J54*D54</f>
    </oc>
    <nc r="V54">
      <f>J54*D54</f>
    </nc>
  </rcc>
  <rfmt sheetId="12" s="1" sqref="A55" start="0" length="0">
    <dxf>
      <font>
        <sz val="14"/>
        <color indexed="8"/>
        <name val="Times New Roman"/>
        <scheme val="none"/>
      </font>
      <numFmt numFmtId="30" formatCode="@"/>
      <alignment vertical="top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12" s="1" sqref="B55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fmt sheetId="12" sqref="C55" start="0" length="0">
    <dxf>
      <border outline="0">
        <bottom style="thin">
          <color indexed="64"/>
        </bottom>
      </border>
    </dxf>
  </rfmt>
  <rfmt sheetId="12" s="1" sqref="D55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cc rId="2480" sId="12">
    <oc r="E55">
      <f>D55*C55</f>
    </oc>
    <nc r="E55">
      <f>D55*C55</f>
    </nc>
  </rcc>
  <rfmt sheetId="12" sqref="G55" start="0" length="0">
    <dxf>
      <border outline="0">
        <bottom style="thin">
          <color indexed="64"/>
        </bottom>
      </border>
    </dxf>
  </rfmt>
  <rfmt sheetId="12" sqref="H55" start="0" length="0">
    <dxf>
      <border outline="0">
        <bottom style="thin">
          <color indexed="64"/>
        </bottom>
      </border>
    </dxf>
  </rfmt>
  <rfmt sheetId="12" sqref="I55" start="0" length="0">
    <dxf>
      <border outline="0">
        <bottom style="thin">
          <color indexed="64"/>
        </bottom>
      </border>
    </dxf>
  </rfmt>
  <rfmt sheetId="12" sqref="J55" start="0" length="0">
    <dxf>
      <border outline="0">
        <bottom style="thin">
          <color indexed="64"/>
        </bottom>
      </border>
    </dxf>
  </rfmt>
  <rcc rId="2481" sId="12">
    <oc r="K55">
      <f>G55+H55+I55+J55</f>
    </oc>
    <nc r="K55">
      <f>G55+H55+I55+J55</f>
    </nc>
  </rcc>
  <rcc rId="2482" sId="12">
    <oc r="L55">
      <f>D55*K55</f>
    </oc>
    <nc r="L55">
      <f>D55*K55</f>
    </nc>
  </rcc>
  <rcc rId="2483" sId="12">
    <oc r="M55">
      <f>F55-K55</f>
    </oc>
    <nc r="M55">
      <f>F55-K55</f>
    </nc>
  </rcc>
  <rcc rId="2484" sId="12">
    <oc r="N55">
      <f>K55/C55</f>
    </oc>
    <nc r="N55">
      <f>K55/C55</f>
    </nc>
  </rcc>
  <rcc rId="2485" sId="12">
    <oc r="S55">
      <f>G55*D55</f>
    </oc>
    <nc r="S55">
      <f>G55*D55</f>
    </nc>
  </rcc>
  <rcc rId="2486" sId="12">
    <oc r="T55">
      <f>H55*D55</f>
    </oc>
    <nc r="T55">
      <f>H55*D55</f>
    </nc>
  </rcc>
  <rcc rId="2487" sId="12">
    <oc r="U55">
      <f>I55*D55</f>
    </oc>
    <nc r="U55">
      <f>I55*D55</f>
    </nc>
  </rcc>
  <rcc rId="2488" sId="12">
    <oc r="V55">
      <f>J55*D55</f>
    </oc>
    <nc r="V55">
      <f>J55*D55</f>
    </nc>
  </rcc>
  <rfmt sheetId="12" s="1" sqref="A56" start="0" length="0">
    <dxf>
      <font>
        <sz val="14"/>
        <color indexed="8"/>
        <name val="Times New Roman"/>
        <scheme val="none"/>
      </font>
      <numFmt numFmtId="30" formatCode="@"/>
      <alignment vertical="top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12" s="1" sqref="B56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fmt sheetId="12" sqref="C56" start="0" length="0">
    <dxf>
      <border outline="0">
        <bottom style="thin">
          <color indexed="64"/>
        </bottom>
      </border>
    </dxf>
  </rfmt>
  <rfmt sheetId="12" s="1" sqref="D56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cc rId="2489" sId="12">
    <oc r="E56">
      <f>D56*C56</f>
    </oc>
    <nc r="E56">
      <f>D56*C56</f>
    </nc>
  </rcc>
  <rfmt sheetId="12" sqref="G56" start="0" length="0">
    <dxf>
      <border outline="0">
        <bottom style="thin">
          <color indexed="64"/>
        </bottom>
      </border>
    </dxf>
  </rfmt>
  <rfmt sheetId="12" sqref="H56" start="0" length="0">
    <dxf>
      <border outline="0">
        <bottom style="thin">
          <color indexed="64"/>
        </bottom>
      </border>
    </dxf>
  </rfmt>
  <rfmt sheetId="12" sqref="I56" start="0" length="0">
    <dxf>
      <border outline="0">
        <bottom style="thin">
          <color indexed="64"/>
        </bottom>
      </border>
    </dxf>
  </rfmt>
  <rfmt sheetId="12" sqref="J56" start="0" length="0">
    <dxf>
      <border outline="0">
        <bottom style="thin">
          <color indexed="64"/>
        </bottom>
      </border>
    </dxf>
  </rfmt>
  <rcc rId="2490" sId="12">
    <oc r="K56">
      <f>G56+H56+I56+J56</f>
    </oc>
    <nc r="K56">
      <f>G56+H56+I56+J56</f>
    </nc>
  </rcc>
  <rcc rId="2491" sId="12">
    <oc r="L56">
      <f>D56*K56</f>
    </oc>
    <nc r="L56">
      <f>D56*K56</f>
    </nc>
  </rcc>
  <rcc rId="2492" sId="12">
    <oc r="M56">
      <f>F56-K56</f>
    </oc>
    <nc r="M56">
      <f>F56-K56</f>
    </nc>
  </rcc>
  <rcc rId="2493" sId="12">
    <oc r="N56">
      <f>K56/C56</f>
    </oc>
    <nc r="N56">
      <f>K56/C56</f>
    </nc>
  </rcc>
  <rcc rId="2494" sId="12">
    <oc r="S56">
      <f>G56*D56</f>
    </oc>
    <nc r="S56">
      <f>G56*D56</f>
    </nc>
  </rcc>
  <rcc rId="2495" sId="12">
    <oc r="T56">
      <f>H56*D56</f>
    </oc>
    <nc r="T56">
      <f>H56*D56</f>
    </nc>
  </rcc>
  <rcc rId="2496" sId="12">
    <oc r="U56">
      <f>I56*D56</f>
    </oc>
    <nc r="U56">
      <f>I56*D56</f>
    </nc>
  </rcc>
  <rcc rId="2497" sId="12">
    <oc r="V56">
      <f>J56*D56</f>
    </oc>
    <nc r="V56">
      <f>J56*D56</f>
    </nc>
  </rcc>
  <rfmt sheetId="12" s="1" sqref="B58" start="0" length="0">
    <dxf>
      <font>
        <sz val="12"/>
        <color auto="1"/>
        <name val="Arial Cyr"/>
        <scheme val="none"/>
      </font>
      <alignment horizontal="left" readingOrder="0"/>
    </dxf>
  </rfmt>
  <rfmt sheetId="12" sqref="C58" start="0" length="0">
    <dxf>
      <border outline="0">
        <bottom style="thin">
          <color indexed="64"/>
        </bottom>
      </border>
    </dxf>
  </rfmt>
  <rfmt sheetId="12" s="1" sqref="D58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cc rId="2498" sId="12">
    <oc r="E58">
      <f>D58*C58</f>
    </oc>
    <nc r="E58">
      <f>D58*C58</f>
    </nc>
  </rcc>
  <rfmt sheetId="12" sqref="G58" start="0" length="0">
    <dxf>
      <border outline="0">
        <bottom style="thin">
          <color indexed="64"/>
        </bottom>
      </border>
    </dxf>
  </rfmt>
  <rfmt sheetId="12" sqref="H58" start="0" length="0">
    <dxf>
      <border outline="0">
        <bottom style="thin">
          <color indexed="64"/>
        </bottom>
      </border>
    </dxf>
  </rfmt>
  <rfmt sheetId="12" sqref="I58" start="0" length="0">
    <dxf>
      <border outline="0">
        <bottom style="thin">
          <color indexed="64"/>
        </bottom>
      </border>
    </dxf>
  </rfmt>
  <rfmt sheetId="12" sqref="J58" start="0" length="0">
    <dxf>
      <border outline="0">
        <bottom style="thin">
          <color indexed="64"/>
        </bottom>
      </border>
    </dxf>
  </rfmt>
  <rcc rId="2499" sId="12">
    <oc r="K58">
      <f>G58+H58+I58+J58</f>
    </oc>
    <nc r="K58">
      <f>G58+H58+I58+J58</f>
    </nc>
  </rcc>
  <rcc rId="2500" sId="12">
    <oc r="L58">
      <f>D58*K58</f>
    </oc>
    <nc r="L58">
      <f>D58*K58</f>
    </nc>
  </rcc>
  <rcc rId="2501" sId="12">
    <oc r="M58">
      <f>F58-K58</f>
    </oc>
    <nc r="M58">
      <f>F58-K58</f>
    </nc>
  </rcc>
  <rcc rId="2502" sId="12">
    <oc r="N58">
      <f>K58/C58</f>
    </oc>
    <nc r="N58">
      <f>K58/C58</f>
    </nc>
  </rcc>
  <rcc rId="2503" sId="12">
    <oc r="S58">
      <f>G58*D58</f>
    </oc>
    <nc r="S58">
      <f>G58*D58</f>
    </nc>
  </rcc>
  <rcc rId="2504" sId="12">
    <oc r="T58">
      <f>H58*D58</f>
    </oc>
    <nc r="T58">
      <f>H58*D58</f>
    </nc>
  </rcc>
  <rcc rId="2505" sId="12">
    <oc r="U58">
      <f>I58*D58</f>
    </oc>
    <nc r="U58">
      <f>I58*D58</f>
    </nc>
  </rcc>
  <rcc rId="2506" sId="12">
    <oc r="V58">
      <f>J58*D58</f>
    </oc>
    <nc r="V58">
      <f>J58*D58</f>
    </nc>
  </rcc>
  <rfmt sheetId="12" s="1" sqref="B59" start="0" length="0">
    <dxf>
      <font>
        <sz val="12"/>
        <color auto="1"/>
        <name val="Arial Cyr"/>
        <scheme val="none"/>
      </font>
      <alignment horizontal="left" readingOrder="0"/>
    </dxf>
  </rfmt>
  <rfmt sheetId="12" sqref="C59" start="0" length="0">
    <dxf>
      <border outline="0">
        <bottom style="thin">
          <color indexed="64"/>
        </bottom>
      </border>
    </dxf>
  </rfmt>
  <rfmt sheetId="12" s="1" sqref="D59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cc rId="2507" sId="12">
    <oc r="E59">
      <f>D59*C59</f>
    </oc>
    <nc r="E59">
      <f>D59*C59</f>
    </nc>
  </rcc>
  <rfmt sheetId="12" sqref="G59" start="0" length="0">
    <dxf>
      <border outline="0">
        <bottom style="thin">
          <color indexed="64"/>
        </bottom>
      </border>
    </dxf>
  </rfmt>
  <rfmt sheetId="12" sqref="H59" start="0" length="0">
    <dxf>
      <border outline="0">
        <bottom style="thin">
          <color indexed="64"/>
        </bottom>
      </border>
    </dxf>
  </rfmt>
  <rfmt sheetId="12" sqref="I59" start="0" length="0">
    <dxf>
      <border outline="0">
        <bottom style="thin">
          <color indexed="64"/>
        </bottom>
      </border>
    </dxf>
  </rfmt>
  <rfmt sheetId="12" sqref="J59" start="0" length="0">
    <dxf>
      <border outline="0">
        <bottom style="thin">
          <color indexed="64"/>
        </bottom>
      </border>
    </dxf>
  </rfmt>
  <rcc rId="2508" sId="12">
    <oc r="K59">
      <f>G59+H59+I59+J59</f>
    </oc>
    <nc r="K59">
      <f>G59+H59+I59+J59</f>
    </nc>
  </rcc>
  <rcc rId="2509" sId="12">
    <oc r="L59">
      <f>D59*K59</f>
    </oc>
    <nc r="L59">
      <f>D59*K59</f>
    </nc>
  </rcc>
  <rcc rId="2510" sId="12">
    <oc r="M59">
      <f>F59-K59</f>
    </oc>
    <nc r="M59">
      <f>F59-K59</f>
    </nc>
  </rcc>
  <rcc rId="2511" sId="12">
    <oc r="N59">
      <f>K59/C59</f>
    </oc>
    <nc r="N59">
      <f>K59/C59</f>
    </nc>
  </rcc>
  <rcc rId="2512" sId="12">
    <oc r="S59">
      <f>G59*D59</f>
    </oc>
    <nc r="S59">
      <f>G59*D59</f>
    </nc>
  </rcc>
  <rcc rId="2513" sId="12">
    <oc r="T59">
      <f>H59*D59</f>
    </oc>
    <nc r="T59">
      <f>H59*D59</f>
    </nc>
  </rcc>
  <rcc rId="2514" sId="12">
    <oc r="U59">
      <f>I59*D59</f>
    </oc>
    <nc r="U59">
      <f>I59*D59</f>
    </nc>
  </rcc>
  <rcc rId="2515" sId="12">
    <oc r="V59">
      <f>J59*D59</f>
    </oc>
    <nc r="V59">
      <f>J59*D59</f>
    </nc>
  </rcc>
  <rfmt sheetId="12" s="1" sqref="B60" start="0" length="0">
    <dxf>
      <font>
        <sz val="12"/>
        <color auto="1"/>
        <name val="Arial Cyr"/>
        <scheme val="none"/>
      </font>
      <alignment horizontal="left" readingOrder="0"/>
    </dxf>
  </rfmt>
  <rfmt sheetId="12" sqref="C60" start="0" length="0">
    <dxf>
      <border outline="0">
        <bottom style="thin">
          <color indexed="64"/>
        </bottom>
      </border>
    </dxf>
  </rfmt>
  <rfmt sheetId="12" s="1" sqref="D60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cc rId="2516" sId="12">
    <oc r="E60">
      <f>D60*C60</f>
    </oc>
    <nc r="E60">
      <f>D60*C60</f>
    </nc>
  </rcc>
  <rfmt sheetId="12" sqref="G60" start="0" length="0">
    <dxf>
      <border outline="0">
        <bottom style="thin">
          <color indexed="64"/>
        </bottom>
      </border>
    </dxf>
  </rfmt>
  <rfmt sheetId="12" sqref="H60" start="0" length="0">
    <dxf>
      <border outline="0">
        <bottom style="thin">
          <color indexed="64"/>
        </bottom>
      </border>
    </dxf>
  </rfmt>
  <rfmt sheetId="12" sqref="I60" start="0" length="0">
    <dxf>
      <border outline="0">
        <bottom style="thin">
          <color indexed="64"/>
        </bottom>
      </border>
    </dxf>
  </rfmt>
  <rfmt sheetId="12" sqref="J60" start="0" length="0">
    <dxf>
      <border outline="0">
        <bottom style="thin">
          <color indexed="64"/>
        </bottom>
      </border>
    </dxf>
  </rfmt>
  <rcc rId="2517" sId="12">
    <oc r="K60">
      <f>G60+H60+I60+J60</f>
    </oc>
    <nc r="K60">
      <f>G60+H60+I60+J60</f>
    </nc>
  </rcc>
  <rcc rId="2518" sId="12">
    <oc r="L60">
      <f>D60*K60</f>
    </oc>
    <nc r="L60">
      <f>D60*K60</f>
    </nc>
  </rcc>
  <rcc rId="2519" sId="12">
    <oc r="M60">
      <f>F60-K60</f>
    </oc>
    <nc r="M60">
      <f>F60-K60</f>
    </nc>
  </rcc>
  <rcc rId="2520" sId="12">
    <oc r="N60">
      <f>K60/C60</f>
    </oc>
    <nc r="N60">
      <f>K60/C60</f>
    </nc>
  </rcc>
  <rcc rId="2521" sId="12">
    <oc r="S60">
      <f>G60*D60</f>
    </oc>
    <nc r="S60">
      <f>G60*D60</f>
    </nc>
  </rcc>
  <rcc rId="2522" sId="12">
    <oc r="T60">
      <f>H60*D60</f>
    </oc>
    <nc r="T60">
      <f>H60*D60</f>
    </nc>
  </rcc>
  <rcc rId="2523" sId="12">
    <oc r="U60">
      <f>I60*D60</f>
    </oc>
    <nc r="U60">
      <f>I60*D60</f>
    </nc>
  </rcc>
  <rcc rId="2524" sId="12">
    <oc r="V60">
      <f>J60*D60</f>
    </oc>
    <nc r="V60">
      <f>J60*D60</f>
    </nc>
  </rcc>
  <rfmt sheetId="12" s="1" sqref="B61" start="0" length="0">
    <dxf>
      <font>
        <sz val="12"/>
        <color auto="1"/>
        <name val="Arial Cyr"/>
        <scheme val="none"/>
      </font>
      <alignment horizontal="left" readingOrder="0"/>
    </dxf>
  </rfmt>
  <rfmt sheetId="12" sqref="C61" start="0" length="0">
    <dxf>
      <border outline="0">
        <bottom style="thin">
          <color indexed="64"/>
        </bottom>
      </border>
    </dxf>
  </rfmt>
  <rfmt sheetId="12" s="1" sqref="D61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cc rId="2525" sId="12">
    <oc r="E61">
      <f>D61*C61</f>
    </oc>
    <nc r="E61">
      <f>D61*C61</f>
    </nc>
  </rcc>
  <rfmt sheetId="12" sqref="G61" start="0" length="0">
    <dxf>
      <border outline="0">
        <bottom style="thin">
          <color indexed="64"/>
        </bottom>
      </border>
    </dxf>
  </rfmt>
  <rfmt sheetId="12" sqref="H61" start="0" length="0">
    <dxf>
      <border outline="0">
        <bottom style="thin">
          <color indexed="64"/>
        </bottom>
      </border>
    </dxf>
  </rfmt>
  <rfmt sheetId="12" sqref="I61" start="0" length="0">
    <dxf>
      <border outline="0">
        <bottom style="thin">
          <color indexed="64"/>
        </bottom>
      </border>
    </dxf>
  </rfmt>
  <rfmt sheetId="12" sqref="J61" start="0" length="0">
    <dxf>
      <border outline="0">
        <bottom style="thin">
          <color indexed="64"/>
        </bottom>
      </border>
    </dxf>
  </rfmt>
  <rcc rId="2526" sId="12">
    <oc r="K61">
      <f>G61+H61+I61+J61</f>
    </oc>
    <nc r="K61">
      <f>G61+H61+I61+J61</f>
    </nc>
  </rcc>
  <rcc rId="2527" sId="12">
    <oc r="L61">
      <f>D61*K61</f>
    </oc>
    <nc r="L61">
      <f>D61*K61</f>
    </nc>
  </rcc>
  <rcc rId="2528" sId="12">
    <oc r="M61">
      <f>F61-K61</f>
    </oc>
    <nc r="M61">
      <f>F61-K61</f>
    </nc>
  </rcc>
  <rcc rId="2529" sId="12">
    <oc r="N61">
      <f>K61/C61</f>
    </oc>
    <nc r="N61">
      <f>K61/C61</f>
    </nc>
  </rcc>
  <rcc rId="2530" sId="12">
    <oc r="S61">
      <f>G61*D61</f>
    </oc>
    <nc r="S61">
      <f>G61*D61</f>
    </nc>
  </rcc>
  <rcc rId="2531" sId="12">
    <oc r="T61">
      <f>H61*D61</f>
    </oc>
    <nc r="T61">
      <f>H61*D61</f>
    </nc>
  </rcc>
  <rcc rId="2532" sId="12">
    <oc r="U61">
      <f>I61*D61</f>
    </oc>
    <nc r="U61">
      <f>I61*D61</f>
    </nc>
  </rcc>
  <rcc rId="2533" sId="12">
    <oc r="V61">
      <f>J61*D61</f>
    </oc>
    <nc r="V61">
      <f>J61*D61</f>
    </nc>
  </rcc>
  <rfmt sheetId="12" s="1" sqref="B62" start="0" length="0">
    <dxf>
      <font>
        <sz val="12"/>
        <color auto="1"/>
        <name val="Arial Cyr"/>
        <scheme val="none"/>
      </font>
      <alignment horizontal="left" readingOrder="0"/>
    </dxf>
  </rfmt>
  <rfmt sheetId="12" sqref="C62" start="0" length="0">
    <dxf>
      <border outline="0">
        <bottom style="thin">
          <color indexed="64"/>
        </bottom>
      </border>
    </dxf>
  </rfmt>
  <rfmt sheetId="12" s="1" sqref="D62" start="0" length="0">
    <dxf>
      <font>
        <sz val="12"/>
        <color auto="1"/>
        <name val="Arial Cyr"/>
        <scheme val="none"/>
      </font>
      <border outline="0">
        <bottom style="thin">
          <color indexed="64"/>
        </bottom>
      </border>
    </dxf>
  </rfmt>
  <rcc rId="2534" sId="12">
    <oc r="E62">
      <f>D62*C62</f>
    </oc>
    <nc r="E62">
      <f>D62*C62</f>
    </nc>
  </rcc>
  <rfmt sheetId="12" sqref="G62" start="0" length="0">
    <dxf>
      <border outline="0">
        <bottom style="thin">
          <color indexed="64"/>
        </bottom>
      </border>
    </dxf>
  </rfmt>
  <rfmt sheetId="12" sqref="H62" start="0" length="0">
    <dxf>
      <border outline="0">
        <bottom style="thin">
          <color indexed="64"/>
        </bottom>
      </border>
    </dxf>
  </rfmt>
  <rfmt sheetId="12" sqref="I62" start="0" length="0">
    <dxf>
      <border outline="0">
        <bottom style="thin">
          <color indexed="64"/>
        </bottom>
      </border>
    </dxf>
  </rfmt>
  <rfmt sheetId="12" sqref="J62" start="0" length="0">
    <dxf>
      <border outline="0">
        <bottom style="thin">
          <color indexed="64"/>
        </bottom>
      </border>
    </dxf>
  </rfmt>
  <rcc rId="2535" sId="12">
    <oc r="K62">
      <f>G62+H62+I62+J62</f>
    </oc>
    <nc r="K62">
      <f>G62+H62+I62+J62</f>
    </nc>
  </rcc>
  <rcc rId="2536" sId="12">
    <oc r="L62">
      <f>D62*K62</f>
    </oc>
    <nc r="L62">
      <f>D62*K62</f>
    </nc>
  </rcc>
  <rcc rId="2537" sId="12">
    <oc r="M62">
      <f>F62-K62</f>
    </oc>
    <nc r="M62">
      <f>F62-K62</f>
    </nc>
  </rcc>
  <rcc rId="2538" sId="12">
    <oc r="N62">
      <f>K62/C62</f>
    </oc>
    <nc r="N62">
      <f>K62/C62</f>
    </nc>
  </rcc>
  <rcc rId="2539" sId="12">
    <oc r="S62">
      <f>G62*D62</f>
    </oc>
    <nc r="S62">
      <f>G62*D62</f>
    </nc>
  </rcc>
  <rcc rId="2540" sId="12">
    <oc r="T62">
      <f>H62*D62</f>
    </oc>
    <nc r="T62">
      <f>H62*D62</f>
    </nc>
  </rcc>
  <rcc rId="2541" sId="12">
    <oc r="U62">
      <f>I62*D62</f>
    </oc>
    <nc r="U62">
      <f>I62*D62</f>
    </nc>
  </rcc>
  <rcc rId="2542" sId="12">
    <oc r="V62">
      <f>J62*D62</f>
    </oc>
    <nc r="V62">
      <f>J62*D62</f>
    </nc>
  </rcc>
  <rfmt sheetId="12" s="1" sqref="B64" start="0" length="0">
    <dxf>
      <font>
        <sz val="12"/>
        <color auto="1"/>
        <name val="Arial Cyr"/>
        <scheme val="none"/>
      </font>
      <alignment horizontal="left" readingOrder="0"/>
    </dxf>
  </rfmt>
  <rfmt sheetId="12" sqref="C64" start="0" length="0">
    <dxf>
      <border outline="0">
        <bottom style="thin">
          <color indexed="64"/>
        </bottom>
      </border>
    </dxf>
  </rfmt>
  <rfmt sheetId="12" s="1" sqref="D64" start="0" length="0">
    <dxf>
      <font>
        <sz val="12"/>
        <color auto="1"/>
        <name val="Arial Cyr"/>
        <scheme val="none"/>
      </font>
      <border outline="0">
        <right style="medium">
          <color indexed="64"/>
        </right>
        <bottom style="thin">
          <color indexed="64"/>
        </bottom>
      </border>
    </dxf>
  </rfmt>
  <rcc rId="2543" sId="12">
    <oc r="E64">
      <f>D64*C64</f>
    </oc>
    <nc r="E64">
      <f>D64*C64</f>
    </nc>
  </rcc>
  <rfmt sheetId="12" sqref="G64" start="0" length="0">
    <dxf>
      <border outline="0">
        <bottom style="thin">
          <color indexed="64"/>
        </bottom>
      </border>
    </dxf>
  </rfmt>
  <rfmt sheetId="12" sqref="H64" start="0" length="0">
    <dxf>
      <border outline="0">
        <bottom style="thin">
          <color indexed="64"/>
        </bottom>
      </border>
    </dxf>
  </rfmt>
  <rfmt sheetId="12" sqref="I64" start="0" length="0">
    <dxf>
      <border outline="0">
        <bottom style="thin">
          <color indexed="64"/>
        </bottom>
      </border>
    </dxf>
  </rfmt>
  <rfmt sheetId="12" sqref="J64" start="0" length="0">
    <dxf>
      <border outline="0">
        <bottom style="thin">
          <color indexed="64"/>
        </bottom>
      </border>
    </dxf>
  </rfmt>
  <rcc rId="2544" sId="12">
    <oc r="K64">
      <f>G64+H64+I64+J64</f>
    </oc>
    <nc r="K64">
      <f>G64+H64+I64+J64</f>
    </nc>
  </rcc>
  <rcc rId="2545" sId="12">
    <oc r="L64">
      <f>D64*K64</f>
    </oc>
    <nc r="L64">
      <f>D64*K64</f>
    </nc>
  </rcc>
  <rcc rId="2546" sId="12">
    <oc r="M64">
      <f>F64-K64</f>
    </oc>
    <nc r="M64">
      <f>F64-K64</f>
    </nc>
  </rcc>
  <rcc rId="2547" sId="12">
    <oc r="N64">
      <f>K64/C64</f>
    </oc>
    <nc r="N64">
      <f>K64/C64</f>
    </nc>
  </rcc>
  <rcc rId="2548" sId="12">
    <oc r="S64">
      <f>G64*D64</f>
    </oc>
    <nc r="S64">
      <f>G64*D64</f>
    </nc>
  </rcc>
  <rcc rId="2549" sId="12">
    <oc r="T64">
      <f>H64*D64</f>
    </oc>
    <nc r="T64">
      <f>H64*D64</f>
    </nc>
  </rcc>
  <rcc rId="2550" sId="12">
    <oc r="U64">
      <f>I64*D64</f>
    </oc>
    <nc r="U64">
      <f>I64*D64</f>
    </nc>
  </rcc>
  <rcc rId="2551" sId="12">
    <oc r="V64">
      <f>J64*D64</f>
    </oc>
    <nc r="V64">
      <f>J64*D64</f>
    </nc>
  </rcc>
  <rfmt sheetId="12" s="1" sqref="B65" start="0" length="0">
    <dxf>
      <font>
        <sz val="12"/>
        <color auto="1"/>
        <name val="Arial Cyr"/>
        <scheme val="none"/>
      </font>
      <alignment horizontal="left" readingOrder="0"/>
    </dxf>
  </rfmt>
  <rfmt sheetId="12" sqref="C65" start="0" length="0">
    <dxf>
      <font>
        <sz val="12"/>
        <color rgb="FFFF0000"/>
      </font>
      <border outline="0">
        <bottom style="thin">
          <color indexed="64"/>
        </bottom>
      </border>
    </dxf>
  </rfmt>
  <rfmt sheetId="12" s="1" sqref="D65" start="0" length="0">
    <dxf>
      <font>
        <sz val="12"/>
        <color auto="1"/>
        <name val="Arial Cyr"/>
        <scheme val="none"/>
      </font>
      <border outline="0">
        <right style="medium">
          <color indexed="64"/>
        </right>
        <bottom style="thin">
          <color indexed="64"/>
        </bottom>
      </border>
    </dxf>
  </rfmt>
  <rcc rId="2552" sId="12">
    <oc r="E65">
      <f>D65*C65</f>
    </oc>
    <nc r="E65">
      <f>D65*C65</f>
    </nc>
  </rcc>
  <rfmt sheetId="12" sqref="G65" start="0" length="0">
    <dxf>
      <border outline="0">
        <bottom style="thin">
          <color indexed="64"/>
        </bottom>
      </border>
    </dxf>
  </rfmt>
  <rfmt sheetId="12" sqref="H65" start="0" length="0">
    <dxf>
      <border outline="0">
        <bottom style="thin">
          <color indexed="64"/>
        </bottom>
      </border>
    </dxf>
  </rfmt>
  <rfmt sheetId="12" sqref="I65" start="0" length="0">
    <dxf>
      <border outline="0">
        <bottom style="thin">
          <color indexed="64"/>
        </bottom>
      </border>
    </dxf>
  </rfmt>
  <rfmt sheetId="12" sqref="J65" start="0" length="0">
    <dxf>
      <border outline="0">
        <bottom style="thin">
          <color indexed="64"/>
        </bottom>
      </border>
    </dxf>
  </rfmt>
  <rcc rId="2553" sId="12">
    <oc r="K65">
      <f>G65+H65+I65+J65</f>
    </oc>
    <nc r="K65">
      <f>G65+H65+I65+J65</f>
    </nc>
  </rcc>
  <rcc rId="2554" sId="12">
    <oc r="L65">
      <f>D65*K65</f>
    </oc>
    <nc r="L65">
      <f>D65*K65</f>
    </nc>
  </rcc>
  <rcc rId="2555" sId="12">
    <oc r="M65">
      <f>F65-K65</f>
    </oc>
    <nc r="M65">
      <f>F65-K65</f>
    </nc>
  </rcc>
  <rcc rId="2556" sId="12">
    <oc r="N65">
      <f>K65/C65</f>
    </oc>
    <nc r="N65">
      <f>K65/C65</f>
    </nc>
  </rcc>
  <rcc rId="2557" sId="12">
    <oc r="S65">
      <f>G65*D65</f>
    </oc>
    <nc r="S65">
      <f>G65*D65</f>
    </nc>
  </rcc>
  <rcc rId="2558" sId="12">
    <oc r="T65">
      <f>H65*D65</f>
    </oc>
    <nc r="T65">
      <f>H65*D65</f>
    </nc>
  </rcc>
  <rcc rId="2559" sId="12">
    <oc r="U65">
      <f>I65*D65</f>
    </oc>
    <nc r="U65">
      <f>I65*D65</f>
    </nc>
  </rcc>
  <rcc rId="2560" sId="12">
    <oc r="V65">
      <f>J65*D65</f>
    </oc>
    <nc r="V65">
      <f>J65*D65</f>
    </nc>
  </rcc>
  <rfmt sheetId="12" s="1" sqref="B66" start="0" length="0">
    <dxf>
      <font>
        <sz val="12"/>
        <color auto="1"/>
        <name val="Arial Cyr"/>
        <scheme val="none"/>
      </font>
      <alignment horizontal="left" readingOrder="0"/>
    </dxf>
  </rfmt>
  <rfmt sheetId="12" sqref="C66" start="0" length="0">
    <dxf>
      <font>
        <sz val="12"/>
        <color rgb="FFFF0000"/>
      </font>
      <border outline="0">
        <bottom style="thin">
          <color indexed="64"/>
        </bottom>
      </border>
    </dxf>
  </rfmt>
  <rfmt sheetId="12" s="1" sqref="D66" start="0" length="0">
    <dxf>
      <font>
        <sz val="12"/>
        <color auto="1"/>
        <name val="Arial Cyr"/>
        <scheme val="none"/>
      </font>
      <border outline="0">
        <right style="medium">
          <color indexed="64"/>
        </right>
        <bottom style="thin">
          <color indexed="64"/>
        </bottom>
      </border>
    </dxf>
  </rfmt>
  <rcc rId="2561" sId="12">
    <oc r="E66">
      <f>D66*C66</f>
    </oc>
    <nc r="E66">
      <f>D66*C66</f>
    </nc>
  </rcc>
  <rfmt sheetId="12" sqref="G66" start="0" length="0">
    <dxf>
      <border outline="0">
        <bottom style="thin">
          <color indexed="64"/>
        </bottom>
      </border>
    </dxf>
  </rfmt>
  <rfmt sheetId="12" sqref="H66" start="0" length="0">
    <dxf>
      <border outline="0">
        <bottom style="thin">
          <color indexed="64"/>
        </bottom>
      </border>
    </dxf>
  </rfmt>
  <rfmt sheetId="12" sqref="I66" start="0" length="0">
    <dxf>
      <border outline="0">
        <bottom style="thin">
          <color indexed="64"/>
        </bottom>
      </border>
    </dxf>
  </rfmt>
  <rfmt sheetId="12" sqref="J66" start="0" length="0">
    <dxf>
      <border outline="0">
        <bottom style="thin">
          <color indexed="64"/>
        </bottom>
      </border>
    </dxf>
  </rfmt>
  <rcc rId="2562" sId="12">
    <oc r="K66">
      <f>G66+H66+I66+J66</f>
    </oc>
    <nc r="K66">
      <f>G66+H66+I66+J66</f>
    </nc>
  </rcc>
  <rcc rId="2563" sId="12">
    <oc r="L66">
      <f>D66*K66</f>
    </oc>
    <nc r="L66">
      <f>D66*K66</f>
    </nc>
  </rcc>
  <rcc rId="2564" sId="12">
    <oc r="M66">
      <f>F66-K66</f>
    </oc>
    <nc r="M66">
      <f>F66-K66</f>
    </nc>
  </rcc>
  <rcc rId="2565" sId="12">
    <oc r="N66">
      <f>K66/C66</f>
    </oc>
    <nc r="N66">
      <f>K66/C66</f>
    </nc>
  </rcc>
  <rcc rId="2566" sId="12">
    <oc r="S66">
      <f>G66*D66</f>
    </oc>
    <nc r="S66">
      <f>G66*D66</f>
    </nc>
  </rcc>
  <rcc rId="2567" sId="12">
    <oc r="T66">
      <f>H66*D66</f>
    </oc>
    <nc r="T66">
      <f>H66*D66</f>
    </nc>
  </rcc>
  <rcc rId="2568" sId="12">
    <oc r="U66">
      <f>I66*D66</f>
    </oc>
    <nc r="U66">
      <f>I66*D66</f>
    </nc>
  </rcc>
  <rcc rId="2569" sId="12">
    <oc r="V66">
      <f>J66*D66</f>
    </oc>
    <nc r="V66">
      <f>J66*D66</f>
    </nc>
  </rcc>
  <rfmt sheetId="12" s="1" sqref="B67" start="0" length="0">
    <dxf>
      <font>
        <sz val="12"/>
        <color auto="1"/>
        <name val="Arial Cyr"/>
        <scheme val="none"/>
      </font>
      <alignment horizontal="left" readingOrder="0"/>
    </dxf>
  </rfmt>
  <rfmt sheetId="12" sqref="C67" start="0" length="0">
    <dxf>
      <border outline="0">
        <bottom style="thin">
          <color indexed="64"/>
        </bottom>
      </border>
    </dxf>
  </rfmt>
  <rfmt sheetId="12" s="1" sqref="D67" start="0" length="0">
    <dxf>
      <font>
        <sz val="12"/>
        <color auto="1"/>
        <name val="Arial Cyr"/>
        <scheme val="none"/>
      </font>
      <border outline="0">
        <right style="medium">
          <color indexed="64"/>
        </right>
        <bottom style="thin">
          <color indexed="64"/>
        </bottom>
      </border>
    </dxf>
  </rfmt>
  <rcc rId="2570" sId="12">
    <oc r="E67">
      <f>D67*C67</f>
    </oc>
    <nc r="E67">
      <f>D67*C67</f>
    </nc>
  </rcc>
  <rfmt sheetId="12" sqref="G67" start="0" length="0">
    <dxf>
      <border outline="0">
        <bottom style="thin">
          <color indexed="64"/>
        </bottom>
      </border>
    </dxf>
  </rfmt>
  <rfmt sheetId="12" sqref="H67" start="0" length="0">
    <dxf>
      <font>
        <sz val="12"/>
      </font>
      <border outline="0">
        <bottom style="thin">
          <color indexed="64"/>
        </bottom>
      </border>
    </dxf>
  </rfmt>
  <rfmt sheetId="12" sqref="I67" start="0" length="0">
    <dxf>
      <border outline="0">
        <bottom style="thin">
          <color indexed="64"/>
        </bottom>
      </border>
    </dxf>
  </rfmt>
  <rfmt sheetId="12" sqref="J67" start="0" length="0">
    <dxf>
      <border outline="0">
        <bottom style="thin">
          <color indexed="64"/>
        </bottom>
      </border>
    </dxf>
  </rfmt>
  <rcc rId="2571" sId="12">
    <oc r="K67">
      <f>G67+H67+I67+J67</f>
    </oc>
    <nc r="K67">
      <f>G67+H67+I67+J67</f>
    </nc>
  </rcc>
  <rcc rId="2572" sId="12">
    <oc r="L67">
      <f>D67*K67</f>
    </oc>
    <nc r="L67">
      <f>D67*K67</f>
    </nc>
  </rcc>
  <rcc rId="2573" sId="12">
    <oc r="M67">
      <f>F67-K67</f>
    </oc>
    <nc r="M67">
      <f>F67-K67</f>
    </nc>
  </rcc>
  <rcc rId="2574" sId="12">
    <oc r="N67">
      <f>K67/C67</f>
    </oc>
    <nc r="N67">
      <f>K67/C67</f>
    </nc>
  </rcc>
  <rcc rId="2575" sId="12">
    <oc r="S67">
      <f>G67*D67</f>
    </oc>
    <nc r="S67">
      <f>G67*D67</f>
    </nc>
  </rcc>
  <rcc rId="2576" sId="12">
    <oc r="T67">
      <f>H67*D67</f>
    </oc>
    <nc r="T67">
      <f>H67*D67</f>
    </nc>
  </rcc>
  <rcc rId="2577" sId="12">
    <oc r="U67">
      <f>I67*D67</f>
    </oc>
    <nc r="U67">
      <f>I67*D67</f>
    </nc>
  </rcc>
  <rcc rId="2578" sId="12">
    <oc r="V67">
      <f>J67*D67</f>
    </oc>
    <nc r="V67">
      <f>J67*D67</f>
    </nc>
  </rcc>
  <rfmt sheetId="12" s="1" sqref="B68" start="0" length="0">
    <dxf>
      <font>
        <sz val="12"/>
        <color auto="1"/>
        <name val="Arial Cyr"/>
        <scheme val="none"/>
      </font>
      <alignment horizontal="left" readingOrder="0"/>
    </dxf>
  </rfmt>
  <rfmt sheetId="12" sqref="C68" start="0" length="0">
    <dxf>
      <border outline="0">
        <bottom style="thin">
          <color indexed="64"/>
        </bottom>
      </border>
    </dxf>
  </rfmt>
  <rfmt sheetId="12" s="1" sqref="D68" start="0" length="0">
    <dxf>
      <font>
        <sz val="12"/>
        <color auto="1"/>
        <name val="Arial Cyr"/>
        <scheme val="none"/>
      </font>
      <border outline="0">
        <right style="medium">
          <color indexed="64"/>
        </right>
        <bottom style="thin">
          <color indexed="64"/>
        </bottom>
      </border>
    </dxf>
  </rfmt>
  <rcc rId="2579" sId="12">
    <oc r="E68">
      <f>D68*C68</f>
    </oc>
    <nc r="E68">
      <f>D68*C68</f>
    </nc>
  </rcc>
  <rfmt sheetId="12" sqref="F68" start="0" length="0">
    <dxf>
      <font>
        <sz val="12"/>
        <color rgb="FFFF0000"/>
      </font>
    </dxf>
  </rfmt>
  <rfmt sheetId="12" sqref="G68" start="0" length="0">
    <dxf>
      <border outline="0">
        <bottom style="thin">
          <color indexed="64"/>
        </bottom>
      </border>
    </dxf>
  </rfmt>
  <rfmt sheetId="12" sqref="H68" start="0" length="0">
    <dxf>
      <border outline="0">
        <bottom style="thin">
          <color indexed="64"/>
        </bottom>
      </border>
    </dxf>
  </rfmt>
  <rfmt sheetId="12" sqref="I68" start="0" length="0">
    <dxf>
      <border outline="0">
        <bottom style="thin">
          <color indexed="64"/>
        </bottom>
      </border>
    </dxf>
  </rfmt>
  <rfmt sheetId="12" sqref="J68" start="0" length="0">
    <dxf>
      <border outline="0">
        <bottom style="thin">
          <color indexed="64"/>
        </bottom>
      </border>
    </dxf>
  </rfmt>
  <rcc rId="2580" sId="12">
    <oc r="K68">
      <f>G68+H68+I68+J68</f>
    </oc>
    <nc r="K68">
      <f>G68+H68+I68+J68</f>
    </nc>
  </rcc>
  <rcc rId="2581" sId="12">
    <oc r="L68">
      <f>D68*K68</f>
    </oc>
    <nc r="L68">
      <f>D68*K68</f>
    </nc>
  </rcc>
  <rcc rId="2582" sId="12">
    <oc r="M68">
      <f>F68-K68</f>
    </oc>
    <nc r="M68">
      <f>F68-K68</f>
    </nc>
  </rcc>
  <rcc rId="2583" sId="12">
    <oc r="N68">
      <f>K68/C68</f>
    </oc>
    <nc r="N68">
      <f>K68/C68</f>
    </nc>
  </rcc>
  <rcc rId="2584" sId="12">
    <oc r="S68">
      <f>G68*D68</f>
    </oc>
    <nc r="S68">
      <f>G68*D68</f>
    </nc>
  </rcc>
  <rcc rId="2585" sId="12">
    <oc r="T68">
      <f>H68*D68</f>
    </oc>
    <nc r="T68">
      <f>H68*D68</f>
    </nc>
  </rcc>
  <rcc rId="2586" sId="12">
    <oc r="U68">
      <f>I68*D68</f>
    </oc>
    <nc r="U68">
      <f>I68*D68</f>
    </nc>
  </rcc>
  <rcc rId="2587" sId="12">
    <oc r="V68">
      <f>J68*D68</f>
    </oc>
    <nc r="V68">
      <f>J68*D68</f>
    </nc>
  </rcc>
  <rfmt sheetId="12" s="1" sqref="B69" start="0" length="0">
    <dxf>
      <font>
        <sz val="12"/>
        <color auto="1"/>
        <name val="Arial Cyr"/>
        <scheme val="none"/>
      </font>
      <alignment horizontal="left" readingOrder="0"/>
    </dxf>
  </rfmt>
  <rfmt sheetId="12" sqref="C69" start="0" length="0">
    <dxf>
      <font>
        <sz val="12"/>
        <color rgb="FFFF0000"/>
      </font>
      <border outline="0">
        <bottom style="thin">
          <color indexed="64"/>
        </bottom>
      </border>
    </dxf>
  </rfmt>
  <rfmt sheetId="12" s="1" sqref="D69" start="0" length="0">
    <dxf>
      <font>
        <sz val="12"/>
        <color auto="1"/>
        <name val="Arial Cyr"/>
        <scheme val="none"/>
      </font>
      <border outline="0">
        <right style="medium">
          <color indexed="64"/>
        </right>
        <bottom style="thin">
          <color indexed="64"/>
        </bottom>
      </border>
    </dxf>
  </rfmt>
  <rcc rId="2588" sId="12">
    <oc r="E69">
      <f>D69*C69</f>
    </oc>
    <nc r="E69">
      <f>D69*C69</f>
    </nc>
  </rcc>
  <rfmt sheetId="12" sqref="F69" start="0" length="0">
    <dxf>
      <font>
        <sz val="12"/>
        <color rgb="FFFF0000"/>
      </font>
    </dxf>
  </rfmt>
  <rfmt sheetId="12" sqref="G69" start="0" length="0">
    <dxf>
      <border outline="0">
        <bottom style="thin">
          <color indexed="64"/>
        </bottom>
      </border>
    </dxf>
  </rfmt>
  <rfmt sheetId="12" sqref="H69" start="0" length="0">
    <dxf>
      <border outline="0">
        <bottom style="thin">
          <color indexed="64"/>
        </bottom>
      </border>
    </dxf>
  </rfmt>
  <rfmt sheetId="12" sqref="I69" start="0" length="0">
    <dxf>
      <border outline="0">
        <bottom style="thin">
          <color indexed="64"/>
        </bottom>
      </border>
    </dxf>
  </rfmt>
  <rfmt sheetId="12" sqref="J69" start="0" length="0">
    <dxf>
      <border outline="0">
        <bottom style="thin">
          <color indexed="64"/>
        </bottom>
      </border>
    </dxf>
  </rfmt>
  <rcc rId="2589" sId="12">
    <oc r="K69">
      <f>G69+H69+I69+J69</f>
    </oc>
    <nc r="K69">
      <f>G69+H69+I69+J69</f>
    </nc>
  </rcc>
  <rcc rId="2590" sId="12">
    <oc r="L69">
      <f>D69*K69</f>
    </oc>
    <nc r="L69">
      <f>D69*K69</f>
    </nc>
  </rcc>
  <rcc rId="2591" sId="12">
    <oc r="M69">
      <f>F69-K69</f>
    </oc>
    <nc r="M69">
      <f>F69-K69</f>
    </nc>
  </rcc>
  <rcc rId="2592" sId="12">
    <oc r="N69">
      <f>K69/C69</f>
    </oc>
    <nc r="N69">
      <f>K69/C69</f>
    </nc>
  </rcc>
  <rcc rId="2593" sId="12">
    <oc r="S69">
      <f>G69*D69</f>
    </oc>
    <nc r="S69">
      <f>G69*D69</f>
    </nc>
  </rcc>
  <rcc rId="2594" sId="12">
    <oc r="T69">
      <f>H69*D69</f>
    </oc>
    <nc r="T69">
      <f>H69*D69</f>
    </nc>
  </rcc>
  <rcc rId="2595" sId="12">
    <oc r="U69">
      <f>I69*D69</f>
    </oc>
    <nc r="U69">
      <f>I69*D69</f>
    </nc>
  </rcc>
  <rcc rId="2596" sId="12">
    <oc r="V69">
      <f>J69*D69</f>
    </oc>
    <nc r="V69">
      <f>J69*D69</f>
    </nc>
  </rcc>
  <rfmt sheetId="12" s="1" sqref="B70" start="0" length="0">
    <dxf>
      <font>
        <sz val="12"/>
        <color auto="1"/>
        <name val="Arial Cyr"/>
        <scheme val="none"/>
      </font>
      <alignment horizontal="left" readingOrder="0"/>
    </dxf>
  </rfmt>
  <rfmt sheetId="12" sqref="C70" start="0" length="0">
    <dxf>
      <font>
        <sz val="12"/>
        <color rgb="FFFF0000"/>
      </font>
    </dxf>
  </rfmt>
  <rfmt sheetId="12" sqref="D70" start="0" length="0">
    <dxf>
      <font>
        <sz val="12"/>
      </font>
      <border outline="0">
        <bottom style="thin">
          <color indexed="64"/>
        </bottom>
      </border>
    </dxf>
  </rfmt>
  <rcc rId="2597" sId="12">
    <oc r="E70">
      <f>D70*C70</f>
    </oc>
    <nc r="E70">
      <f>D70*C70</f>
    </nc>
  </rcc>
  <rfmt sheetId="12" sqref="F70" start="0" length="0">
    <dxf>
      <font>
        <sz val="12"/>
        <color rgb="FFFF0000"/>
      </font>
    </dxf>
  </rfmt>
  <rfmt sheetId="12" sqref="G70" start="0" length="0">
    <dxf>
      <border outline="0">
        <bottom style="thin">
          <color indexed="64"/>
        </bottom>
      </border>
    </dxf>
  </rfmt>
  <rfmt sheetId="12" sqref="H70" start="0" length="0">
    <dxf>
      <border outline="0">
        <bottom style="thin">
          <color indexed="64"/>
        </bottom>
      </border>
    </dxf>
  </rfmt>
  <rfmt sheetId="12" sqref="I70" start="0" length="0">
    <dxf>
      <border outline="0">
        <bottom style="thin">
          <color indexed="64"/>
        </bottom>
      </border>
    </dxf>
  </rfmt>
  <rfmt sheetId="12" sqref="J70" start="0" length="0">
    <dxf>
      <border outline="0">
        <bottom style="thin">
          <color indexed="64"/>
        </bottom>
      </border>
    </dxf>
  </rfmt>
  <rcc rId="2598" sId="12">
    <oc r="K70">
      <f>G70+H70+I70+J70</f>
    </oc>
    <nc r="K70">
      <f>G70+H70+I70+J70</f>
    </nc>
  </rcc>
  <rcc rId="2599" sId="12">
    <oc r="L70">
      <f>D70*K70</f>
    </oc>
    <nc r="L70">
      <f>D70*K70</f>
    </nc>
  </rcc>
  <rcc rId="2600" sId="12">
    <oc r="M70">
      <f>F70-K70</f>
    </oc>
    <nc r="M70">
      <f>F70-K70</f>
    </nc>
  </rcc>
  <rcc rId="2601" sId="12">
    <oc r="N70">
      <f>K70/C70</f>
    </oc>
    <nc r="N70">
      <f>K70/C70</f>
    </nc>
  </rcc>
  <rcc rId="2602" sId="12">
    <oc r="S70">
      <f>G70*D70</f>
    </oc>
    <nc r="S70">
      <f>G70*D70</f>
    </nc>
  </rcc>
  <rcc rId="2603" sId="12">
    <oc r="T70">
      <f>H70*D70</f>
    </oc>
    <nc r="T70">
      <f>H70*D70</f>
    </nc>
  </rcc>
  <rcc rId="2604" sId="12">
    <oc r="U70">
      <f>I70*D70</f>
    </oc>
    <nc r="U70">
      <f>I70*D70</f>
    </nc>
  </rcc>
  <rcc rId="2605" sId="12">
    <oc r="V70">
      <f>J70*D70</f>
    </oc>
    <nc r="V70">
      <f>J70*D70</f>
    </nc>
  </rcc>
  <rfmt sheetId="12" s="1" sqref="B71" start="0" length="0">
    <dxf>
      <font>
        <sz val="12"/>
        <color auto="1"/>
        <name val="Arial Cyr"/>
        <scheme val="none"/>
      </font>
      <alignment horizontal="left" readingOrder="0"/>
    </dxf>
  </rfmt>
  <rfmt sheetId="12" sqref="C71" start="0" length="0">
    <dxf>
      <font>
        <sz val="12"/>
        <color rgb="FFFF0000"/>
      </font>
      <border outline="0">
        <bottom style="thin">
          <color indexed="64"/>
        </bottom>
      </border>
    </dxf>
  </rfmt>
  <rfmt sheetId="12" sqref="D71" start="0" length="0">
    <dxf>
      <font>
        <sz val="12"/>
      </font>
      <border outline="0">
        <right style="medium">
          <color indexed="64"/>
        </right>
        <bottom style="thin">
          <color indexed="64"/>
        </bottom>
      </border>
    </dxf>
  </rfmt>
  <rcc rId="2606" sId="12">
    <oc r="E71">
      <f>D71*C71</f>
    </oc>
    <nc r="E71">
      <f>D71*C71</f>
    </nc>
  </rcc>
  <rfmt sheetId="12" sqref="F71" start="0" length="0">
    <dxf>
      <font>
        <sz val="12"/>
        <color rgb="FFFF0000"/>
      </font>
    </dxf>
  </rfmt>
  <rfmt sheetId="12" sqref="G71" start="0" length="0">
    <dxf>
      <border outline="0">
        <bottom style="thin">
          <color indexed="64"/>
        </bottom>
      </border>
    </dxf>
  </rfmt>
  <rfmt sheetId="12" sqref="H71" start="0" length="0">
    <dxf>
      <border outline="0">
        <bottom style="thin">
          <color indexed="64"/>
        </bottom>
      </border>
    </dxf>
  </rfmt>
  <rfmt sheetId="12" sqref="I71" start="0" length="0">
    <dxf>
      <border outline="0">
        <bottom style="thin">
          <color indexed="64"/>
        </bottom>
      </border>
    </dxf>
  </rfmt>
  <rfmt sheetId="12" sqref="J71" start="0" length="0">
    <dxf>
      <border outline="0">
        <bottom style="thin">
          <color indexed="64"/>
        </bottom>
      </border>
    </dxf>
  </rfmt>
  <rcc rId="2607" sId="12" odxf="1" dxf="1">
    <oc r="K71">
      <f>G71+H71+I71+J71</f>
    </oc>
    <nc r="K71">
      <f>G71+H71+I71+J71</f>
    </nc>
    <odxf/>
    <ndxf/>
  </rcc>
  <rcc rId="2608" sId="12">
    <oc r="L71">
      <f>D71*K71</f>
    </oc>
    <nc r="L71">
      <f>D71*K71</f>
    </nc>
  </rcc>
  <rcc rId="2609" sId="12">
    <oc r="M71">
      <f>F71-K71</f>
    </oc>
    <nc r="M71">
      <f>F71-K71</f>
    </nc>
  </rcc>
  <rcc rId="2610" sId="12">
    <oc r="N71">
      <f>K71/C71</f>
    </oc>
    <nc r="N71">
      <f>K71/C71</f>
    </nc>
  </rcc>
  <rcc rId="2611" sId="12">
    <oc r="S71">
      <f>G71*D71</f>
    </oc>
    <nc r="S71">
      <f>G71*D71</f>
    </nc>
  </rcc>
  <rcc rId="2612" sId="12">
    <oc r="T71">
      <f>H71*D71</f>
    </oc>
    <nc r="T71">
      <f>H71*D71</f>
    </nc>
  </rcc>
  <rcc rId="2613" sId="12">
    <oc r="U71">
      <f>I71*D71</f>
    </oc>
    <nc r="U71">
      <f>I71*D71</f>
    </nc>
  </rcc>
  <rcc rId="2614" sId="12">
    <oc r="V71">
      <f>J71*D71</f>
    </oc>
    <nc r="V71">
      <f>J71*D71</f>
    </nc>
  </rcc>
  <rfmt sheetId="12" s="1" sqref="B73" start="0" length="0">
    <dxf>
      <font>
        <sz val="12"/>
        <color auto="1"/>
        <name val="Arial Cyr"/>
        <scheme val="none"/>
      </font>
      <alignment horizontal="left" readingOrder="0"/>
    </dxf>
  </rfmt>
  <rfmt sheetId="12" sqref="C73" start="0" length="0">
    <dxf>
      <border outline="0">
        <bottom style="thin">
          <color indexed="64"/>
        </bottom>
      </border>
    </dxf>
  </rfmt>
  <rfmt sheetId="12" sqref="D73" start="0" length="0">
    <dxf>
      <font>
        <sz val="12"/>
      </font>
      <border outline="0">
        <right style="medium">
          <color indexed="64"/>
        </right>
        <bottom style="thin">
          <color indexed="64"/>
        </bottom>
      </border>
    </dxf>
  </rfmt>
  <rcc rId="2615" sId="12">
    <oc r="E73">
      <f>D73*C73</f>
    </oc>
    <nc r="E73">
      <f>D73*C73</f>
    </nc>
  </rcc>
  <rfmt sheetId="12" sqref="G73" start="0" length="0">
    <dxf>
      <border outline="0">
        <bottom style="thin">
          <color indexed="64"/>
        </bottom>
      </border>
    </dxf>
  </rfmt>
  <rfmt sheetId="12" sqref="H73" start="0" length="0">
    <dxf>
      <border outline="0">
        <bottom style="thin">
          <color indexed="64"/>
        </bottom>
      </border>
    </dxf>
  </rfmt>
  <rfmt sheetId="12" sqref="I73" start="0" length="0">
    <dxf>
      <border outline="0">
        <bottom style="thin">
          <color indexed="64"/>
        </bottom>
      </border>
    </dxf>
  </rfmt>
  <rfmt sheetId="12" sqref="J73" start="0" length="0">
    <dxf>
      <border outline="0">
        <bottom style="thin">
          <color indexed="64"/>
        </bottom>
      </border>
    </dxf>
  </rfmt>
  <rcc rId="2616" sId="12">
    <oc r="K73">
      <f>G73+H73+I73+J73</f>
    </oc>
    <nc r="K73">
      <f>G73+H73+I73+J73</f>
    </nc>
  </rcc>
  <rcc rId="2617" sId="12">
    <oc r="L73">
      <f>D73*K73</f>
    </oc>
    <nc r="L73">
      <f>D73*K73</f>
    </nc>
  </rcc>
  <rcc rId="2618" sId="12">
    <oc r="M73">
      <f>F73-K73</f>
    </oc>
    <nc r="M73">
      <f>F73-K73</f>
    </nc>
  </rcc>
  <rcc rId="2619" sId="12">
    <oc r="N73">
      <f>K73/C73</f>
    </oc>
    <nc r="N73">
      <f>K73/C73</f>
    </nc>
  </rcc>
  <rcc rId="2620" sId="12">
    <oc r="S73">
      <f>G73*D73</f>
    </oc>
    <nc r="S73">
      <f>G73*D73</f>
    </nc>
  </rcc>
  <rcc rId="2621" sId="12">
    <oc r="T73">
      <f>H73*D73</f>
    </oc>
    <nc r="T73">
      <f>H73*D73</f>
    </nc>
  </rcc>
  <rcc rId="2622" sId="12">
    <oc r="U73">
      <f>I73*D73</f>
    </oc>
    <nc r="U73">
      <f>I73*D73</f>
    </nc>
  </rcc>
  <rcc rId="2623" sId="12">
    <oc r="V73">
      <f>J73*D73</f>
    </oc>
    <nc r="V73">
      <f>J73*D73</f>
    </nc>
  </rcc>
  <rfmt sheetId="12" s="1" sqref="B74" start="0" length="0">
    <dxf>
      <font>
        <sz val="12"/>
        <color auto="1"/>
        <name val="Arial Cyr"/>
        <scheme val="none"/>
      </font>
      <alignment horizontal="left" readingOrder="0"/>
    </dxf>
  </rfmt>
  <rfmt sheetId="12" sqref="C74" start="0" length="0">
    <dxf>
      <border outline="0">
        <bottom style="thin">
          <color indexed="64"/>
        </bottom>
      </border>
    </dxf>
  </rfmt>
  <rfmt sheetId="12" sqref="D74" start="0" length="0">
    <dxf>
      <font>
        <sz val="12"/>
      </font>
      <border outline="0">
        <bottom style="thin">
          <color indexed="64"/>
        </bottom>
      </border>
    </dxf>
  </rfmt>
  <rcc rId="2624" sId="12">
    <oc r="E74">
      <f>D74*C74</f>
    </oc>
    <nc r="E74">
      <f>D74*C74</f>
    </nc>
  </rcc>
  <rfmt sheetId="12" sqref="G74" start="0" length="0">
    <dxf>
      <border outline="0">
        <bottom style="thin">
          <color indexed="64"/>
        </bottom>
      </border>
    </dxf>
  </rfmt>
  <rfmt sheetId="12" sqref="H74" start="0" length="0">
    <dxf>
      <border outline="0">
        <bottom style="thin">
          <color indexed="64"/>
        </bottom>
      </border>
    </dxf>
  </rfmt>
  <rfmt sheetId="12" sqref="I74" start="0" length="0">
    <dxf>
      <border outline="0">
        <bottom style="thin">
          <color indexed="64"/>
        </bottom>
      </border>
    </dxf>
  </rfmt>
  <rfmt sheetId="12" sqref="J74" start="0" length="0">
    <dxf>
      <border outline="0">
        <bottom style="thin">
          <color indexed="64"/>
        </bottom>
      </border>
    </dxf>
  </rfmt>
  <rcc rId="2625" sId="12">
    <oc r="K74">
      <f>G74+H74+I74+J74</f>
    </oc>
    <nc r="K74">
      <f>G74+H74+I74+J74</f>
    </nc>
  </rcc>
  <rcc rId="2626" sId="12">
    <oc r="L74">
      <f>D74*K74</f>
    </oc>
    <nc r="L74">
      <f>D74*K74</f>
    </nc>
  </rcc>
  <rcc rId="2627" sId="12">
    <oc r="M74">
      <f>F74-K74</f>
    </oc>
    <nc r="M74">
      <f>F74-K74</f>
    </nc>
  </rcc>
  <rcc rId="2628" sId="12">
    <oc r="N74">
      <f>K74/C74</f>
    </oc>
    <nc r="N74">
      <f>K74/C74</f>
    </nc>
  </rcc>
  <rcc rId="2629" sId="12">
    <oc r="S74">
      <f>G74*D74</f>
    </oc>
    <nc r="S74">
      <f>G74*D74</f>
    </nc>
  </rcc>
  <rcc rId="2630" sId="12">
    <oc r="T74">
      <f>H74*D74</f>
    </oc>
    <nc r="T74">
      <f>H74*D74</f>
    </nc>
  </rcc>
  <rcc rId="2631" sId="12">
    <oc r="U74">
      <f>I74*D74</f>
    </oc>
    <nc r="U74">
      <f>I74*D74</f>
    </nc>
  </rcc>
  <rcc rId="2632" sId="12">
    <oc r="V74">
      <f>J74*D74</f>
    </oc>
    <nc r="V74">
      <f>J74*D74</f>
    </nc>
  </rcc>
  <rfmt sheetId="12" sqref="A76" start="0" length="0">
    <dxf>
      <font>
        <sz val="14"/>
        <color indexed="8"/>
        <name val="Times New Roman"/>
        <scheme val="none"/>
      </font>
      <alignment vertical="top" readingOrder="0"/>
    </dxf>
  </rfmt>
  <rfmt sheetId="12" s="1" sqref="B76" start="0" length="0">
    <dxf>
      <font>
        <sz val="12"/>
        <color auto="1"/>
        <name val="Arial Cyr"/>
        <scheme val="none"/>
      </font>
      <alignment horizontal="left" readingOrder="0"/>
    </dxf>
  </rfmt>
  <rfmt sheetId="12" sqref="C76" start="0" length="0">
    <dxf>
      <border outline="0">
        <bottom style="thin">
          <color indexed="64"/>
        </bottom>
      </border>
    </dxf>
  </rfmt>
  <rfmt sheetId="12" sqref="D76" start="0" length="0">
    <dxf>
      <font>
        <sz val="12"/>
      </font>
      <border outline="0">
        <right style="medium">
          <color indexed="64"/>
        </right>
        <bottom style="thin">
          <color indexed="64"/>
        </bottom>
      </border>
    </dxf>
  </rfmt>
  <rcc rId="2633" sId="12">
    <oc r="E76">
      <f>D76*C76</f>
    </oc>
    <nc r="E76">
      <f>D76*C76</f>
    </nc>
  </rcc>
  <rfmt sheetId="12" sqref="G76" start="0" length="0">
    <dxf>
      <border outline="0">
        <bottom style="thin">
          <color indexed="64"/>
        </bottom>
      </border>
    </dxf>
  </rfmt>
  <rfmt sheetId="12" sqref="H76" start="0" length="0">
    <dxf>
      <border outline="0">
        <bottom style="thin">
          <color indexed="64"/>
        </bottom>
      </border>
    </dxf>
  </rfmt>
  <rfmt sheetId="12" sqref="I76" start="0" length="0">
    <dxf>
      <border outline="0">
        <bottom style="thin">
          <color indexed="64"/>
        </bottom>
      </border>
    </dxf>
  </rfmt>
  <rfmt sheetId="12" sqref="J76" start="0" length="0">
    <dxf>
      <border outline="0">
        <bottom style="thin">
          <color indexed="64"/>
        </bottom>
      </border>
    </dxf>
  </rfmt>
  <rcc rId="2634" sId="12">
    <oc r="K76">
      <f>G76+H76+I76+J76</f>
    </oc>
    <nc r="K76">
      <f>G76+H76+I76+J76</f>
    </nc>
  </rcc>
  <rcc rId="2635" sId="12">
    <oc r="L76">
      <f>D76*K76</f>
    </oc>
    <nc r="L76">
      <f>D76*K76</f>
    </nc>
  </rcc>
  <rcc rId="2636" sId="12">
    <oc r="M76">
      <f>F76-K76</f>
    </oc>
    <nc r="M76">
      <f>F76-K76</f>
    </nc>
  </rcc>
  <rcc rId="2637" sId="12">
    <oc r="N76">
      <f>K76/C76</f>
    </oc>
    <nc r="N76">
      <f>K76/C76</f>
    </nc>
  </rcc>
  <rcc rId="2638" sId="12">
    <oc r="S76">
      <f>G76*D76</f>
    </oc>
    <nc r="S76">
      <f>G76*D76</f>
    </nc>
  </rcc>
  <rcc rId="2639" sId="12">
    <oc r="T76">
      <f>H76*D76</f>
    </oc>
    <nc r="T76">
      <f>H76*D76</f>
    </nc>
  </rcc>
  <rcc rId="2640" sId="12">
    <oc r="U76">
      <f>I76*D76</f>
    </oc>
    <nc r="U76">
      <f>I76*D76</f>
    </nc>
  </rcc>
  <rcc rId="2641" sId="12">
    <oc r="V76">
      <f>J76*D76</f>
    </oc>
    <nc r="V76">
      <f>J76*D76</f>
    </nc>
  </rcc>
  <rfmt sheetId="12" sqref="A77" start="0" length="0">
    <dxf>
      <font>
        <sz val="14"/>
        <color indexed="8"/>
        <name val="Times New Roman"/>
        <scheme val="none"/>
      </font>
      <alignment vertical="top" readingOrder="0"/>
    </dxf>
  </rfmt>
  <rfmt sheetId="12" s="1" sqref="B77" start="0" length="0">
    <dxf>
      <font>
        <sz val="12"/>
        <color auto="1"/>
        <name val="Arial Cyr"/>
        <scheme val="none"/>
      </font>
    </dxf>
  </rfmt>
  <rfmt sheetId="12" sqref="C77" start="0" length="0">
    <dxf>
      <border outline="0">
        <left style="medium">
          <color indexed="64"/>
        </left>
        <bottom style="thin">
          <color indexed="64"/>
        </bottom>
      </border>
    </dxf>
  </rfmt>
  <rfmt sheetId="12" sqref="D77" start="0" length="0">
    <dxf>
      <font>
        <sz val="12"/>
      </font>
      <border outline="0">
        <right style="medium">
          <color indexed="64"/>
        </right>
        <bottom style="thin">
          <color indexed="64"/>
        </bottom>
      </border>
    </dxf>
  </rfmt>
  <rcc rId="2642" sId="12">
    <oc r="E77">
      <f>D77*C77</f>
    </oc>
    <nc r="E77">
      <f>D77*C77</f>
    </nc>
  </rcc>
  <rfmt sheetId="12" sqref="G77" start="0" length="0">
    <dxf>
      <border outline="0">
        <bottom style="thin">
          <color indexed="64"/>
        </bottom>
      </border>
    </dxf>
  </rfmt>
  <rfmt sheetId="12" sqref="H77" start="0" length="0">
    <dxf>
      <border outline="0">
        <bottom style="thin">
          <color indexed="64"/>
        </bottom>
      </border>
    </dxf>
  </rfmt>
  <rfmt sheetId="12" sqref="I77" start="0" length="0">
    <dxf>
      <border outline="0">
        <bottom style="thin">
          <color indexed="64"/>
        </bottom>
      </border>
    </dxf>
  </rfmt>
  <rfmt sheetId="12" sqref="J77" start="0" length="0">
    <dxf>
      <border outline="0">
        <bottom style="thin">
          <color indexed="64"/>
        </bottom>
      </border>
    </dxf>
  </rfmt>
  <rcc rId="2643" sId="12">
    <oc r="K77">
      <f>G77+H77+I77+J77</f>
    </oc>
    <nc r="K77">
      <f>G77+H77+I77+J77</f>
    </nc>
  </rcc>
  <rcc rId="2644" sId="12">
    <oc r="L77">
      <f>D77*K77</f>
    </oc>
    <nc r="L77">
      <f>D77*K77</f>
    </nc>
  </rcc>
  <rcc rId="2645" sId="12">
    <oc r="M77">
      <f>F77-K77</f>
    </oc>
    <nc r="M77">
      <f>F77-K77</f>
    </nc>
  </rcc>
  <rcc rId="2646" sId="12">
    <oc r="N77">
      <f>K77/C77</f>
    </oc>
    <nc r="N77">
      <f>K77/C77</f>
    </nc>
  </rcc>
  <rcc rId="2647" sId="12">
    <oc r="S77">
      <f>G77*D77</f>
    </oc>
    <nc r="S77">
      <f>G77*D77</f>
    </nc>
  </rcc>
  <rcc rId="2648" sId="12">
    <oc r="T77">
      <f>H77*D77</f>
    </oc>
    <nc r="T77">
      <f>H77*D77</f>
    </nc>
  </rcc>
  <rcc rId="2649" sId="12">
    <oc r="U77">
      <f>I77*D77</f>
    </oc>
    <nc r="U77">
      <f>I77*D77</f>
    </nc>
  </rcc>
  <rcc rId="2650" sId="12">
    <oc r="V77">
      <f>J77*D77</f>
    </oc>
    <nc r="V77">
      <f>J77*D77</f>
    </nc>
  </rcc>
  <rfmt sheetId="12" sqref="A78" start="0" length="0">
    <dxf>
      <font>
        <sz val="14"/>
        <color indexed="8"/>
        <name val="Times New Roman"/>
        <scheme val="none"/>
      </font>
      <alignment vertical="top" readingOrder="0"/>
    </dxf>
  </rfmt>
  <rfmt sheetId="12" s="1" sqref="B78" start="0" length="0">
    <dxf>
      <font>
        <sz val="12"/>
        <color auto="1"/>
        <name val="Arial Cyr"/>
        <scheme val="none"/>
      </font>
      <alignment horizontal="left" vertical="center" wrapText="1" readingOrder="0"/>
      <border outline="0">
        <top style="thin">
          <color indexed="64"/>
        </top>
        <bottom style="thin">
          <color indexed="64"/>
        </bottom>
      </border>
    </dxf>
  </rfmt>
  <rfmt sheetId="12" sqref="C78" start="0" length="0">
    <dxf>
      <border outline="0">
        <left style="medium">
          <color indexed="64"/>
        </left>
        <bottom style="thin">
          <color indexed="64"/>
        </bottom>
      </border>
    </dxf>
  </rfmt>
  <rfmt sheetId="12" sqref="D78" start="0" length="0">
    <dxf>
      <font>
        <sz val="12"/>
      </font>
      <border outline="0">
        <right style="medium">
          <color indexed="64"/>
        </right>
        <bottom style="thin">
          <color indexed="64"/>
        </bottom>
      </border>
    </dxf>
  </rfmt>
  <rcc rId="2651" sId="12">
    <oc r="E78">
      <f>D78*C78</f>
    </oc>
    <nc r="E78">
      <f>D78*C78</f>
    </nc>
  </rcc>
  <rfmt sheetId="12" sqref="G78" start="0" length="0">
    <dxf>
      <border outline="0">
        <bottom style="thin">
          <color indexed="64"/>
        </bottom>
      </border>
    </dxf>
  </rfmt>
  <rfmt sheetId="12" sqref="H78" start="0" length="0">
    <dxf>
      <border outline="0">
        <bottom style="thin">
          <color indexed="64"/>
        </bottom>
      </border>
    </dxf>
  </rfmt>
  <rfmt sheetId="12" sqref="I78" start="0" length="0">
    <dxf>
      <border outline="0">
        <bottom style="thin">
          <color indexed="64"/>
        </bottom>
      </border>
    </dxf>
  </rfmt>
  <rfmt sheetId="12" sqref="J78" start="0" length="0">
    <dxf>
      <border outline="0">
        <bottom style="thin">
          <color indexed="64"/>
        </bottom>
      </border>
    </dxf>
  </rfmt>
  <rcc rId="2652" sId="12">
    <oc r="K78">
      <f>G78+H78+I78+J78</f>
    </oc>
    <nc r="K78">
      <f>G78+H78+I78+J78</f>
    </nc>
  </rcc>
  <rcc rId="2653" sId="12">
    <oc r="L78">
      <f>D78*K78</f>
    </oc>
    <nc r="L78">
      <f>D78*K78</f>
    </nc>
  </rcc>
  <rcc rId="2654" sId="12">
    <oc r="M78">
      <f>F78-K78</f>
    </oc>
    <nc r="M78">
      <f>F78-K78</f>
    </nc>
  </rcc>
  <rcc rId="2655" sId="12">
    <oc r="N78">
      <f>K78/C78</f>
    </oc>
    <nc r="N78">
      <f>K78/C78</f>
    </nc>
  </rcc>
  <rcc rId="2656" sId="12">
    <oc r="S78">
      <f>G78*D78</f>
    </oc>
    <nc r="S78">
      <f>G78*D78</f>
    </nc>
  </rcc>
  <rcc rId="2657" sId="12">
    <oc r="T78">
      <f>H78*D78</f>
    </oc>
    <nc r="T78">
      <f>H78*D78</f>
    </nc>
  </rcc>
  <rcc rId="2658" sId="12">
    <oc r="U78">
      <f>I78*D78</f>
    </oc>
    <nc r="U78">
      <f>I78*D78</f>
    </nc>
  </rcc>
  <rcc rId="2659" sId="12">
    <oc r="V78">
      <f>J78*D78</f>
    </oc>
    <nc r="V78">
      <f>J78*D78</f>
    </nc>
  </rcc>
  <rfmt sheetId="12" sqref="A79" start="0" length="0">
    <dxf>
      <font>
        <sz val="14"/>
        <color indexed="8"/>
        <name val="Times New Roman"/>
        <scheme val="none"/>
      </font>
      <alignment vertical="top" readingOrder="0"/>
    </dxf>
  </rfmt>
  <rfmt sheetId="12" s="1" sqref="B79" start="0" length="0">
    <dxf>
      <font>
        <sz val="12"/>
        <color auto="1"/>
        <name val="Arial Cyr"/>
        <scheme val="none"/>
      </font>
      <alignment horizontal="left" vertical="center" wrapText="1" readingOrder="0"/>
      <border outline="0">
        <top style="thin">
          <color indexed="64"/>
        </top>
        <bottom style="thin">
          <color indexed="64"/>
        </bottom>
      </border>
    </dxf>
  </rfmt>
  <rfmt sheetId="12" sqref="C79" start="0" length="0">
    <dxf>
      <border outline="0">
        <left style="medium">
          <color indexed="64"/>
        </left>
        <bottom style="thin">
          <color indexed="64"/>
        </bottom>
      </border>
    </dxf>
  </rfmt>
  <rfmt sheetId="12" sqref="D79" start="0" length="0">
    <dxf>
      <font>
        <sz val="12"/>
      </font>
      <border outline="0">
        <right style="medium">
          <color indexed="64"/>
        </right>
        <bottom style="thin">
          <color indexed="64"/>
        </bottom>
      </border>
    </dxf>
  </rfmt>
  <rcc rId="2660" sId="12">
    <oc r="E79">
      <f>D79*C79</f>
    </oc>
    <nc r="E79">
      <f>D79*C79</f>
    </nc>
  </rcc>
  <rfmt sheetId="12" sqref="G79" start="0" length="0">
    <dxf>
      <border outline="0">
        <bottom style="thin">
          <color indexed="64"/>
        </bottom>
      </border>
    </dxf>
  </rfmt>
  <rfmt sheetId="12" sqref="H79" start="0" length="0">
    <dxf>
      <border outline="0">
        <bottom style="thin">
          <color indexed="64"/>
        </bottom>
      </border>
    </dxf>
  </rfmt>
  <rfmt sheetId="12" sqref="I79" start="0" length="0">
    <dxf>
      <border outline="0">
        <bottom style="thin">
          <color indexed="64"/>
        </bottom>
      </border>
    </dxf>
  </rfmt>
  <rfmt sheetId="12" sqref="J79" start="0" length="0">
    <dxf>
      <border outline="0">
        <bottom style="thin">
          <color indexed="64"/>
        </bottom>
      </border>
    </dxf>
  </rfmt>
  <rcc rId="2661" sId="12">
    <oc r="K79">
      <f>G79+H79+I79+J79</f>
    </oc>
    <nc r="K79">
      <f>G79+H79+I79+J79</f>
    </nc>
  </rcc>
  <rcc rId="2662" sId="12">
    <oc r="L79">
      <f>D79*K79</f>
    </oc>
    <nc r="L79">
      <f>D79*K79</f>
    </nc>
  </rcc>
  <rcc rId="2663" sId="12">
    <oc r="M79">
      <f>F79-K79</f>
    </oc>
    <nc r="M79">
      <f>F79-K79</f>
    </nc>
  </rcc>
  <rcc rId="2664" sId="12">
    <oc r="N79">
      <f>K79/C79</f>
    </oc>
    <nc r="N79">
      <f>K79/C79</f>
    </nc>
  </rcc>
  <rcc rId="2665" sId="12">
    <oc r="S79">
      <f>G79*D79</f>
    </oc>
    <nc r="S79">
      <f>G79*D79</f>
    </nc>
  </rcc>
  <rcc rId="2666" sId="12">
    <oc r="T79">
      <f>H79*D79</f>
    </oc>
    <nc r="T79">
      <f>H79*D79</f>
    </nc>
  </rcc>
  <rcc rId="2667" sId="12">
    <oc r="U79">
      <f>I79*D79</f>
    </oc>
    <nc r="U79">
      <f>I79*D79</f>
    </nc>
  </rcc>
  <rcc rId="2668" sId="12">
    <oc r="V79">
      <f>J79*D79</f>
    </oc>
    <nc r="V79">
      <f>J79*D79</f>
    </nc>
  </rcc>
  <rfmt sheetId="12" s="1" sqref="B80" start="0" length="0">
    <dxf>
      <font>
        <sz val="12"/>
        <color auto="1"/>
        <name val="Arial Cyr"/>
        <scheme val="none"/>
      </font>
      <alignment horizontal="left" vertical="center" readingOrder="0"/>
      <protection locked="0"/>
    </dxf>
  </rfmt>
  <rfmt sheetId="12" sqref="C80" start="0" length="0">
    <dxf>
      <border outline="0">
        <left style="medium">
          <color indexed="64"/>
        </left>
        <bottom style="thin">
          <color indexed="64"/>
        </bottom>
      </border>
    </dxf>
  </rfmt>
  <rfmt sheetId="12" sqref="D80" start="0" length="0">
    <dxf>
      <font>
        <sz val="12"/>
        <color indexed="8"/>
        <name val="Arial"/>
        <scheme val="none"/>
      </font>
      <border outline="0">
        <right style="medium">
          <color indexed="64"/>
        </right>
        <bottom style="thin">
          <color indexed="64"/>
        </bottom>
      </border>
    </dxf>
  </rfmt>
  <rcc rId="2669" sId="12">
    <oc r="E80">
      <f>D80*C80</f>
    </oc>
    <nc r="E80">
      <f>D80*C80</f>
    </nc>
  </rcc>
  <rfmt sheetId="12" sqref="F80" start="0" length="0">
    <dxf>
      <font>
        <sz val="12"/>
        <color rgb="FFFF0000"/>
      </font>
    </dxf>
  </rfmt>
  <rfmt sheetId="12" sqref="G80" start="0" length="0">
    <dxf>
      <border outline="0">
        <bottom style="thin">
          <color indexed="64"/>
        </bottom>
      </border>
    </dxf>
  </rfmt>
  <rfmt sheetId="12" sqref="H80" start="0" length="0">
    <dxf>
      <border outline="0">
        <bottom style="thin">
          <color indexed="64"/>
        </bottom>
      </border>
    </dxf>
  </rfmt>
  <rfmt sheetId="12" sqref="I80" start="0" length="0">
    <dxf>
      <border outline="0">
        <bottom style="thin">
          <color indexed="64"/>
        </bottom>
      </border>
    </dxf>
  </rfmt>
  <rfmt sheetId="12" sqref="J80" start="0" length="0">
    <dxf>
      <border outline="0">
        <bottom style="thin">
          <color indexed="64"/>
        </bottom>
      </border>
    </dxf>
  </rfmt>
  <rcc rId="2670" sId="12">
    <oc r="K80">
      <f>G80+H80+I80+J80</f>
    </oc>
    <nc r="K80">
      <f>G80+H80+I80+J80</f>
    </nc>
  </rcc>
  <rcc rId="2671" sId="12">
    <oc r="L80">
      <f>D80*K80</f>
    </oc>
    <nc r="L80">
      <f>D80*K80</f>
    </nc>
  </rcc>
  <rcc rId="2672" sId="12">
    <oc r="M80">
      <f>F80-K80</f>
    </oc>
    <nc r="M80">
      <f>F80-K80</f>
    </nc>
  </rcc>
  <rcc rId="2673" sId="12">
    <oc r="N80">
      <f>K80/C80</f>
    </oc>
    <nc r="N80">
      <f>K80/C80</f>
    </nc>
  </rcc>
  <rcc rId="2674" sId="12">
    <oc r="S80">
      <f>G80*D80</f>
    </oc>
    <nc r="S80">
      <f>G80*D80</f>
    </nc>
  </rcc>
  <rcc rId="2675" sId="12">
    <oc r="T80">
      <f>H80*D80</f>
    </oc>
    <nc r="T80">
      <f>H80*D80</f>
    </nc>
  </rcc>
  <rcc rId="2676" sId="12">
    <oc r="U80">
      <f>I80*D80</f>
    </oc>
    <nc r="U80">
      <f>I80*D80</f>
    </nc>
  </rcc>
  <rcc rId="2677" sId="12">
    <oc r="V80">
      <f>J80*D80</f>
    </oc>
    <nc r="V80">
      <f>J80*D80</f>
    </nc>
  </rcc>
  <rfmt sheetId="12" sqref="A81" start="0" length="0">
    <dxf>
      <font>
        <sz val="14"/>
        <color indexed="8"/>
        <name val="Times New Roman"/>
        <scheme val="none"/>
      </font>
      <alignment vertical="top" readingOrder="0"/>
    </dxf>
  </rfmt>
  <rfmt sheetId="12" s="1" sqref="B81" start="0" length="0">
    <dxf>
      <font>
        <sz val="12"/>
        <color auto="1"/>
        <name val="Arial Cyr"/>
        <scheme val="none"/>
      </font>
    </dxf>
  </rfmt>
  <rfmt sheetId="12" sqref="C81" start="0" length="0">
    <dxf>
      <font>
        <sz val="12"/>
        <color rgb="FFFF0000"/>
      </font>
      <border outline="0">
        <left style="medium">
          <color indexed="64"/>
        </left>
        <bottom style="thin">
          <color indexed="64"/>
        </bottom>
      </border>
    </dxf>
  </rfmt>
  <rfmt sheetId="12" s="1" sqref="D81" start="0" length="0">
    <dxf>
      <font>
        <sz val="12"/>
        <color auto="1"/>
        <name val="Arial Cyr"/>
        <scheme val="none"/>
      </font>
      <border outline="0">
        <right style="medium">
          <color indexed="64"/>
        </right>
        <bottom style="thin">
          <color indexed="64"/>
        </bottom>
      </border>
    </dxf>
  </rfmt>
  <rcc rId="2678" sId="12">
    <oc r="E81">
      <f>D81*C81</f>
    </oc>
    <nc r="E81">
      <f>D81*C81</f>
    </nc>
  </rcc>
  <rfmt sheetId="12" sqref="F81" start="0" length="0">
    <dxf>
      <font>
        <sz val="12"/>
        <color rgb="FFFF0000"/>
      </font>
    </dxf>
  </rfmt>
  <rfmt sheetId="12" sqref="G81" start="0" length="0">
    <dxf>
      <border outline="0">
        <bottom style="thin">
          <color indexed="64"/>
        </bottom>
      </border>
    </dxf>
  </rfmt>
  <rfmt sheetId="12" sqref="H81" start="0" length="0">
    <dxf>
      <border outline="0">
        <bottom style="thin">
          <color indexed="64"/>
        </bottom>
      </border>
    </dxf>
  </rfmt>
  <rfmt sheetId="12" sqref="I81" start="0" length="0">
    <dxf>
      <border outline="0">
        <bottom style="thin">
          <color indexed="64"/>
        </bottom>
      </border>
    </dxf>
  </rfmt>
  <rfmt sheetId="12" sqref="J81" start="0" length="0">
    <dxf>
      <border outline="0">
        <bottom style="thin">
          <color indexed="64"/>
        </bottom>
      </border>
    </dxf>
  </rfmt>
  <rcc rId="2679" sId="12">
    <oc r="K81">
      <f>G81+H81+I81+J81</f>
    </oc>
    <nc r="K81">
      <f>G81+H81+I81+J81</f>
    </nc>
  </rcc>
  <rcc rId="2680" sId="12">
    <oc r="L81">
      <f>D81*K81</f>
    </oc>
    <nc r="L81">
      <f>D81*K81</f>
    </nc>
  </rcc>
  <rcc rId="2681" sId="12">
    <oc r="M81">
      <f>F81-K81</f>
    </oc>
    <nc r="M81">
      <f>F81-K81</f>
    </nc>
  </rcc>
  <rcc rId="2682" sId="12">
    <oc r="N81">
      <f>K81/C81</f>
    </oc>
    <nc r="N81">
      <f>K81/C81</f>
    </nc>
  </rcc>
  <rcc rId="2683" sId="12">
    <oc r="S81">
      <f>G81*D81</f>
    </oc>
    <nc r="S81">
      <f>G81*D81</f>
    </nc>
  </rcc>
  <rcc rId="2684" sId="12">
    <oc r="T81">
      <f>H81*D81</f>
    </oc>
    <nc r="T81">
      <f>H81*D81</f>
    </nc>
  </rcc>
  <rcc rId="2685" sId="12">
    <oc r="U81">
      <f>I81*D81</f>
    </oc>
    <nc r="U81">
      <f>I81*D81</f>
    </nc>
  </rcc>
  <rcc rId="2686" sId="12">
    <oc r="V81">
      <f>J81*D81</f>
    </oc>
    <nc r="V81">
      <f>J81*D81</f>
    </nc>
  </rcc>
  <rfmt sheetId="12" sqref="A82" start="0" length="0">
    <dxf>
      <font>
        <sz val="14"/>
        <color indexed="8"/>
        <name val="Times New Roman"/>
        <scheme val="none"/>
      </font>
      <alignment vertical="top" readingOrder="0"/>
    </dxf>
  </rfmt>
  <rfmt sheetId="12" s="1" sqref="B82" start="0" length="0">
    <dxf>
      <font>
        <sz val="12"/>
        <color auto="1"/>
        <name val="Arial Cyr"/>
        <scheme val="none"/>
      </font>
    </dxf>
  </rfmt>
  <rfmt sheetId="12" sqref="C82" start="0" length="0">
    <dxf>
      <font>
        <sz val="12"/>
        <color rgb="FFFF0000"/>
      </font>
      <border outline="0">
        <left style="medium">
          <color indexed="64"/>
        </left>
        <bottom style="thin">
          <color indexed="64"/>
        </bottom>
      </border>
    </dxf>
  </rfmt>
  <rfmt sheetId="12" sqref="D82" start="0" length="0">
    <dxf>
      <font>
        <sz val="12"/>
      </font>
      <border outline="0">
        <right style="medium">
          <color indexed="64"/>
        </right>
        <bottom style="thin">
          <color indexed="64"/>
        </bottom>
      </border>
    </dxf>
  </rfmt>
  <rcc rId="2687" sId="12">
    <oc r="E82">
      <f>D82*C82</f>
    </oc>
    <nc r="E82">
      <f>D82*C82</f>
    </nc>
  </rcc>
  <rfmt sheetId="12" sqref="F82" start="0" length="0">
    <dxf>
      <font>
        <sz val="12"/>
        <color rgb="FFFF0000"/>
      </font>
    </dxf>
  </rfmt>
  <rfmt sheetId="12" sqref="G82" start="0" length="0">
    <dxf>
      <border outline="0">
        <bottom style="thin">
          <color indexed="64"/>
        </bottom>
      </border>
    </dxf>
  </rfmt>
  <rfmt sheetId="12" sqref="H82" start="0" length="0">
    <dxf>
      <border outline="0">
        <bottom style="thin">
          <color indexed="64"/>
        </bottom>
      </border>
    </dxf>
  </rfmt>
  <rfmt sheetId="12" sqref="I82" start="0" length="0">
    <dxf>
      <border outline="0">
        <bottom style="thin">
          <color indexed="64"/>
        </bottom>
      </border>
    </dxf>
  </rfmt>
  <rfmt sheetId="12" sqref="J82" start="0" length="0">
    <dxf>
      <border outline="0">
        <bottom style="thin">
          <color indexed="64"/>
        </bottom>
      </border>
    </dxf>
  </rfmt>
  <rcc rId="2688" sId="12">
    <oc r="K82">
      <f>G82+H82+I82+J82</f>
    </oc>
    <nc r="K82">
      <f>G82+H82+I82+J82</f>
    </nc>
  </rcc>
  <rcc rId="2689" sId="12">
    <oc r="L82">
      <f>D82*K82</f>
    </oc>
    <nc r="L82">
      <f>D82*K82</f>
    </nc>
  </rcc>
  <rcc rId="2690" sId="12">
    <oc r="M82">
      <f>F82-K82</f>
    </oc>
    <nc r="M82">
      <f>F82-K82</f>
    </nc>
  </rcc>
  <rcc rId="2691" sId="12">
    <oc r="N82">
      <f>K82/C82</f>
    </oc>
    <nc r="N82">
      <f>K82/C82</f>
    </nc>
  </rcc>
  <rcc rId="2692" sId="12">
    <oc r="S82">
      <f>G82*D82</f>
    </oc>
    <nc r="S82">
      <f>G82*D82</f>
    </nc>
  </rcc>
  <rcc rId="2693" sId="12">
    <oc r="T82">
      <f>H82*D82</f>
    </oc>
    <nc r="T82">
      <f>H82*D82</f>
    </nc>
  </rcc>
  <rcc rId="2694" sId="12">
    <oc r="U82">
      <f>I82*D82</f>
    </oc>
    <nc r="U82">
      <f>I82*D82</f>
    </nc>
  </rcc>
  <rcc rId="2695" sId="12">
    <oc r="V82">
      <f>J82*D82</f>
    </oc>
    <nc r="V82">
      <f>J82*D82</f>
    </nc>
  </rcc>
  <rfmt sheetId="12" sqref="A83" start="0" length="0">
    <dxf>
      <font>
        <sz val="14"/>
        <color indexed="8"/>
        <name val="Times New Roman"/>
        <scheme val="none"/>
      </font>
      <alignment vertical="top" readingOrder="0"/>
    </dxf>
  </rfmt>
  <rfmt sheetId="12" s="1" sqref="B83" start="0" length="0">
    <dxf>
      <font>
        <sz val="12"/>
        <color auto="1"/>
        <name val="Arial Cyr"/>
        <scheme val="none"/>
      </font>
    </dxf>
  </rfmt>
  <rfmt sheetId="12" sqref="C83" start="0" length="0">
    <dxf>
      <font>
        <sz val="12"/>
        <color rgb="FFFF0000"/>
      </font>
      <border outline="0">
        <left style="medium">
          <color indexed="64"/>
        </left>
        <bottom style="thin">
          <color indexed="64"/>
        </bottom>
      </border>
    </dxf>
  </rfmt>
  <rfmt sheetId="12" s="1" sqref="D83" start="0" length="0">
    <dxf>
      <font>
        <sz val="12"/>
        <color auto="1"/>
        <name val="Arial Cyr"/>
        <scheme val="none"/>
      </font>
      <border outline="0">
        <right style="medium">
          <color indexed="64"/>
        </right>
        <bottom style="thin">
          <color indexed="64"/>
        </bottom>
      </border>
    </dxf>
  </rfmt>
  <rcc rId="2696" sId="12">
    <oc r="E83">
      <f>D83*C83</f>
    </oc>
    <nc r="E83">
      <f>D83*C83</f>
    </nc>
  </rcc>
  <rfmt sheetId="12" sqref="F83" start="0" length="0">
    <dxf>
      <font>
        <sz val="12"/>
        <color rgb="FFFF0000"/>
      </font>
    </dxf>
  </rfmt>
  <rfmt sheetId="12" sqref="G83" start="0" length="0">
    <dxf>
      <border outline="0">
        <bottom style="thin">
          <color indexed="64"/>
        </bottom>
      </border>
    </dxf>
  </rfmt>
  <rfmt sheetId="12" sqref="H83" start="0" length="0">
    <dxf>
      <border outline="0">
        <bottom style="thin">
          <color indexed="64"/>
        </bottom>
      </border>
    </dxf>
  </rfmt>
  <rfmt sheetId="12" sqref="I83" start="0" length="0">
    <dxf>
      <border outline="0">
        <bottom style="thin">
          <color indexed="64"/>
        </bottom>
      </border>
    </dxf>
  </rfmt>
  <rfmt sheetId="12" sqref="J83" start="0" length="0">
    <dxf>
      <border outline="0">
        <bottom style="thin">
          <color indexed="64"/>
        </bottom>
      </border>
    </dxf>
  </rfmt>
  <rcc rId="2697" sId="12">
    <oc r="K83">
      <f>G83+H83+I83+J83</f>
    </oc>
    <nc r="K83">
      <f>G83+H83+I83+J83</f>
    </nc>
  </rcc>
  <rcc rId="2698" sId="12">
    <oc r="L83">
      <f>D83*K83</f>
    </oc>
    <nc r="L83">
      <f>D83*K83</f>
    </nc>
  </rcc>
  <rcc rId="2699" sId="12">
    <oc r="M83">
      <f>F83-K83</f>
    </oc>
    <nc r="M83">
      <f>F83-K83</f>
    </nc>
  </rcc>
  <rcc rId="2700" sId="12">
    <oc r="N83">
      <f>K83/C83</f>
    </oc>
    <nc r="N83">
      <f>K83/C83</f>
    </nc>
  </rcc>
  <rcc rId="2701" sId="12">
    <oc r="S83">
      <f>G83*D83</f>
    </oc>
    <nc r="S83">
      <f>G83*D83</f>
    </nc>
  </rcc>
  <rcc rId="2702" sId="12">
    <oc r="T83">
      <f>H83*D83</f>
    </oc>
    <nc r="T83">
      <f>H83*D83</f>
    </nc>
  </rcc>
  <rcc rId="2703" sId="12">
    <oc r="U83">
      <f>I83*D83</f>
    </oc>
    <nc r="U83">
      <f>I83*D83</f>
    </nc>
  </rcc>
  <rcc rId="2704" sId="12">
    <oc r="V83">
      <f>J83*D83</f>
    </oc>
    <nc r="V83">
      <f>J83*D83</f>
    </nc>
  </rcc>
  <rfmt sheetId="12" sqref="A84" start="0" length="0">
    <dxf>
      <font>
        <sz val="14"/>
        <color indexed="8"/>
        <name val="Times New Roman"/>
        <scheme val="none"/>
      </font>
      <alignment vertical="top" readingOrder="0"/>
    </dxf>
  </rfmt>
  <rfmt sheetId="12" s="1" sqref="B84" start="0" length="0">
    <dxf>
      <font>
        <sz val="12"/>
        <color auto="1"/>
        <name val="Arial Cyr"/>
        <scheme val="none"/>
      </font>
    </dxf>
  </rfmt>
  <rfmt sheetId="12" sqref="C84" start="0" length="0">
    <dxf>
      <font>
        <sz val="12"/>
        <color rgb="FFFF0000"/>
      </font>
      <border outline="0">
        <left style="medium">
          <color indexed="64"/>
        </left>
        <bottom style="thin">
          <color indexed="64"/>
        </bottom>
      </border>
    </dxf>
  </rfmt>
  <rfmt sheetId="12" s="1" sqref="D84" start="0" length="0">
    <dxf>
      <font>
        <sz val="12"/>
        <color auto="1"/>
        <name val="Arial Cyr"/>
        <scheme val="none"/>
      </font>
      <border outline="0">
        <right style="medium">
          <color indexed="64"/>
        </right>
        <bottom style="thin">
          <color indexed="64"/>
        </bottom>
      </border>
    </dxf>
  </rfmt>
  <rcc rId="2705" sId="12">
    <oc r="E84">
      <f>D84*C84</f>
    </oc>
    <nc r="E84">
      <f>D84*C84</f>
    </nc>
  </rcc>
  <rfmt sheetId="12" sqref="F84" start="0" length="0">
    <dxf>
      <font>
        <sz val="12"/>
        <color rgb="FFFF0000"/>
      </font>
    </dxf>
  </rfmt>
  <rfmt sheetId="12" sqref="G84" start="0" length="0">
    <dxf>
      <border outline="0">
        <bottom style="thin">
          <color indexed="64"/>
        </bottom>
      </border>
    </dxf>
  </rfmt>
  <rfmt sheetId="12" sqref="H84" start="0" length="0">
    <dxf>
      <border outline="0">
        <bottom style="thin">
          <color indexed="64"/>
        </bottom>
      </border>
    </dxf>
  </rfmt>
  <rfmt sheetId="12" sqref="I84" start="0" length="0">
    <dxf>
      <border outline="0">
        <bottom style="thin">
          <color indexed="64"/>
        </bottom>
      </border>
    </dxf>
  </rfmt>
  <rfmt sheetId="12" sqref="J84" start="0" length="0">
    <dxf>
      <border outline="0">
        <bottom style="thin">
          <color indexed="64"/>
        </bottom>
      </border>
    </dxf>
  </rfmt>
  <rcc rId="2706" sId="12">
    <oc r="K84">
      <f>G84+H84+I84+J84</f>
    </oc>
    <nc r="K84">
      <f>G84+H84+I84+J84</f>
    </nc>
  </rcc>
  <rcc rId="2707" sId="12">
    <oc r="L84">
      <f>D84*K84</f>
    </oc>
    <nc r="L84">
      <f>D84*K84</f>
    </nc>
  </rcc>
  <rcc rId="2708" sId="12">
    <oc r="M84">
      <f>F84-K84</f>
    </oc>
    <nc r="M84">
      <f>F84-K84</f>
    </nc>
  </rcc>
  <rcc rId="2709" sId="12">
    <oc r="N84">
      <f>K84/C84</f>
    </oc>
    <nc r="N84">
      <f>K84/C84</f>
    </nc>
  </rcc>
  <rcc rId="2710" sId="12">
    <oc r="S84">
      <f>G84*D84</f>
    </oc>
    <nc r="S84">
      <f>G84*D84</f>
    </nc>
  </rcc>
  <rcc rId="2711" sId="12">
    <oc r="T84">
      <f>H84*D84</f>
    </oc>
    <nc r="T84">
      <f>H84*D84</f>
    </nc>
  </rcc>
  <rcc rId="2712" sId="12">
    <oc r="U84">
      <f>I84*D84</f>
    </oc>
    <nc r="U84">
      <f>I84*D84</f>
    </nc>
  </rcc>
  <rcc rId="2713" sId="12">
    <oc r="V84">
      <f>J84*D84</f>
    </oc>
    <nc r="V84">
      <f>J84*D84</f>
    </nc>
  </rcc>
  <rfmt sheetId="12" sqref="A89" start="0" length="0">
    <dxf>
      <font>
        <sz val="14"/>
        <color indexed="8"/>
        <name val="Times New Roman"/>
        <scheme val="none"/>
      </font>
      <alignment vertical="top" readingOrder="0"/>
    </dxf>
  </rfmt>
  <rfmt sheetId="12" s="1" sqref="B89" start="0" length="0">
    <dxf>
      <font>
        <sz val="12"/>
        <color auto="1"/>
        <name val="Arial Cyr"/>
        <scheme val="none"/>
      </font>
    </dxf>
  </rfmt>
  <rfmt sheetId="12" sqref="C89" start="0" length="0">
    <dxf>
      <font>
        <sz val="12"/>
        <color rgb="FFFF0000"/>
      </font>
      <border outline="0">
        <left style="medium">
          <color indexed="64"/>
        </left>
        <bottom style="thin">
          <color indexed="64"/>
        </bottom>
      </border>
    </dxf>
  </rfmt>
  <rfmt sheetId="12" s="1" sqref="D89" start="0" length="0">
    <dxf>
      <font>
        <sz val="12"/>
        <color auto="1"/>
        <name val="Arial Cyr"/>
        <scheme val="none"/>
      </font>
      <border outline="0">
        <right style="medium">
          <color indexed="64"/>
        </right>
        <bottom style="thin">
          <color indexed="64"/>
        </bottom>
      </border>
    </dxf>
  </rfmt>
  <rcc rId="2714" sId="12">
    <oc r="E89">
      <f>D89*C89</f>
    </oc>
    <nc r="E89">
      <f>D89*C89</f>
    </nc>
  </rcc>
  <rfmt sheetId="12" sqref="F89" start="0" length="0">
    <dxf>
      <font>
        <sz val="12"/>
        <color rgb="FFFF0000"/>
      </font>
    </dxf>
  </rfmt>
  <rfmt sheetId="12" sqref="G89" start="0" length="0">
    <dxf>
      <border outline="0">
        <bottom style="thin">
          <color indexed="64"/>
        </bottom>
      </border>
    </dxf>
  </rfmt>
  <rfmt sheetId="12" sqref="H89" start="0" length="0">
    <dxf>
      <border outline="0">
        <bottom style="thin">
          <color indexed="64"/>
        </bottom>
      </border>
    </dxf>
  </rfmt>
  <rfmt sheetId="12" sqref="I89" start="0" length="0">
    <dxf>
      <border outline="0">
        <bottom style="thin">
          <color indexed="64"/>
        </bottom>
      </border>
    </dxf>
  </rfmt>
  <rfmt sheetId="12" sqref="J89" start="0" length="0">
    <dxf>
      <border outline="0">
        <bottom style="thin">
          <color indexed="64"/>
        </bottom>
      </border>
    </dxf>
  </rfmt>
  <rcc rId="2715" sId="12">
    <oc r="K89">
      <f>G89+H89+I89+J89</f>
    </oc>
    <nc r="K89">
      <f>G89+H89+I89+J89</f>
    </nc>
  </rcc>
  <rcc rId="2716" sId="12">
    <oc r="L89">
      <f>D89*K89</f>
    </oc>
    <nc r="L89">
      <f>D89*K89</f>
    </nc>
  </rcc>
  <rcc rId="2717" sId="12">
    <oc r="M89">
      <f>F89-K89</f>
    </oc>
    <nc r="M89">
      <f>F89-K89</f>
    </nc>
  </rcc>
  <rcc rId="2718" sId="12">
    <oc r="N89">
      <f>K89/C89</f>
    </oc>
    <nc r="N89">
      <f>K89/C89</f>
    </nc>
  </rcc>
  <rcc rId="2719" sId="12">
    <oc r="S89">
      <f>G89*D89</f>
    </oc>
    <nc r="S89">
      <f>G89*D89</f>
    </nc>
  </rcc>
  <rcc rId="2720" sId="12">
    <oc r="T89">
      <f>H89*D89</f>
    </oc>
    <nc r="T89">
      <f>H89*D89</f>
    </nc>
  </rcc>
  <rcc rId="2721" sId="12">
    <oc r="U89">
      <f>I89*D89</f>
    </oc>
    <nc r="U89">
      <f>I89*D89</f>
    </nc>
  </rcc>
  <rcc rId="2722" sId="12">
    <oc r="V89">
      <f>J89*D89</f>
    </oc>
    <nc r="V89">
      <f>J89*D89</f>
    </nc>
  </rcc>
  <rfmt sheetId="12" sqref="A90" start="0" length="0">
    <dxf>
      <font>
        <sz val="14"/>
        <color indexed="8"/>
        <name val="Times New Roman"/>
        <scheme val="none"/>
      </font>
      <alignment vertical="top" readingOrder="0"/>
    </dxf>
  </rfmt>
  <rfmt sheetId="12" s="1" sqref="B90" start="0" length="0">
    <dxf>
      <font>
        <sz val="12"/>
        <color auto="1"/>
        <name val="Arial Cyr"/>
        <scheme val="none"/>
      </font>
    </dxf>
  </rfmt>
  <rfmt sheetId="12" sqref="C90" start="0" length="0">
    <dxf>
      <font>
        <sz val="12"/>
        <color rgb="FFFF0000"/>
      </font>
      <border outline="0">
        <left style="medium">
          <color indexed="64"/>
        </left>
        <bottom style="thin">
          <color indexed="64"/>
        </bottom>
      </border>
    </dxf>
  </rfmt>
  <rfmt sheetId="12" s="1" sqref="D90" start="0" length="0">
    <dxf>
      <font>
        <sz val="12"/>
        <color auto="1"/>
        <name val="Arial Cyr"/>
        <scheme val="none"/>
      </font>
      <border outline="0">
        <right style="medium">
          <color indexed="64"/>
        </right>
        <bottom style="thin">
          <color indexed="64"/>
        </bottom>
      </border>
    </dxf>
  </rfmt>
  <rcc rId="2723" sId="12">
    <oc r="E90">
      <f>D90*C90</f>
    </oc>
    <nc r="E90">
      <f>D90*C90</f>
    </nc>
  </rcc>
  <rfmt sheetId="12" sqref="F90" start="0" length="0">
    <dxf>
      <font>
        <sz val="12"/>
        <color rgb="FFFF0000"/>
      </font>
    </dxf>
  </rfmt>
  <rfmt sheetId="12" sqref="G90" start="0" length="0">
    <dxf>
      <border outline="0">
        <bottom style="thin">
          <color indexed="64"/>
        </bottom>
      </border>
    </dxf>
  </rfmt>
  <rfmt sheetId="12" sqref="H90" start="0" length="0">
    <dxf>
      <border outline="0">
        <bottom style="thin">
          <color indexed="64"/>
        </bottom>
      </border>
    </dxf>
  </rfmt>
  <rfmt sheetId="12" sqref="I90" start="0" length="0">
    <dxf>
      <border outline="0">
        <bottom style="thin">
          <color indexed="64"/>
        </bottom>
      </border>
    </dxf>
  </rfmt>
  <rfmt sheetId="12" sqref="J90" start="0" length="0">
    <dxf>
      <border outline="0">
        <bottom style="thin">
          <color indexed="64"/>
        </bottom>
      </border>
    </dxf>
  </rfmt>
  <rcc rId="2724" sId="12">
    <oc r="K90">
      <f>G90+H90+I90+J90</f>
    </oc>
    <nc r="K90">
      <f>G90+H90+I90+J90</f>
    </nc>
  </rcc>
  <rcc rId="2725" sId="12">
    <oc r="L90">
      <f>D90*K90</f>
    </oc>
    <nc r="L90">
      <f>D90*K90</f>
    </nc>
  </rcc>
  <rcc rId="2726" sId="12">
    <oc r="M90">
      <f>F90-K90</f>
    </oc>
    <nc r="M90">
      <f>F90-K90</f>
    </nc>
  </rcc>
  <rcc rId="2727" sId="12">
    <oc r="N90">
      <f>K90/C90</f>
    </oc>
    <nc r="N90">
      <f>K90/C90</f>
    </nc>
  </rcc>
  <rcc rId="2728" sId="12">
    <oc r="S90">
      <f>G90*D90</f>
    </oc>
    <nc r="S90">
      <f>G90*D90</f>
    </nc>
  </rcc>
  <rcc rId="2729" sId="12">
    <oc r="T90">
      <f>H90*D90</f>
    </oc>
    <nc r="T90">
      <f>H90*D90</f>
    </nc>
  </rcc>
  <rcc rId="2730" sId="12">
    <oc r="U90">
      <f>I90*D90</f>
    </oc>
    <nc r="U90">
      <f>I90*D90</f>
    </nc>
  </rcc>
  <rcc rId="2731" sId="12">
    <oc r="V90">
      <f>J90*D90</f>
    </oc>
    <nc r="V90">
      <f>J90*D90</f>
    </nc>
  </rcc>
  <rfmt sheetId="12" sqref="A91" start="0" length="0">
    <dxf>
      <font>
        <sz val="14"/>
        <color indexed="8"/>
        <name val="Times New Roman"/>
        <scheme val="none"/>
      </font>
      <alignment vertical="top" readingOrder="0"/>
    </dxf>
  </rfmt>
  <rfmt sheetId="12" s="1" sqref="B91" start="0" length="0">
    <dxf>
      <font>
        <sz val="12"/>
        <color auto="1"/>
        <name val="Arial Cyr"/>
        <scheme val="none"/>
      </font>
    </dxf>
  </rfmt>
  <rfmt sheetId="12" sqref="C91" start="0" length="0">
    <dxf>
      <font>
        <sz val="12"/>
        <color rgb="FFFF0000"/>
      </font>
      <border outline="0">
        <left style="medium">
          <color indexed="64"/>
        </left>
        <bottom style="thin">
          <color indexed="64"/>
        </bottom>
      </border>
    </dxf>
  </rfmt>
  <rfmt sheetId="12" s="1" sqref="D91" start="0" length="0">
    <dxf>
      <font>
        <sz val="12"/>
        <color auto="1"/>
        <name val="Arial Cyr"/>
        <scheme val="none"/>
      </font>
      <border outline="0">
        <right style="medium">
          <color indexed="64"/>
        </right>
        <bottom style="thin">
          <color indexed="64"/>
        </bottom>
      </border>
    </dxf>
  </rfmt>
  <rcc rId="2732" sId="12">
    <oc r="E91">
      <f>D91*C91</f>
    </oc>
    <nc r="E91">
      <f>D91*C91</f>
    </nc>
  </rcc>
  <rfmt sheetId="12" sqref="F91" start="0" length="0">
    <dxf>
      <font>
        <sz val="12"/>
        <color rgb="FFFF0000"/>
      </font>
    </dxf>
  </rfmt>
  <rfmt sheetId="12" sqref="G91" start="0" length="0">
    <dxf>
      <border outline="0">
        <bottom style="thin">
          <color indexed="64"/>
        </bottom>
      </border>
    </dxf>
  </rfmt>
  <rfmt sheetId="12" sqref="H91" start="0" length="0">
    <dxf>
      <border outline="0">
        <bottom style="thin">
          <color indexed="64"/>
        </bottom>
      </border>
    </dxf>
  </rfmt>
  <rfmt sheetId="12" sqref="I91" start="0" length="0">
    <dxf>
      <border outline="0">
        <bottom style="thin">
          <color indexed="64"/>
        </bottom>
      </border>
    </dxf>
  </rfmt>
  <rfmt sheetId="12" sqref="J91" start="0" length="0">
    <dxf>
      <border outline="0">
        <bottom style="thin">
          <color indexed="64"/>
        </bottom>
      </border>
    </dxf>
  </rfmt>
  <rcc rId="2733" sId="12">
    <oc r="K91">
      <f>G91+H91+I91+J91</f>
    </oc>
    <nc r="K91">
      <f>G91+H91+I91+J91</f>
    </nc>
  </rcc>
  <rcc rId="2734" sId="12">
    <oc r="L91">
      <f>D91*K91</f>
    </oc>
    <nc r="L91">
      <f>D91*K91</f>
    </nc>
  </rcc>
  <rcc rId="2735" sId="12">
    <oc r="M91">
      <f>F91-K91</f>
    </oc>
    <nc r="M91">
      <f>F91-K91</f>
    </nc>
  </rcc>
  <rcc rId="2736" sId="12">
    <oc r="N91">
      <f>K91/C91</f>
    </oc>
    <nc r="N91">
      <f>K91/C91</f>
    </nc>
  </rcc>
  <rcc rId="2737" sId="12">
    <oc r="S91">
      <f>G91*D91</f>
    </oc>
    <nc r="S91">
      <f>G91*D91</f>
    </nc>
  </rcc>
  <rcc rId="2738" sId="12">
    <oc r="T91">
      <f>H91*D91</f>
    </oc>
    <nc r="T91">
      <f>H91*D91</f>
    </nc>
  </rcc>
  <rcc rId="2739" sId="12">
    <oc r="U91">
      <f>I91*D91</f>
    </oc>
    <nc r="U91">
      <f>I91*D91</f>
    </nc>
  </rcc>
  <rcc rId="2740" sId="12">
    <oc r="V91">
      <f>J91*D91</f>
    </oc>
    <nc r="V91">
      <f>J91*D91</f>
    </nc>
  </rcc>
  <rcc rId="2741" sId="12">
    <oc r="E94">
      <f>D94*C94</f>
    </oc>
    <nc r="E94"/>
  </rcc>
  <rcc rId="2742" sId="12">
    <oc r="F94">
      <f>G94+H94+I94+J94</f>
    </oc>
    <nc r="F94"/>
  </rcc>
  <rcc rId="2743" sId="12">
    <oc r="K94">
      <f>D94*F94</f>
    </oc>
    <nc r="K94"/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A52" start="0" length="0">
    <dxf>
      <font>
        <sz val="10"/>
        <color indexed="8"/>
        <name val="Arial"/>
        <scheme val="none"/>
      </font>
      <alignment horizontal="right" vertical="center" readingOrder="0"/>
      <border outline="0">
        <bottom style="thin">
          <color indexed="64"/>
        </bottom>
      </border>
    </dxf>
  </rfmt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102">
    <dxf>
      <fill>
        <patternFill>
          <bgColor rgb="FFFFFF00"/>
        </patternFill>
      </fill>
    </dxf>
  </rfmt>
  <rfmt sheetId="11" sqref="K103">
    <dxf>
      <fill>
        <patternFill>
          <bgColor rgb="FFFFFF00"/>
        </patternFill>
      </fill>
    </dxf>
  </rfmt>
  <rfmt sheetId="11" sqref="K104">
    <dxf>
      <fill>
        <patternFill>
          <bgColor rgb="FFFFFF00"/>
        </patternFill>
      </fill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159">
    <dxf>
      <fill>
        <patternFill>
          <bgColor rgb="FFFFFF00"/>
        </patternFill>
      </fill>
    </dxf>
  </rfmt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J90">
    <dxf>
      <fill>
        <patternFill patternType="solid">
          <bgColor rgb="FFFFFF00"/>
        </patternFill>
      </fill>
    </dxf>
  </rfmt>
  <rfmt sheetId="11" sqref="J107">
    <dxf>
      <fill>
        <patternFill>
          <bgColor rgb="FFFFFF00"/>
        </patternFill>
      </fill>
    </dxf>
  </rfmt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1BD6C0C-B1B9-4F48-A6B1-3BFD273F4CD7}" action="delete"/>
  <rdn rId="0" localSheetId="3" customView="1" name="Z_A1BD6C0C_B1B9_4F48_A6B1_3BFD273F4CD7_.wvu.PrintTitles" hidden="1" oldHidden="1">
    <formula>'январь 2019'!$4:$7</formula>
    <oldFormula>'январь 2019'!$4:$7</oldFormula>
  </rdn>
  <rdn rId="0" localSheetId="4" customView="1" name="Z_A1BD6C0C_B1B9_4F48_A6B1_3BFD273F4CD7_.wvu.PrintArea" hidden="1" oldHidden="1">
    <formula>'февраль 2019 Эпотос-К'!$B$7:$G$96</formula>
    <oldFormula>'февраль 2019 Эпотос-К'!$B$7:$G$96</oldFormula>
  </rdn>
  <rdn rId="0" localSheetId="5" customView="1" name="Z_A1BD6C0C_B1B9_4F48_A6B1_3BFD273F4CD7_.wvu.PrintTitles" hidden="1" oldHidden="1">
    <formula>'февраль 2019'!$4:$7</formula>
    <oldFormula>'февраль 2019'!$4:$7</oldFormula>
  </rdn>
  <rdn rId="0" localSheetId="6" customView="1" name="Z_A1BD6C0C_B1B9_4F48_A6B1_3BFD273F4CD7_.wvu.PrintArea" hidden="1" oldHidden="1">
    <formula>'март 2019 Эпотос-К'!$B$7:$G$93</formula>
    <oldFormula>'март 2019 Эпотос-К'!$B$7:$G$93</oldFormula>
  </rdn>
  <rdn rId="0" localSheetId="7" customView="1" name="Z_A1BD6C0C_B1B9_4F48_A6B1_3BFD273F4CD7_.wvu.PrintTitles" hidden="1" oldHidden="1">
    <formula>'март 2019'!$4:$7</formula>
    <oldFormula>'март 2019'!$4:$7</oldFormula>
  </rdn>
  <rdn rId="0" localSheetId="8" customView="1" name="Z_A1BD6C0C_B1B9_4F48_A6B1_3BFD273F4CD7_.wvu.PrintArea" hidden="1" oldHidden="1">
    <formula>'апрель 2019 Эпотос-К'!$A$7:$B$82</formula>
    <oldFormula>'апрель 2019 Эпотос-К'!$A$7:$B$82</oldFormula>
  </rdn>
  <rdn rId="0" localSheetId="8" customView="1" name="Z_A1BD6C0C_B1B9_4F48_A6B1_3BFD273F4CD7_.wvu.Cols" hidden="1" oldHidden="1">
    <formula>'апрель 2019 Эпотос-К'!$S:$V</formula>
    <oldFormula>'апрель 2019 Эпотос-К'!$S:$V</oldFormula>
  </rdn>
  <rdn rId="0" localSheetId="9" customView="1" name="Z_A1BD6C0C_B1B9_4F48_A6B1_3BFD273F4CD7_.wvu.PrintTitles" hidden="1" oldHidden="1">
    <formula>'апрель 2019'!$4:$7</formula>
    <oldFormula>'апрель 2019'!$4:$7</oldFormula>
  </rdn>
  <rdn rId="0" localSheetId="9" customView="1" name="Z_A1BD6C0C_B1B9_4F48_A6B1_3BFD273F4CD7_.wvu.Cols" hidden="1" oldHidden="1">
    <formula>'апрель 2019'!$S:$V</formula>
    <oldFormula>'апрель 2019'!$S:$V</oldFormula>
  </rdn>
  <rdn rId="0" localSheetId="10" customView="1" name="Z_A1BD6C0C_B1B9_4F48_A6B1_3BFD273F4CD7_.wvu.PrintArea" hidden="1" oldHidden="1">
    <formula>'май 2019 Эпотос-К'!$B$47:$D$56</formula>
    <oldFormula>'май 2019 Эпотос-К'!$B$47:$D$56</oldFormula>
  </rdn>
  <rdn rId="0" localSheetId="10" customView="1" name="Z_A1BD6C0C_B1B9_4F48_A6B1_3BFD273F4CD7_.wvu.Cols" hidden="1" oldHidden="1">
    <formula>'май 2019 Эпотос-К'!$S:$V</formula>
    <oldFormula>'май 2019 Эпотос-К'!$S:$V</oldFormula>
  </rdn>
  <rdn rId="0" localSheetId="11" customView="1" name="Z_A1BD6C0C_B1B9_4F48_A6B1_3BFD273F4CD7_.wvu.PrintTitles" hidden="1" oldHidden="1">
    <formula>'май 2019'!$4:$7</formula>
    <oldFormula>'май 2019'!$4:$7</oldFormula>
  </rdn>
  <rdn rId="0" localSheetId="11" customView="1" name="Z_A1BD6C0C_B1B9_4F48_A6B1_3BFD273F4CD7_.wvu.Cols" hidden="1" oldHidden="1">
    <formula>'май 2019'!$S:$V</formula>
    <oldFormula>'май 2019'!$S:$V</oldFormula>
  </rdn>
  <rdn rId="0" localSheetId="12" customView="1" name="Z_A1BD6C0C_B1B9_4F48_A6B1_3BFD273F4CD7_.wvu.PrintArea" hidden="1" oldHidden="1">
    <formula>'июнь 2019 Эпотос-К'!$B$47:$D$56</formula>
    <oldFormula>'июнь 2019 Эпотос-К'!$B$47:$D$56</oldFormula>
  </rdn>
  <rdn rId="0" localSheetId="13" customView="1" name="Z_A1BD6C0C_B1B9_4F48_A6B1_3BFD273F4CD7_.wvu.PrintTitles" hidden="1" oldHidden="1">
    <formula>'июнь 2019'!$4:$7</formula>
    <oldFormula>'июнь 2019'!$4:$7</oldFormula>
  </rdn>
  <rdn rId="0" localSheetId="13" customView="1" name="Z_A1BD6C0C_B1B9_4F48_A6B1_3BFD273F4CD7_.wvu.Cols" hidden="1" oldHidden="1">
    <formula>'июнь 2019'!$S:$V</formula>
    <oldFormula>'июнь 2019'!$S:$V</oldFormula>
  </rdn>
  <rdn rId="0" localSheetId="17" customView="1" name="Z_A1BD6C0C_B1B9_4F48_A6B1_3BFD273F4CD7_.wvu.PrintArea" hidden="1" oldHidden="1">
    <formula>'обзор 2016'!$B$3:$Q$19</formula>
    <oldFormula>'обзор 2016'!$B$3:$Q$19</oldFormula>
  </rdn>
  <rdn rId="0" localSheetId="17" customView="1" name="Z_A1BD6C0C_B1B9_4F48_A6B1_3BFD273F4CD7_.wvu.Cols" hidden="1" oldHidden="1">
    <formula>'обзор 2016'!$A:$A</formula>
    <oldFormula>'обзор 2016'!$A:$A</oldFormula>
  </rdn>
  <rdn rId="0" localSheetId="18" customView="1" name="Z_A1BD6C0C_B1B9_4F48_A6B1_3BFD273F4CD7_.wvu.PrintArea" hidden="1" oldHidden="1">
    <formula>'объёмы 2019'!$A$3:$U$38</formula>
    <oldFormula>'объёмы 2019'!$A$3:$U$38</oldFormula>
  </rdn>
  <rdn rId="0" localSheetId="18" customView="1" name="Z_A1BD6C0C_B1B9_4F48_A6B1_3BFD273F4CD7_.wvu.PrintTitles" hidden="1" oldHidden="1">
    <formula>'объёмы 2019'!$5:$6</formula>
    <oldFormula>'объёмы 2019'!$5:$6</oldFormula>
  </rdn>
  <rdn rId="0" localSheetId="18" customView="1" name="Z_A1BD6C0C_B1B9_4F48_A6B1_3BFD273F4CD7_.wvu.Cols" hidden="1" oldHidden="1">
    <formula>'объёмы 2019'!$V:$V</formula>
    <oldFormula>'объёмы 2019'!$V:$V</oldFormula>
  </rdn>
  <rcv guid="{A1BD6C0C-B1B9-4F48-A6B1-3BFD273F4CD7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65" sId="13" ref="A62:XFD65" action="insert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undo index="0" exp="area" ref3D="1" dr="$S$1:$V$1048576" dn="Z_06317133_151B_4DBC_8EB3_9345BA061F91_.wvu.Cols" sId="13"/>
  </rrc>
  <rcv guid="{A1BD6C0C-B1B9-4F48-A6B1-3BFD273F4CD7}" action="delete"/>
  <rdn rId="0" localSheetId="3" customView="1" name="Z_A1BD6C0C_B1B9_4F48_A6B1_3BFD273F4CD7_.wvu.PrintTitles" hidden="1" oldHidden="1">
    <formula>'январь 2019'!$4:$7</formula>
    <oldFormula>'январь 2019'!$4:$7</oldFormula>
  </rdn>
  <rdn rId="0" localSheetId="4" customView="1" name="Z_A1BD6C0C_B1B9_4F48_A6B1_3BFD273F4CD7_.wvu.PrintArea" hidden="1" oldHidden="1">
    <formula>'февраль 2019 Эпотос-К'!$B$7:$G$96</formula>
    <oldFormula>'февраль 2019 Эпотос-К'!$B$7:$G$96</oldFormula>
  </rdn>
  <rdn rId="0" localSheetId="5" customView="1" name="Z_A1BD6C0C_B1B9_4F48_A6B1_3BFD273F4CD7_.wvu.PrintTitles" hidden="1" oldHidden="1">
    <formula>'февраль 2019'!$4:$7</formula>
    <oldFormula>'февраль 2019'!$4:$7</oldFormula>
  </rdn>
  <rdn rId="0" localSheetId="6" customView="1" name="Z_A1BD6C0C_B1B9_4F48_A6B1_3BFD273F4CD7_.wvu.PrintArea" hidden="1" oldHidden="1">
    <formula>'март 2019 Эпотос-К'!$B$7:$G$93</formula>
    <oldFormula>'март 2019 Эпотос-К'!$B$7:$G$93</oldFormula>
  </rdn>
  <rdn rId="0" localSheetId="7" customView="1" name="Z_A1BD6C0C_B1B9_4F48_A6B1_3BFD273F4CD7_.wvu.PrintTitles" hidden="1" oldHidden="1">
    <formula>'март 2019'!$4:$7</formula>
    <oldFormula>'март 2019'!$4:$7</oldFormula>
  </rdn>
  <rdn rId="0" localSheetId="8" customView="1" name="Z_A1BD6C0C_B1B9_4F48_A6B1_3BFD273F4CD7_.wvu.PrintArea" hidden="1" oldHidden="1">
    <formula>'апрель 2019 Эпотос-К'!$A$7:$B$82</formula>
    <oldFormula>'апрель 2019 Эпотос-К'!$A$7:$B$82</oldFormula>
  </rdn>
  <rdn rId="0" localSheetId="8" customView="1" name="Z_A1BD6C0C_B1B9_4F48_A6B1_3BFD273F4CD7_.wvu.Cols" hidden="1" oldHidden="1">
    <formula>'апрель 2019 Эпотос-К'!$S:$V</formula>
    <oldFormula>'апрель 2019 Эпотос-К'!$S:$V</oldFormula>
  </rdn>
  <rdn rId="0" localSheetId="9" customView="1" name="Z_A1BD6C0C_B1B9_4F48_A6B1_3BFD273F4CD7_.wvu.PrintTitles" hidden="1" oldHidden="1">
    <formula>'апрель 2019'!$4:$7</formula>
    <oldFormula>'апрель 2019'!$4:$7</oldFormula>
  </rdn>
  <rdn rId="0" localSheetId="9" customView="1" name="Z_A1BD6C0C_B1B9_4F48_A6B1_3BFD273F4CD7_.wvu.Cols" hidden="1" oldHidden="1">
    <formula>'апрель 2019'!$S:$V</formula>
    <oldFormula>'апрель 2019'!$S:$V</oldFormula>
  </rdn>
  <rdn rId="0" localSheetId="10" customView="1" name="Z_A1BD6C0C_B1B9_4F48_A6B1_3BFD273F4CD7_.wvu.PrintArea" hidden="1" oldHidden="1">
    <formula>'май 2019 Эпотос-К'!$B$47:$D$56</formula>
    <oldFormula>'май 2019 Эпотос-К'!$B$47:$D$56</oldFormula>
  </rdn>
  <rdn rId="0" localSheetId="10" customView="1" name="Z_A1BD6C0C_B1B9_4F48_A6B1_3BFD273F4CD7_.wvu.Cols" hidden="1" oldHidden="1">
    <formula>'май 2019 Эпотос-К'!$S:$V</formula>
    <oldFormula>'май 2019 Эпотос-К'!$S:$V</oldFormula>
  </rdn>
  <rdn rId="0" localSheetId="11" customView="1" name="Z_A1BD6C0C_B1B9_4F48_A6B1_3BFD273F4CD7_.wvu.PrintTitles" hidden="1" oldHidden="1">
    <formula>'май 2019'!$4:$7</formula>
    <oldFormula>'май 2019'!$4:$7</oldFormula>
  </rdn>
  <rdn rId="0" localSheetId="11" customView="1" name="Z_A1BD6C0C_B1B9_4F48_A6B1_3BFD273F4CD7_.wvu.Cols" hidden="1" oldHidden="1">
    <formula>'май 2019'!$S:$V</formula>
    <oldFormula>'май 2019'!$S:$V</oldFormula>
  </rdn>
  <rdn rId="0" localSheetId="12" customView="1" name="Z_A1BD6C0C_B1B9_4F48_A6B1_3BFD273F4CD7_.wvu.PrintArea" hidden="1" oldHidden="1">
    <formula>'июнь 2019 Эпотос-К'!$B$47:$D$56</formula>
    <oldFormula>'июнь 2019 Эпотос-К'!$B$47:$D$56</oldFormula>
  </rdn>
  <rdn rId="0" localSheetId="13" customView="1" name="Z_A1BD6C0C_B1B9_4F48_A6B1_3BFD273F4CD7_.wvu.PrintTitles" hidden="1" oldHidden="1">
    <formula>'июнь 2019'!$4:$7</formula>
    <oldFormula>'июнь 2019'!$4:$7</oldFormula>
  </rdn>
  <rdn rId="0" localSheetId="13" customView="1" name="Z_A1BD6C0C_B1B9_4F48_A6B1_3BFD273F4CD7_.wvu.Cols" hidden="1" oldHidden="1">
    <formula>'июнь 2019'!$S:$V</formula>
    <oldFormula>'июнь 2019'!$S:$V</oldFormula>
  </rdn>
  <rdn rId="0" localSheetId="17" customView="1" name="Z_A1BD6C0C_B1B9_4F48_A6B1_3BFD273F4CD7_.wvu.PrintArea" hidden="1" oldHidden="1">
    <formula>'обзор 2016'!$B$3:$Q$19</formula>
    <oldFormula>'обзор 2016'!$B$3:$Q$19</oldFormula>
  </rdn>
  <rdn rId="0" localSheetId="17" customView="1" name="Z_A1BD6C0C_B1B9_4F48_A6B1_3BFD273F4CD7_.wvu.Cols" hidden="1" oldHidden="1">
    <formula>'обзор 2016'!$A:$A</formula>
    <oldFormula>'обзор 2016'!$A:$A</oldFormula>
  </rdn>
  <rdn rId="0" localSheetId="18" customView="1" name="Z_A1BD6C0C_B1B9_4F48_A6B1_3BFD273F4CD7_.wvu.PrintArea" hidden="1" oldHidden="1">
    <formula>'объёмы 2019'!$A$3:$U$38</formula>
    <oldFormula>'объёмы 2019'!$A$3:$U$38</oldFormula>
  </rdn>
  <rdn rId="0" localSheetId="18" customView="1" name="Z_A1BD6C0C_B1B9_4F48_A6B1_3BFD273F4CD7_.wvu.PrintTitles" hidden="1" oldHidden="1">
    <formula>'объёмы 2019'!$5:$6</formula>
    <oldFormula>'объёмы 2019'!$5:$6</oldFormula>
  </rdn>
  <rdn rId="0" localSheetId="18" customView="1" name="Z_A1BD6C0C_B1B9_4F48_A6B1_3BFD273F4CD7_.wvu.Cols" hidden="1" oldHidden="1">
    <formula>'объёмы 2019'!$V:$V</formula>
    <oldFormula>'объёмы 2019'!$V:$V</oldFormula>
  </rdn>
  <rcv guid="{A1BD6C0C-B1B9-4F48-A6B1-3BFD273F4CD7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A70">
    <dxf>
      <fill>
        <patternFill patternType="none">
          <bgColor auto="1"/>
        </patternFill>
      </fill>
    </dxf>
  </rfmt>
  <rfmt sheetId="11" sqref="A51:A57">
    <dxf>
      <fill>
        <patternFill patternType="none">
          <bgColor auto="1"/>
        </patternFill>
      </fill>
    </dxf>
  </rfmt>
  <rfmt sheetId="11" sqref="A40:A44">
    <dxf>
      <fill>
        <patternFill patternType="none">
          <bgColor auto="1"/>
        </patternFill>
      </fill>
    </dxf>
  </rfmt>
  <rfmt sheetId="11" sqref="A9:A18">
    <dxf>
      <fill>
        <patternFill patternType="none">
          <bgColor auto="1"/>
        </patternFill>
      </fill>
    </dxf>
  </rfmt>
  <rfmt sheetId="11" sqref="A81:A92">
    <dxf>
      <fill>
        <patternFill patternType="none">
          <bgColor auto="1"/>
        </patternFill>
      </fill>
    </dxf>
  </rfmt>
  <rfmt sheetId="11" sqref="A102:A104">
    <dxf>
      <fill>
        <patternFill patternType="none">
          <bgColor auto="1"/>
        </patternFill>
      </fill>
    </dxf>
  </rfmt>
  <rfmt sheetId="11" sqref="A102" start="0" length="0">
    <dxf>
      <font>
        <sz val="10"/>
        <color indexed="8"/>
        <name val="Arial"/>
        <scheme val="none"/>
      </font>
    </dxf>
  </rfmt>
  <rfmt sheetId="11" sqref="A103" start="0" length="0">
    <dxf>
      <font>
        <sz val="10"/>
        <color indexed="8"/>
        <name val="Arial"/>
        <scheme val="none"/>
      </font>
    </dxf>
  </rfmt>
  <rfmt sheetId="11" sqref="A104" start="0" length="0">
    <dxf>
      <font>
        <sz val="10"/>
        <color indexed="8"/>
        <name val="Arial"/>
        <scheme val="none"/>
      </font>
    </dxf>
  </rfmt>
  <rfmt sheetId="11" sqref="A129:A134">
    <dxf>
      <fill>
        <patternFill patternType="none">
          <bgColor auto="1"/>
        </patternFill>
      </fill>
    </dxf>
  </rfmt>
  <rfmt sheetId="11" sqref="A161">
    <dxf>
      <fill>
        <patternFill patternType="none">
          <bgColor auto="1"/>
        </patternFill>
      </fill>
    </dxf>
  </rfmt>
  <rfmt sheetId="11" sqref="A164">
    <dxf>
      <fill>
        <patternFill patternType="none">
          <bgColor auto="1"/>
        </patternFill>
      </fill>
    </dxf>
  </rfmt>
  <rfmt sheetId="11" sqref="A215" start="0" length="0">
    <dxf>
      <alignment horizontal="right" vertical="center" readingOrder="0"/>
      <border outline="0">
        <bottom style="thin">
          <color indexed="64"/>
        </bottom>
      </border>
    </dxf>
  </rfmt>
  <rfmt sheetId="11" sqref="A217" start="0" length="0">
    <dxf>
      <alignment horizontal="right" vertical="center" readingOrder="0"/>
      <border outline="0">
        <bottom style="thin">
          <color indexed="64"/>
        </bottom>
      </border>
    </dxf>
  </rfmt>
  <rfmt sheetId="11" sqref="A219" start="0" length="0">
    <dxf>
      <alignment horizontal="right" vertical="center" readingOrder="0"/>
      <border outline="0">
        <bottom style="thin">
          <color indexed="64"/>
        </bottom>
      </border>
    </dxf>
  </rfmt>
  <rfmt sheetId="11" sqref="D215" start="0" length="0">
    <dxf>
      <alignment horizontal="center" vertical="center" readingOrder="0"/>
      <border outline="0">
        <top style="thin">
          <color indexed="64"/>
        </top>
        <bottom style="thin">
          <color indexed="64"/>
        </bottom>
      </border>
    </dxf>
  </rfmt>
  <rfmt sheetId="11" sqref="D217" start="0" length="0">
    <dxf>
      <alignment horizontal="center" vertical="center" readingOrder="0"/>
    </dxf>
  </rfmt>
  <rfmt sheetId="11" sqref="D219" start="0" length="0">
    <dxf>
      <alignment horizontal="center" vertical="center" readingOrder="0"/>
    </dxf>
  </rfmt>
  <rfmt sheetId="11" sqref="E215" start="0" length="0">
    <dxf>
      <numFmt numFmtId="177" formatCode="#,##0.00[$р.-419];\-#,##0.00[$р.-419]"/>
      <border outline="0">
        <top style="thin">
          <color indexed="64"/>
        </top>
        <bottom style="thin">
          <color indexed="64"/>
        </bottom>
      </border>
    </dxf>
  </rfmt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87" sId="13" ref="A59:XFD63" action="insert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undo index="0" exp="area" ref3D="1" dr="$S$1:$V$1048576" dn="Z_06317133_151B_4DBC_8EB3_9345BA061F91_.wvu.Cols" sId="13"/>
  </rrc>
  <rfmt sheetId="13" s="1" sqref="A59" start="0" length="0">
    <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59" start="0" length="0">
    <dxf>
      <font>
        <sz val="10"/>
        <color indexed="8"/>
        <name val="Arial"/>
        <scheme val="none"/>
      </font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59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D59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A60" start="0" length="0">
    <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60" start="0" length="0">
    <dxf>
      <font>
        <sz val="10"/>
        <color indexed="8"/>
        <name val="Arial"/>
        <scheme val="none"/>
      </font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60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D60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A61" start="0" length="0">
    <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61" start="0" length="0">
    <dxf>
      <font>
        <sz val="10"/>
        <color indexed="8"/>
        <name val="Arial"/>
        <scheme val="none"/>
      </font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61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D61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A62" start="0" length="0">
    <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62" start="0" length="0">
    <dxf>
      <font>
        <sz val="10"/>
        <color indexed="8"/>
        <name val="Arial"/>
        <scheme val="none"/>
      </font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62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D62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E59" start="0" length="0">
    <dxf>
      <font>
        <sz val="10"/>
        <color auto="1"/>
        <name val="Arial"/>
        <scheme val="none"/>
      </font>
      <numFmt numFmtId="180" formatCode="#,##0.00\ &quot;₽&quot;"/>
      <alignment horizontal="right" vertical="center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E60" start="0" length="0">
    <dxf>
      <font>
        <sz val="10"/>
        <color auto="1"/>
        <name val="Arial"/>
        <scheme val="none"/>
      </font>
      <numFmt numFmtId="180" formatCode="#,##0.00\ &quot;₽&quot;"/>
      <alignment horizontal="right" vertical="center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E61" start="0" length="0">
    <dxf>
      <font>
        <sz val="10"/>
        <color auto="1"/>
        <name val="Arial"/>
        <scheme val="none"/>
      </font>
      <numFmt numFmtId="180" formatCode="#,##0.00\ &quot;₽&quot;"/>
      <alignment horizontal="right" vertical="center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E62" start="0" length="0">
    <dxf>
      <font>
        <sz val="10"/>
        <color auto="1"/>
        <name val="Arial"/>
        <scheme val="none"/>
      </font>
      <numFmt numFmtId="180" formatCode="#,##0.00\ &quot;₽&quot;"/>
      <alignment horizontal="right" vertical="center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cc rId="2788" sId="13">
    <oc r="F58">
      <f>E58*D58</f>
    </oc>
    <nc r="F58">
      <f>E58*D58</f>
    </nc>
  </rcc>
  <rcc rId="2789" sId="13">
    <oc r="L58">
      <f>E58*(H58+I58+J58+K58)</f>
    </oc>
    <nc r="L58">
      <f>E58*(H58+I58+J58+K58)</f>
    </nc>
  </rcc>
  <rcc rId="2790" sId="13" odxf="1" s="1" dxf="1" numFmtId="30">
    <nc r="A59">
      <v>5597</v>
    </nc>
    <n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2791" sId="13" odxf="1" s="1" dxf="1">
    <nc r="B59" t="inlineStr">
      <is>
        <t>ТПК РЕПЛАЙН</t>
      </is>
    </nc>
    <ndxf>
      <font>
        <sz val="10"/>
        <color indexed="8"/>
        <name val="Arial"/>
        <scheme val="none"/>
      </font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2792" sId="13" odxf="1" s="1" dxf="1">
    <nc r="C59" t="inlineStr">
      <is>
        <t>Обечайка D300, L=783мм</t>
      </is>
    </nc>
    <ndxf>
      <font>
        <sz val="10"/>
        <color indexed="8"/>
        <name val="Arial"/>
        <scheme val="none"/>
      </font>
      <border outline="0">
        <left/>
        <right/>
        <top style="thin">
          <color indexed="64"/>
        </top>
        <bottom style="thin">
          <color indexed="64"/>
        </bottom>
      </border>
    </ndxf>
  </rcc>
  <rcc rId="2793" sId="13" odxf="1" s="1" dxf="1">
    <nc r="D59">
      <v>1</v>
    </nc>
    <n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2794" sId="13" odxf="1" s="1" dxf="1" numFmtId="11">
    <nc r="E59">
      <v>780</v>
    </nc>
    <ndxf>
      <font>
        <sz val="10"/>
        <color indexed="8"/>
        <name val="Arial"/>
        <scheme val="none"/>
      </font>
      <numFmt numFmtId="177" formatCode="#,##0.00[$р.-419];\-#,##0.00[$р.-419]"/>
      <alignment horizontal="general" vertical="bottom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ndxf>
  </rcc>
  <rcc rId="2795" sId="13">
    <nc r="F59">
      <f>E59*D59</f>
    </nc>
  </rcc>
  <rcc rId="2796" sId="13">
    <nc r="L59">
      <f>E59*(H59+I59+J59+K59)</f>
    </nc>
  </rcc>
  <rfmt sheetId="13" sqref="O59" start="0" length="0">
    <dxf>
      <border outline="0">
        <bottom style="thin">
          <color indexed="64"/>
        </bottom>
      </border>
    </dxf>
  </rfmt>
  <rcc rId="2797" sId="13" odxf="1" s="1" dxf="1" numFmtId="30">
    <nc r="A60">
      <v>5598</v>
    </nc>
    <n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2798" sId="13" odxf="1" s="1" dxf="1">
    <nc r="B60" t="inlineStr">
      <is>
        <t>ТПК РЕПЛАЙН</t>
      </is>
    </nc>
    <ndxf>
      <font>
        <sz val="10"/>
        <color indexed="8"/>
        <name val="Arial"/>
        <scheme val="none"/>
      </font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2799" sId="13" odxf="1" s="1" dxf="1">
    <nc r="C60" t="inlineStr">
      <is>
        <t>Пластина 1000х1000х2мм</t>
      </is>
    </nc>
    <ndxf>
      <font>
        <sz val="10"/>
        <color indexed="8"/>
        <name val="Arial"/>
        <scheme val="none"/>
      </font>
      <border outline="0">
        <left/>
        <right/>
        <top style="thin">
          <color indexed="64"/>
        </top>
        <bottom style="thin">
          <color indexed="64"/>
        </bottom>
      </border>
    </ndxf>
  </rcc>
  <rcc rId="2800" sId="13" odxf="1" s="1" dxf="1">
    <nc r="D60">
      <v>2</v>
    </nc>
    <n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2801" sId="13" odxf="1" s="1" dxf="1" numFmtId="11">
    <nc r="E60">
      <v>760</v>
    </nc>
    <ndxf>
      <font>
        <sz val="10"/>
        <color indexed="8"/>
        <name val="Arial"/>
        <scheme val="none"/>
      </font>
      <numFmt numFmtId="177" formatCode="#,##0.00[$р.-419];\-#,##0.00[$р.-419]"/>
      <alignment horizontal="general" vertical="bottom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ndxf>
  </rcc>
  <rcc rId="2802" sId="13">
    <nc r="F60">
      <f>E60*D60</f>
    </nc>
  </rcc>
  <rcc rId="2803" sId="13">
    <nc r="L60">
      <f>E60*(H60+I60+J60+K60)</f>
    </nc>
  </rcc>
  <rfmt sheetId="13" sqref="O60" start="0" length="0">
    <dxf>
      <border outline="0">
        <bottom style="thin">
          <color indexed="64"/>
        </bottom>
      </border>
    </dxf>
  </rfmt>
  <rcc rId="2804" sId="13" odxf="1" s="1" dxf="1" numFmtId="30">
    <nc r="A61">
      <v>5599</v>
    </nc>
    <n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2805" sId="13" odxf="1" s="1" dxf="1">
    <nc r="B61" t="inlineStr">
      <is>
        <t>ТПК РЕПЛАЙН</t>
      </is>
    </nc>
    <ndxf>
      <font>
        <sz val="10"/>
        <color indexed="8"/>
        <name val="Arial"/>
        <scheme val="none"/>
      </font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2806" sId="13" odxf="1" s="1" dxf="1">
    <nc r="C61" t="inlineStr">
      <is>
        <t>Пластина 783х795х2мм</t>
      </is>
    </nc>
    <ndxf>
      <font>
        <sz val="10"/>
        <color indexed="8"/>
        <name val="Arial"/>
        <scheme val="none"/>
      </font>
      <border outline="0">
        <left/>
        <right/>
        <top style="thin">
          <color indexed="64"/>
        </top>
        <bottom style="thin">
          <color indexed="64"/>
        </bottom>
      </border>
    </ndxf>
  </rcc>
  <rcc rId="2807" sId="13" odxf="1" s="1" dxf="1">
    <nc r="D61">
      <v>1</v>
    </nc>
    <n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2808" sId="13" odxf="1" s="1" dxf="1" numFmtId="11">
    <nc r="E61">
      <v>470</v>
    </nc>
    <ndxf>
      <font>
        <sz val="10"/>
        <color indexed="8"/>
        <name val="Arial"/>
        <scheme val="none"/>
      </font>
      <numFmt numFmtId="177" formatCode="#,##0.00[$р.-419];\-#,##0.00[$р.-419]"/>
      <alignment horizontal="general" vertical="bottom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ndxf>
  </rcc>
  <rcc rId="2809" sId="13">
    <nc r="F61">
      <f>E61*D61</f>
    </nc>
  </rcc>
  <rcc rId="2810" sId="13">
    <nc r="L61">
      <f>E61*(H61+I61+J61+K61)</f>
    </nc>
  </rcc>
  <rfmt sheetId="13" sqref="O61" start="0" length="0">
    <dxf>
      <border outline="0">
        <bottom style="thin">
          <color indexed="64"/>
        </bottom>
      </border>
    </dxf>
  </rfmt>
  <rcc rId="2811" sId="13" odxf="1" s="1" dxf="1" numFmtId="30">
    <nc r="A62">
      <v>5600</v>
    </nc>
    <n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2812" sId="13" odxf="1" s="1" dxf="1">
    <nc r="B62" t="inlineStr">
      <is>
        <t>ТПК РЕПЛАЙН</t>
      </is>
    </nc>
    <ndxf>
      <font>
        <sz val="10"/>
        <color indexed="8"/>
        <name val="Arial"/>
        <scheme val="none"/>
      </font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2813" sId="13" odxf="1" s="1" dxf="1">
    <nc r="C62" t="inlineStr">
      <is>
        <t>Пластина 783х590х2мм</t>
      </is>
    </nc>
    <ndxf>
      <font>
        <sz val="10"/>
        <color indexed="8"/>
        <name val="Arial"/>
        <scheme val="none"/>
      </font>
      <border outline="0">
        <left/>
        <right/>
        <top style="thin">
          <color indexed="64"/>
        </top>
        <bottom style="thin">
          <color indexed="64"/>
        </bottom>
      </border>
    </ndxf>
  </rcc>
  <rcc rId="2814" sId="13" odxf="1" s="1" dxf="1">
    <nc r="D62">
      <v>1</v>
    </nc>
    <n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2815" sId="13" odxf="1" s="1" dxf="1" numFmtId="11">
    <nc r="E62">
      <v>365</v>
    </nc>
    <ndxf>
      <font>
        <sz val="10"/>
        <color indexed="8"/>
        <name val="Arial"/>
        <scheme val="none"/>
      </font>
      <numFmt numFmtId="177" formatCode="#,##0.00[$р.-419];\-#,##0.00[$р.-419]"/>
      <alignment horizontal="general" vertical="bottom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ndxf>
  </rcc>
  <rcc rId="2816" sId="13">
    <nc r="F62">
      <f>E62*D62</f>
    </nc>
  </rcc>
  <rcc rId="2817" sId="13">
    <nc r="L62">
      <f>E62*(H62+I62+J62+K62)</f>
    </nc>
  </rcc>
  <rfmt sheetId="13" sqref="O62" start="0" length="0">
    <dxf>
      <border outline="0">
        <bottom style="thin">
          <color indexed="64"/>
        </bottom>
      </border>
    </dxf>
  </rfmt>
  <rcc rId="2818" sId="13" numFmtId="19">
    <nc r="M59">
      <v>43623</v>
    </nc>
  </rcc>
  <rcc rId="2819" sId="13" numFmtId="19">
    <nc r="N59">
      <v>43627</v>
    </nc>
  </rcc>
  <rcc rId="2820" sId="13" numFmtId="19">
    <nc r="M60">
      <v>43623</v>
    </nc>
  </rcc>
  <rcc rId="2821" sId="13" numFmtId="19">
    <nc r="N60">
      <v>43627</v>
    </nc>
  </rcc>
  <rcc rId="2822" sId="13" numFmtId="19">
    <nc r="M61">
      <v>43623</v>
    </nc>
  </rcc>
  <rcc rId="2823" sId="13" numFmtId="19">
    <nc r="N61">
      <v>43627</v>
    </nc>
  </rcc>
  <rcc rId="2824" sId="13" numFmtId="19">
    <nc r="M62">
      <v>43623</v>
    </nc>
  </rcc>
  <rcc rId="2825" sId="13" numFmtId="19">
    <nc r="N62">
      <v>43627</v>
    </nc>
  </rcc>
  <rrc rId="2826" sId="13" ref="A66:XFD6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undo index="0" exp="area" ref3D="1" dr="$S$1:$V$1048576" dn="Z_06317133_151B_4DBC_8EB3_9345BA061F91_.wvu.Cols" sId="13"/>
    <rfmt sheetId="13" xfDxf="1" sqref="A66:XFD66" start="0" length="0">
      <dxf>
        <font>
          <sz val="10"/>
          <color indexed="8"/>
          <name val="Arial"/>
          <scheme val="none"/>
        </font>
      </dxf>
    </rfmt>
    <rfmt sheetId="13" sqref="A66" start="0" length="0">
      <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B66" start="0" length="0">
      <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66" start="0" length="0">
      <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dxf>
    </rfmt>
    <rfmt sheetId="13" sqref="D66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66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s="1" dxf="1">
      <nc r="F66">
        <f>E66*D66</f>
      </nc>
      <n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3" s="1" dxf="1">
      <nc r="L66">
        <f>E66*(H66+I66+J66+K66)</f>
      </nc>
      <n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M6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6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66" start="0" length="0">
      <dxf>
        <font>
          <sz val="10"/>
          <color indexed="8"/>
          <name val="Arial"/>
          <scheme val="none"/>
        </font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13" sqref="P66" start="0" length="0">
      <dxf/>
    </rfmt>
    <rcc rId="0" sId="13">
      <nc r="S66">
        <f>H66*E66</f>
      </nc>
    </rcc>
    <rcc rId="0" sId="13">
      <nc r="T66">
        <f>I66*E66</f>
      </nc>
    </rcc>
    <rcc rId="0" sId="13">
      <nc r="U66">
        <f>J66*E66</f>
      </nc>
    </rcc>
    <rcc rId="0" sId="13">
      <nc r="V66">
        <f>K66*E66</f>
      </nc>
    </rcc>
  </rrc>
  <rrc rId="2827" sId="13" ref="A66:XFD6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undo index="0" exp="area" ref3D="1" dr="$S$1:$V$1048576" dn="Z_06317133_151B_4DBC_8EB3_9345BA061F91_.wvu.Cols" sId="13"/>
    <rfmt sheetId="13" xfDxf="1" sqref="A66:XFD66" start="0" length="0">
      <dxf>
        <font>
          <sz val="10"/>
          <color indexed="8"/>
          <name val="Arial"/>
          <scheme val="none"/>
        </font>
      </dxf>
    </rfmt>
    <rfmt sheetId="13" sqref="A66" start="0" length="0">
      <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B66" start="0" length="0">
      <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66" start="0" length="0">
      <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dxf>
    </rfmt>
    <rfmt sheetId="13" sqref="D66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66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="1" sqref="F66" start="0" length="0">
      <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G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="1" sqref="L66" start="0" length="0">
      <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M6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6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66" start="0" length="0">
      <dxf>
        <font>
          <sz val="10"/>
          <color indexed="8"/>
          <name val="Arial"/>
          <scheme val="none"/>
        </font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13" sqref="P66" start="0" length="0">
      <dxf/>
    </rfmt>
  </rrc>
  <rrc rId="2828" sId="13" ref="A66:XFD6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undo index="0" exp="area" ref3D="1" dr="$S$1:$V$1048576" dn="Z_06317133_151B_4DBC_8EB3_9345BA061F91_.wvu.Cols" sId="13"/>
    <rfmt sheetId="13" xfDxf="1" sqref="A66:XFD66" start="0" length="0">
      <dxf>
        <font>
          <sz val="10"/>
          <color indexed="8"/>
          <name val="Arial"/>
          <scheme val="none"/>
        </font>
      </dxf>
    </rfmt>
    <rfmt sheetId="13" sqref="A66" start="0" length="0">
      <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B66" start="0" length="0">
      <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66" start="0" length="0">
      <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dxf>
    </rfmt>
    <rfmt sheetId="13" sqref="D66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66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="1" sqref="F66" start="0" length="0">
      <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G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="1" sqref="L66" start="0" length="0">
      <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M6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6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66" start="0" length="0">
      <dxf>
        <font>
          <sz val="10"/>
          <color indexed="8"/>
          <name val="Arial"/>
          <scheme val="none"/>
        </font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13" sqref="P66" start="0" length="0">
      <dxf/>
    </rfmt>
  </rrc>
  <rrc rId="2829" sId="13" ref="A66:XFD66" action="delete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undo index="0" exp="area" ref3D="1" dr="$S$1:$V$1048576" dn="Z_06317133_151B_4DBC_8EB3_9345BA061F91_.wvu.Cols" sId="13"/>
    <rfmt sheetId="13" xfDxf="1" sqref="A66:XFD66" start="0" length="0">
      <dxf>
        <font>
          <sz val="10"/>
          <color indexed="8"/>
          <name val="Arial"/>
          <scheme val="none"/>
        </font>
      </dxf>
    </rfmt>
    <rfmt sheetId="13" sqref="A66" start="0" length="0">
      <dxf>
        <font>
          <sz val="10"/>
          <color indexed="8"/>
          <name val="Arial"/>
          <scheme val="none"/>
        </font>
        <numFmt numFmtId="30" formatCode="@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B66" start="0" length="0">
      <dxf>
        <font>
          <sz val="10"/>
          <color indexed="8"/>
          <name val="Arial"/>
          <scheme val="none"/>
        </font>
        <alignment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C66" start="0" length="0">
      <dxf>
        <font>
          <sz val="10"/>
          <color indexed="8"/>
          <name val="Arial"/>
          <scheme val="none"/>
        </font>
        <alignment horizontal="left" vertical="center" readingOrder="0"/>
        <border outline="0">
          <top style="thin">
            <color indexed="64"/>
          </top>
          <bottom style="thin">
            <color indexed="64"/>
          </bottom>
        </border>
        <protection locked="0"/>
      </dxf>
    </rfmt>
    <rfmt sheetId="13" sqref="D66" start="0" length="0">
      <dxf>
        <font>
          <sz val="10"/>
          <color indexed="8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66" start="0" length="0">
      <dxf>
        <font>
          <sz val="10"/>
          <color indexed="8"/>
          <name val="Arial"/>
          <scheme val="none"/>
        </font>
        <numFmt numFmtId="177" formatCode="#,##0.00[$р.-419];\-#,##0.00[$р.-419]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="1" sqref="F66" start="0" length="0">
      <dxf>
        <numFmt numFmtId="169" formatCode="#,##0.00&quot;р.&quot;"/>
        <alignment horizontal="right" vertical="center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G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H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I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J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K66" start="0" length="0">
      <dxf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="1" sqref="L66" start="0" length="0">
      <dxf>
        <numFmt numFmtId="164" formatCode="_-* #,##0.00&quot;р.&quot;_-;\-* #,##0.00&quot;р.&quot;_-;_-* &quot;-&quot;??&quot;р.&quot;_-;_-@_-"/>
        <alignment horizontal="right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M6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N66" start="0" length="0">
      <dxf>
        <numFmt numFmtId="178" formatCode="[$-419]d\ mmm;@"/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3" sqref="O66" start="0" length="0">
      <dxf>
        <font>
          <sz val="10"/>
          <color indexed="8"/>
          <name val="Arial"/>
          <scheme val="none"/>
        </font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13" sqref="P66" start="0" length="0">
      <dxf/>
    </rfmt>
  </rr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="1" sqref="A134" start="0" length="0">
    <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134" start="0" length="0">
    <dxf>
      <font>
        <sz val="10"/>
        <color indexed="8"/>
        <name val="Arial"/>
        <scheme val="none"/>
      </font>
      <alignment horizontal="left" vertical="center" readingOrder="0"/>
      <border outline="0">
        <left style="thin">
          <color indexed="64"/>
        </left>
        <right style="thin">
          <color indexed="64"/>
        </right>
      </border>
    </dxf>
  </rfmt>
  <rfmt sheetId="13" s="1" sqref="C134" start="0" length="0">
    <dxf>
      <font>
        <sz val="10"/>
        <color indexed="8"/>
        <name val="Arial"/>
        <scheme val="none"/>
      </font>
      <alignment horizontal="left" vertical="center" wrapText="1" readingOrder="0"/>
      <border outline="0">
        <left style="thin">
          <color indexed="64"/>
        </left>
        <right style="thin">
          <color indexed="64"/>
        </right>
      </border>
      <protection locked="0"/>
    </dxf>
  </rfmt>
  <rfmt sheetId="13" s="1" sqref="B134" start="0" length="0">
    <dxf>
      <font>
        <sz val="10"/>
        <color indexed="8"/>
        <name val="Arial"/>
        <scheme val="none"/>
      </font>
      <alignment horizontal="general" readingOrder="0"/>
      <border outline="0">
        <left style="medium">
          <color indexed="64"/>
        </left>
        <right style="medium">
          <color indexed="64"/>
        </right>
      </border>
    </dxf>
  </rfmt>
  <rcc rId="2830" sId="13" odxf="1" s="1" dxf="1" numFmtId="30">
    <nc r="A134">
      <v>4916</v>
    </nc>
    <n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2831" sId="13">
    <nc r="B134" t="inlineStr">
      <is>
        <t>ООО Домашний стандарт</t>
      </is>
    </nc>
  </rcc>
  <rfmt sheetId="13" s="1" sqref="C134" start="0" length="0">
    <dxf>
      <font>
        <sz val="10"/>
        <color indexed="8"/>
        <name val="Arial"/>
        <scheme val="none"/>
      </font>
      <alignment wrapText="0" readingOrder="0"/>
      <border outline="0">
        <left style="medium">
          <color indexed="64"/>
        </left>
        <right/>
      </border>
    </dxf>
  </rfmt>
  <rcc rId="2832" sId="13" odxf="1" dxf="1" numFmtId="11">
    <nc r="E134">
      <v>32.18</v>
    </nc>
    <ndxf>
      <border outline="0">
        <left/>
      </border>
    </ndxf>
  </rcc>
  <rcc rId="2833" sId="13">
    <oc r="F134">
      <f>E134*D134</f>
    </oc>
    <nc r="F134">
      <f>E134*D134</f>
    </nc>
  </rcc>
  <rcc rId="2834" sId="13">
    <oc r="L134">
      <f>E134*(H134+I134+J134+K134)</f>
    </oc>
    <nc r="L134">
      <f>E134*(H134+I134+J134+K134)</f>
    </nc>
  </rcc>
  <rcc rId="2835" sId="13">
    <oc r="S134">
      <f>H134*E134</f>
    </oc>
    <nc r="S134">
      <f>H134*E134</f>
    </nc>
  </rcc>
  <rcc rId="2836" sId="13">
    <oc r="T134">
      <f>I134*E134</f>
    </oc>
    <nc r="T134">
      <f>I134*E134</f>
    </nc>
  </rcc>
  <rcc rId="2837" sId="13">
    <oc r="U134">
      <f>J134*E134</f>
    </oc>
    <nc r="U134">
      <f>J134*E134</f>
    </nc>
  </rcc>
  <rcc rId="2838" sId="13">
    <oc r="V134">
      <f>K134*E134</f>
    </oc>
    <nc r="V134">
      <f>K134*E134</f>
    </nc>
  </rcc>
  <rcc rId="2839" sId="13">
    <nc r="D134">
      <v>685</v>
    </nc>
  </rcc>
  <rcc rId="2840" sId="13">
    <nc r="G134">
      <v>685</v>
    </nc>
  </rcc>
  <rcc rId="2841" sId="13">
    <nc r="C134" t="inlineStr">
      <is>
        <t>Штамповка дет.  Кассета (Кассета дно)</t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2" sId="12">
    <oc r="F7">
      <v>1420</v>
    </oc>
    <nc r="F7">
      <v>1620</v>
    </nc>
  </rcc>
  <rcc rId="2843" sId="12">
    <nc r="F41">
      <v>70</v>
    </nc>
  </rcc>
  <rcc rId="2844" sId="12">
    <nc r="F23">
      <v>38</v>
    </nc>
  </rcc>
  <rcc rId="2845" sId="12">
    <nc r="F25">
      <v>9</v>
    </nc>
  </rcc>
  <rcc rId="2846" sId="12">
    <oc r="F26">
      <v>31</v>
    </oc>
    <nc r="F26">
      <v>69</v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A134">
    <dxf>
      <fill>
        <patternFill patternType="solid">
          <bgColor theme="6" tint="-0.249977111117893"/>
        </patternFill>
      </fill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47" sId="13" ref="A113:XFD121" action="insertRow">
    <undo index="0" exp="area" ref3D="1" dr="$S$1:$V$1048576" dn="Z_C29DA669_F4F9_44CD_9569_E796ADF74A86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45C31AC1_6FB2_488C_94EA_BCF9E79D0043_.wvu.Cols" sId="13"/>
    <undo index="0" exp="area" ref3D="1" dr="$S$1:$V$1048576" dn="Z_375BA386_B398_4A0E_AF86_4319F1FDDF11_.wvu.Cols" sId="13"/>
    <undo index="0" exp="area" ref3D="1" dr="$S$1:$V$1048576" dn="Z_06317133_151B_4DBC_8EB3_9345BA061F91_.wvu.Cols" sId="13"/>
  </rr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="1" sqref="A113" start="0" length="0">
    <dxf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113" start="0" length="0">
    <dxf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113" start="0" length="0"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D113" start="0" length="0"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A114" start="0" length="0">
    <dxf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114" start="0" length="0">
    <dxf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114" start="0" length="0"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D114" start="0" length="0"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A115" start="0" length="0">
    <dxf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115" start="0" length="0">
    <dxf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115" start="0" length="0"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D115" start="0" length="0"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A116" start="0" length="0">
    <dxf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116" start="0" length="0">
    <dxf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116" start="0" length="0"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D116" start="0" length="0"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A117" start="0" length="0">
    <dxf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117" start="0" length="0">
    <dxf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117" start="0" length="0"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D117" start="0" length="0"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A118" start="0" length="0">
    <dxf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118" start="0" length="0">
    <dxf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118" start="0" length="0"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D118" start="0" length="0"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A119" start="0" length="0">
    <dxf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119" start="0" length="0">
    <dxf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119" start="0" length="0"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D119" start="0" length="0"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A120" start="0" length="0">
    <dxf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120" start="0" length="0">
    <dxf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120" start="0" length="0"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D120" start="0" length="0"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E113" start="0" length="0">
    <dxf>
      <alignment horizontal="right" vertical="center" readingOrder="0"/>
      <border outline="0">
        <left style="thin">
          <color indexed="64"/>
        </left>
        <right style="thin">
          <color indexed="64"/>
        </right>
      </border>
    </dxf>
  </rfmt>
  <rfmt sheetId="13" s="1" sqref="E114" start="0" length="0">
    <dxf>
      <alignment horizontal="right" vertical="center" readingOrder="0"/>
      <border outline="0">
        <left style="thin">
          <color indexed="64"/>
        </left>
        <right style="thin">
          <color indexed="64"/>
        </right>
      </border>
    </dxf>
  </rfmt>
  <rfmt sheetId="13" s="1" sqref="E115" start="0" length="0">
    <dxf>
      <alignment horizontal="right" vertical="center" readingOrder="0"/>
      <border outline="0">
        <left style="thin">
          <color indexed="64"/>
        </left>
        <right style="thin">
          <color indexed="64"/>
        </right>
      </border>
    </dxf>
  </rfmt>
  <rfmt sheetId="13" s="1" sqref="E116" start="0" length="0">
    <dxf>
      <alignment horizontal="right" vertical="center" readingOrder="0"/>
      <border outline="0">
        <left style="thin">
          <color indexed="64"/>
        </left>
        <right style="thin">
          <color indexed="64"/>
        </right>
      </border>
    </dxf>
  </rfmt>
  <rfmt sheetId="13" s="1" sqref="E117" start="0" length="0">
    <dxf>
      <alignment horizontal="right" vertical="center" readingOrder="0"/>
      <border outline="0">
        <left style="thin">
          <color indexed="64"/>
        </left>
        <right style="thin">
          <color indexed="64"/>
        </right>
      </border>
    </dxf>
  </rfmt>
  <rfmt sheetId="13" s="1" sqref="E118" start="0" length="0">
    <dxf>
      <alignment horizontal="right" vertical="center" readingOrder="0"/>
      <border outline="0">
        <left style="thin">
          <color indexed="64"/>
        </left>
        <right style="thin">
          <color indexed="64"/>
        </right>
      </border>
    </dxf>
  </rfmt>
  <rfmt sheetId="13" s="1" sqref="E119" start="0" length="0">
    <dxf>
      <alignment horizontal="right" vertical="center" readingOrder="0"/>
      <border outline="0">
        <left style="thin">
          <color indexed="64"/>
        </left>
        <right style="thin">
          <color indexed="64"/>
        </right>
      </border>
    </dxf>
  </rfmt>
  <rfmt sheetId="13" s="1" sqref="E120" start="0" length="0">
    <dxf>
      <alignment horizontal="right" vertical="center" readingOrder="0"/>
      <border outline="0">
        <left style="thin">
          <color indexed="64"/>
        </left>
        <right style="thin">
          <color indexed="64"/>
        </right>
      </border>
    </dxf>
  </rfmt>
  <rcc rId="2848" sId="13">
    <nc r="L121">
      <f>E121*(H121+I121+J121+K121)</f>
    </nc>
  </rcc>
  <rcc rId="2849" sId="13">
    <oc r="L122">
      <f>E122*(H122+I122+J122+K122)</f>
    </oc>
    <nc r="L122">
      <f>E122*(H122+I122+J122+K122)</f>
    </nc>
  </rcc>
  <rcc rId="2850" sId="13" odxf="1" s="1" dxf="1" numFmtId="30">
    <nc r="A113">
      <v>5576</v>
    </nc>
    <ndxf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2851" sId="13" odxf="1" s="1" dxf="1">
    <nc r="B113" t="inlineStr">
      <is>
        <t>Квадрат</t>
      </is>
    </nc>
    <ndxf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2852" sId="13" odxf="1" s="1" dxf="1">
    <nc r="C113" t="inlineStr">
      <is>
        <t>Пуансон</t>
      </is>
    </nc>
    <ndxf>
      <border outline="0">
        <left/>
        <right/>
        <top style="thin">
          <color indexed="64"/>
        </top>
        <bottom style="thin">
          <color indexed="64"/>
        </bottom>
      </border>
    </ndxf>
  </rcc>
  <rcc rId="2853" sId="13" odxf="1" s="1" dxf="1">
    <nc r="D113">
      <v>6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2854" sId="13" odxf="1" s="1" dxf="1" numFmtId="11">
    <nc r="E113">
      <v>2500</v>
    </nc>
    <ndxf>
      <alignment horizontal="general" vertical="bottom" readingOrder="0"/>
      <border outline="0">
        <left style="medium">
          <color indexed="64"/>
        </left>
        <right style="medium">
          <color indexed="64"/>
        </right>
      </border>
    </ndxf>
  </rcc>
  <rcc rId="2855" sId="13">
    <nc r="F113">
      <f>E113*D113</f>
    </nc>
  </rcc>
  <rcc rId="2856" sId="13">
    <nc r="L113">
      <f>E113*(H113+I113+J113+K113)</f>
    </nc>
  </rcc>
  <rcc rId="2857" sId="13" odxf="1" s="1" dxf="1" numFmtId="30">
    <nc r="A114">
      <v>5577</v>
    </nc>
    <ndxf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2858" sId="13" odxf="1" s="1" dxf="1">
    <nc r="B114" t="inlineStr">
      <is>
        <t>Квадрат</t>
      </is>
    </nc>
    <ndxf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2859" sId="13" odxf="1" s="1" dxf="1">
    <nc r="C114" t="inlineStr">
      <is>
        <t>Пуансон</t>
      </is>
    </nc>
    <ndxf>
      <border outline="0">
        <left/>
        <right/>
        <top style="thin">
          <color indexed="64"/>
        </top>
        <bottom style="thin">
          <color indexed="64"/>
        </bottom>
      </border>
    </ndxf>
  </rcc>
  <rcc rId="2860" sId="13" odxf="1" s="1" dxf="1">
    <nc r="D114">
      <v>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2861" sId="13" odxf="1" s="1" dxf="1" numFmtId="11">
    <nc r="E114">
      <v>1800</v>
    </nc>
    <ndxf>
      <alignment horizontal="general" vertical="bottom" readingOrder="0"/>
      <border outline="0">
        <left style="medium">
          <color indexed="64"/>
        </left>
        <right style="medium">
          <color indexed="64"/>
        </right>
      </border>
    </ndxf>
  </rcc>
  <rcc rId="2862" sId="13">
    <nc r="F114">
      <f>E114*D114</f>
    </nc>
  </rcc>
  <rcc rId="2863" sId="13">
    <nc r="L114">
      <f>E114*(H114+I114+J114+K114)</f>
    </nc>
  </rcc>
  <rcc rId="2864" sId="13" odxf="1" s="1" dxf="1" numFmtId="30">
    <nc r="A115">
      <v>5578</v>
    </nc>
    <ndxf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2865" sId="13" odxf="1" s="1" dxf="1">
    <nc r="B115" t="inlineStr">
      <is>
        <t>Квадрат</t>
      </is>
    </nc>
    <ndxf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2866" sId="13" odxf="1" s="1" dxf="1">
    <nc r="C115" t="inlineStr">
      <is>
        <t>Ось</t>
      </is>
    </nc>
    <ndxf>
      <border outline="0">
        <left/>
        <right/>
        <top style="thin">
          <color indexed="64"/>
        </top>
        <bottom style="thin">
          <color indexed="64"/>
        </bottom>
      </border>
    </ndxf>
  </rcc>
  <rcc rId="2867" sId="13" odxf="1" s="1" dxf="1">
    <nc r="D115">
      <v>2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2868" sId="13" odxf="1" s="1" dxf="1" numFmtId="11">
    <nc r="E115">
      <v>2050</v>
    </nc>
    <ndxf>
      <alignment horizontal="general" vertical="bottom" readingOrder="0"/>
      <border outline="0">
        <left style="medium">
          <color indexed="64"/>
        </left>
        <right style="medium">
          <color indexed="64"/>
        </right>
      </border>
    </ndxf>
  </rcc>
  <rcc rId="2869" sId="13">
    <nc r="F115">
      <f>E115*D115</f>
    </nc>
  </rcc>
  <rcc rId="2870" sId="13">
    <nc r="L115">
      <f>E115*(H115+I115+J115+K115)</f>
    </nc>
  </rcc>
  <rcc rId="2871" sId="13" odxf="1" s="1" dxf="1" numFmtId="30">
    <nc r="A116">
      <v>5579</v>
    </nc>
    <ndxf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2872" sId="13" odxf="1" s="1" dxf="1">
    <nc r="B116" t="inlineStr">
      <is>
        <t>Квадрат</t>
      </is>
    </nc>
    <ndxf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2873" sId="13" odxf="1" s="1" dxf="1">
    <nc r="C116" t="inlineStr">
      <is>
        <t>Вкладыш</t>
      </is>
    </nc>
    <ndxf>
      <border outline="0">
        <left/>
        <right/>
        <top style="thin">
          <color indexed="64"/>
        </top>
        <bottom style="thin">
          <color indexed="64"/>
        </bottom>
      </border>
    </ndxf>
  </rcc>
  <rcc rId="2874" sId="13" odxf="1" s="1" dxf="1">
    <nc r="D116">
      <v>1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2875" sId="13" odxf="1" s="1" dxf="1" numFmtId="11">
    <nc r="E116">
      <v>500</v>
    </nc>
    <ndxf>
      <alignment horizontal="general" vertical="bottom" readingOrder="0"/>
      <border outline="0">
        <left style="medium">
          <color indexed="64"/>
        </left>
        <right style="medium">
          <color indexed="64"/>
        </right>
      </border>
    </ndxf>
  </rcc>
  <rcc rId="2876" sId="13">
    <nc r="F116">
      <f>E116*D116</f>
    </nc>
  </rcc>
  <rcc rId="2877" sId="13">
    <nc r="L116">
      <f>E116*(H116+I116+J116+K116)</f>
    </nc>
  </rcc>
  <rcc rId="2878" sId="13" odxf="1" s="1" dxf="1" numFmtId="30">
    <nc r="A117">
      <v>5580</v>
    </nc>
    <ndxf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2879" sId="13" odxf="1" s="1" dxf="1">
    <nc r="B117" t="inlineStr">
      <is>
        <t>Квадрат</t>
      </is>
    </nc>
    <ndxf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2880" sId="13" odxf="1" s="1" dxf="1">
    <nc r="C117" t="inlineStr">
      <is>
        <t>Опора</t>
      </is>
    </nc>
    <ndxf>
      <border outline="0">
        <left/>
        <right/>
        <top style="thin">
          <color indexed="64"/>
        </top>
        <bottom style="thin">
          <color indexed="64"/>
        </bottom>
      </border>
    </ndxf>
  </rcc>
  <rcc rId="2881" sId="13" odxf="1" s="1" dxf="1">
    <nc r="D117">
      <v>2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2882" sId="13" odxf="1" s="1" dxf="1" numFmtId="11">
    <nc r="E117">
      <v>5500</v>
    </nc>
    <ndxf>
      <alignment horizontal="general" vertical="bottom" readingOrder="0"/>
      <border outline="0">
        <left style="medium">
          <color indexed="64"/>
        </left>
        <right style="medium">
          <color indexed="64"/>
        </right>
      </border>
    </ndxf>
  </rcc>
  <rcc rId="2883" sId="13">
    <nc r="F117">
      <f>E117*D117</f>
    </nc>
  </rcc>
  <rcc rId="2884" sId="13">
    <nc r="L117">
      <f>E117*(H117+I117+J117+K117)</f>
    </nc>
  </rcc>
  <rcc rId="2885" sId="13" odxf="1" s="1" dxf="1" numFmtId="30">
    <nc r="A118">
      <v>5581</v>
    </nc>
    <ndxf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2886" sId="13" odxf="1" s="1" dxf="1">
    <nc r="B118" t="inlineStr">
      <is>
        <t>Квадрат</t>
      </is>
    </nc>
    <ndxf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2887" sId="13" odxf="1" s="1" dxf="1">
    <nc r="C118" t="inlineStr">
      <is>
        <t>Пуансон</t>
      </is>
    </nc>
    <ndxf>
      <border outline="0">
        <left/>
        <right/>
        <top style="thin">
          <color indexed="64"/>
        </top>
        <bottom style="thin">
          <color indexed="64"/>
        </bottom>
      </border>
    </ndxf>
  </rcc>
  <rcc rId="2888" sId="13" odxf="1" s="1" dxf="1">
    <nc r="D118">
      <v>1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2889" sId="13" odxf="1" s="1" dxf="1" numFmtId="11">
    <nc r="E118">
      <v>7000</v>
    </nc>
    <ndxf>
      <alignment horizontal="general" vertical="bottom" readingOrder="0"/>
      <border outline="0">
        <left style="medium">
          <color indexed="64"/>
        </left>
        <right style="medium">
          <color indexed="64"/>
        </right>
      </border>
    </ndxf>
  </rcc>
  <rcc rId="2890" sId="13">
    <nc r="F118">
      <f>E118*D118</f>
    </nc>
  </rcc>
  <rcc rId="2891" sId="13">
    <nc r="L118">
      <f>E118*(H118+I118+J118+K118)</f>
    </nc>
  </rcc>
  <rcc rId="2892" sId="13" odxf="1" s="1" dxf="1" numFmtId="30">
    <nc r="A119">
      <v>5582</v>
    </nc>
    <ndxf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2893" sId="13" odxf="1" s="1" dxf="1">
    <nc r="B119" t="inlineStr">
      <is>
        <t>Квадрат</t>
      </is>
    </nc>
    <ndxf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2894" sId="13" odxf="1" s="1" dxf="1">
    <nc r="C119" t="inlineStr">
      <is>
        <t>Проставка</t>
      </is>
    </nc>
    <ndxf>
      <border outline="0">
        <left/>
        <right/>
        <top style="thin">
          <color indexed="64"/>
        </top>
        <bottom style="thin">
          <color indexed="64"/>
        </bottom>
      </border>
    </ndxf>
  </rcc>
  <rcc rId="2895" sId="13" odxf="1" s="1" dxf="1">
    <nc r="D119">
      <v>2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2896" sId="13" odxf="1" s="1" dxf="1" numFmtId="11">
    <nc r="E119">
      <v>1300</v>
    </nc>
    <ndxf>
      <alignment horizontal="general" vertical="bottom" readingOrder="0"/>
      <border outline="0">
        <left style="medium">
          <color indexed="64"/>
        </left>
        <right style="medium">
          <color indexed="64"/>
        </right>
      </border>
    </ndxf>
  </rcc>
  <rcc rId="2897" sId="13">
    <nc r="F119">
      <f>E119*D119</f>
    </nc>
  </rcc>
  <rcc rId="2898" sId="13">
    <nc r="L119">
      <f>E119*(H119+I119+J119+K119)</f>
    </nc>
  </rcc>
  <rcc rId="2899" sId="13" odxf="1" s="1" dxf="1" numFmtId="30">
    <nc r="A120">
      <v>5583</v>
    </nc>
    <ndxf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2900" sId="13" odxf="1" s="1" dxf="1">
    <nc r="B120" t="inlineStr">
      <is>
        <t>Квадрат</t>
      </is>
    </nc>
    <ndxf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2901" sId="13" odxf="1" s="1" dxf="1">
    <nc r="C120" t="inlineStr">
      <is>
        <t>Щека</t>
      </is>
    </nc>
    <ndxf>
      <border outline="0">
        <left/>
        <right/>
        <top style="thin">
          <color indexed="64"/>
        </top>
        <bottom style="thin">
          <color indexed="64"/>
        </bottom>
      </border>
    </ndxf>
  </rcc>
  <rcc rId="2902" sId="13" odxf="1" s="1" dxf="1">
    <nc r="D120">
      <v>2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2903" sId="13" odxf="1" s="1" dxf="1" numFmtId="11">
    <nc r="E120">
      <v>2200</v>
    </nc>
    <ndxf>
      <alignment horizontal="general" vertical="bottom" readingOrder="0"/>
      <border outline="0">
        <left style="medium">
          <color indexed="64"/>
        </left>
        <right style="medium">
          <color indexed="64"/>
        </right>
      </border>
    </ndxf>
  </rcc>
  <rcc rId="2904" sId="13">
    <nc r="F120">
      <f>E120*D120</f>
    </nc>
  </rcc>
  <rcc rId="2905" sId="13">
    <nc r="L120">
      <f>E120*(H120+I120+J120+K120)</f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6" sId="13" numFmtId="19">
    <nc r="M113">
      <v>43627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7" sId="13" numFmtId="19">
    <nc r="N113">
      <v>43651</v>
    </nc>
  </rcc>
  <rcc rId="2908" sId="13" numFmtId="19">
    <nc r="M114">
      <v>43627</v>
    </nc>
  </rcc>
  <rcc rId="2909" sId="13" numFmtId="19">
    <nc r="N114">
      <v>43651</v>
    </nc>
  </rcc>
  <rcc rId="2910" sId="13" numFmtId="19">
    <nc r="M115">
      <v>43627</v>
    </nc>
  </rcc>
  <rcc rId="2911" sId="13" numFmtId="19">
    <nc r="N115">
      <v>43651</v>
    </nc>
  </rcc>
  <rcc rId="2912" sId="13" numFmtId="19">
    <nc r="M116">
      <v>43627</v>
    </nc>
  </rcc>
  <rcc rId="2913" sId="13" numFmtId="19">
    <nc r="N116">
      <v>43651</v>
    </nc>
  </rcc>
  <rcc rId="2914" sId="13" numFmtId="19">
    <nc r="M117">
      <v>43627</v>
    </nc>
  </rcc>
  <rcc rId="2915" sId="13" numFmtId="19">
    <nc r="N117">
      <v>43651</v>
    </nc>
  </rcc>
  <rcc rId="2916" sId="13" numFmtId="19">
    <nc r="M118">
      <v>43627</v>
    </nc>
  </rcc>
  <rcc rId="2917" sId="13" numFmtId="19">
    <nc r="N118">
      <v>43651</v>
    </nc>
  </rcc>
  <rcc rId="2918" sId="13" numFmtId="19">
    <nc r="M119">
      <v>43627</v>
    </nc>
  </rcc>
  <rcc rId="2919" sId="13" numFmtId="19">
    <nc r="N119">
      <v>43651</v>
    </nc>
  </rcc>
  <rcc rId="2920" sId="13" numFmtId="19">
    <nc r="M120">
      <v>43627</v>
    </nc>
  </rcc>
  <rcc rId="2921" sId="13" numFmtId="19">
    <nc r="N120">
      <v>43651</v>
    </nc>
  </rcc>
  <rcc rId="2922" sId="13">
    <oc r="F113">
      <f>E113*D113</f>
    </oc>
    <nc r="F113"/>
  </rcc>
  <rcc rId="2923" sId="13">
    <oc r="F114">
      <f>E114*D114</f>
    </oc>
    <nc r="F114"/>
  </rcc>
  <rcc rId="2924" sId="13">
    <oc r="F115">
      <f>E115*D115</f>
    </oc>
    <nc r="F115"/>
  </rcc>
  <rcc rId="2925" sId="13">
    <oc r="F116">
      <f>E116*D116</f>
    </oc>
    <nc r="F116"/>
  </rcc>
  <rcc rId="2926" sId="13">
    <oc r="F117">
      <f>E117*D117</f>
    </oc>
    <nc r="F117"/>
  </rcc>
  <rcc rId="2927" sId="13">
    <oc r="F118">
      <f>E118*D118</f>
    </oc>
    <nc r="F118"/>
  </rcc>
  <rcc rId="2928" sId="13">
    <oc r="F119">
      <f>E119*D119</f>
    </oc>
    <nc r="F119"/>
  </rcc>
  <rcc rId="2929" sId="13">
    <oc r="F120">
      <f>E120*D120</f>
    </oc>
    <nc r="F120"/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0" sId="13" odxf="1" s="1" dxf="1">
    <nc r="A145">
      <v>5591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ndxf>
  </rcc>
  <rcc rId="2931" sId="13" odxf="1" s="1" dxf="1">
    <nc r="B145" t="inlineStr">
      <is>
        <t>ХимСервис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alignment horizontal="left" vertical="center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ndxf>
  </rcc>
  <rcc rId="2932" sId="13" odxf="1" s="1" dxf="1">
    <nc r="C145" t="inlineStr">
      <is>
        <t>Изготовление "Фланец защитный"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odxf>
    <ndxf>
      <alignment horizontal="left" vertical="center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ndxf>
  </rcc>
  <rfmt sheetId="13" s="1" sqref="D145" start="0" length="0"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cc rId="2933" sId="13">
    <nc r="D145">
      <v>115</v>
    </nc>
  </rcc>
  <rcc rId="2934" sId="13" numFmtId="11">
    <nc r="E145">
      <v>190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C638750-2D78-446E-B8DA-A6202AF1ED31}" action="delete"/>
  <rdn rId="0" localSheetId="3" customView="1" name="Z_8C638750_2D78_446E_B8DA_A6202AF1ED31_.wvu.PrintTitles" hidden="1" oldHidden="1">
    <formula>'январь 2019'!$4:$7</formula>
    <oldFormula>'январь 2019'!$4:$7</oldFormula>
  </rdn>
  <rdn rId="0" localSheetId="5" customView="1" name="Z_8C638750_2D78_446E_B8DA_A6202AF1ED31_.wvu.PrintTitles" hidden="1" oldHidden="1">
    <formula>'февраль 2019'!$4:$7</formula>
    <oldFormula>'февраль 2019'!$4:$7</oldFormula>
  </rdn>
  <rdn rId="0" localSheetId="6" customView="1" name="Z_8C638750_2D78_446E_B8DA_A6202AF1ED31_.wvu.PrintArea" hidden="1" oldHidden="1">
    <formula>'март 2019 Эпотос-К'!$B$7:$G$93</formula>
    <oldFormula>'март 2019 Эпотос-К'!$B$7:$G$93</oldFormula>
  </rdn>
  <rdn rId="0" localSheetId="7" customView="1" name="Z_8C638750_2D78_446E_B8DA_A6202AF1ED31_.wvu.PrintArea" hidden="1" oldHidden="1">
    <formula>'март 2019'!$B$8:$H$246</formula>
    <oldFormula>'март 2019'!$B$8:$H$246</oldFormula>
  </rdn>
  <rdn rId="0" localSheetId="7" customView="1" name="Z_8C638750_2D78_446E_B8DA_A6202AF1ED31_.wvu.PrintTitles" hidden="1" oldHidden="1">
    <formula>'март 2019'!$4:$7</formula>
    <oldFormula>'март 2019'!$4:$7</oldFormula>
  </rdn>
  <rdn rId="0" localSheetId="8" customView="1" name="Z_8C638750_2D78_446E_B8DA_A6202AF1ED31_.wvu.PrintArea" hidden="1" oldHidden="1">
    <formula>'апрель 2019 Эпотос-К'!$B$7:$G$93</formula>
    <oldFormula>'апрель 2019 Эпотос-К'!$B$7:$G$93</oldFormula>
  </rdn>
  <rdn rId="0" localSheetId="9" customView="1" name="Z_8C638750_2D78_446E_B8DA_A6202AF1ED31_.wvu.PrintArea" hidden="1" oldHidden="1">
    <formula>'апрель 2019'!$B$8:$H$227</formula>
    <oldFormula>'апрель 2019'!$B$8:$H$227</oldFormula>
  </rdn>
  <rdn rId="0" localSheetId="9" customView="1" name="Z_8C638750_2D78_446E_B8DA_A6202AF1ED31_.wvu.PrintTitles" hidden="1" oldHidden="1">
    <formula>'апрель 2019'!$4:$7</formula>
    <oldFormula>'апрель 2019'!$4:$7</oldFormula>
  </rdn>
  <rdn rId="0" localSheetId="10" customView="1" name="Z_8C638750_2D78_446E_B8DA_A6202AF1ED31_.wvu.PrintArea" hidden="1" oldHidden="1">
    <formula>'май 2019 Эпотос-К'!$A$7:$B$82</formula>
    <oldFormula>'май 2019 Эпотос-К'!$A$7:$B$82</oldFormula>
  </rdn>
  <rdn rId="0" localSheetId="10" customView="1" name="Z_8C638750_2D78_446E_B8DA_A6202AF1ED31_.wvu.Cols" hidden="1" oldHidden="1">
    <formula>'май 2019 Эпотос-К'!$S:$V</formula>
    <oldFormula>'май 2019 Эпотос-К'!$S:$V</oldFormula>
  </rdn>
  <rdn rId="0" localSheetId="11" customView="1" name="Z_8C638750_2D78_446E_B8DA_A6202AF1ED31_.wvu.PrintArea" hidden="1" oldHidden="1">
    <formula>'май 2019'!$B$8:$H$226</formula>
    <oldFormula>'май 2019'!$B$8:$H$226</oldFormula>
  </rdn>
  <rdn rId="0" localSheetId="11" customView="1" name="Z_8C638750_2D78_446E_B8DA_A6202AF1ED31_.wvu.PrintTitles" hidden="1" oldHidden="1">
    <formula>'май 2019'!$4:$7</formula>
    <oldFormula>'май 2019'!$4:$7</oldFormula>
  </rdn>
  <rdn rId="0" localSheetId="11" customView="1" name="Z_8C638750_2D78_446E_B8DA_A6202AF1ED31_.wvu.Cols" hidden="1" oldHidden="1">
    <formula>'май 2019'!$S:$V</formula>
    <oldFormula>'май 2019'!$S:$V</oldFormula>
  </rdn>
  <rdn rId="0" localSheetId="12" customView="1" name="Z_8C638750_2D78_446E_B8DA_A6202AF1ED31_.wvu.PrintArea" hidden="1" oldHidden="1">
    <formula>'июнь 2019 Эпотос-К'!$B$47:$D$56</formula>
    <oldFormula>'июнь 2019 Эпотос-К'!$B$47:$D$56</oldFormula>
  </rdn>
  <rdn rId="0" localSheetId="12" customView="1" name="Z_8C638750_2D78_446E_B8DA_A6202AF1ED31_.wvu.Cols" hidden="1" oldHidden="1">
    <formula>'июнь 2019 Эпотос-К'!$S:$V</formula>
    <oldFormula>'июнь 2019 Эпотос-К'!$S:$V</oldFormula>
  </rdn>
  <rdn rId="0" localSheetId="13" customView="1" name="Z_8C638750_2D78_446E_B8DA_A6202AF1ED31_.wvu.PrintArea" hidden="1" oldHidden="1">
    <formula>'июнь 2019'!$B$8:$H$157</formula>
    <oldFormula>'июнь 2019'!$B$8:$H$157</oldFormula>
  </rdn>
  <rdn rId="0" localSheetId="13" customView="1" name="Z_8C638750_2D78_446E_B8DA_A6202AF1ED31_.wvu.PrintTitles" hidden="1" oldHidden="1">
    <formula>'июнь 2019'!$4:$7</formula>
    <oldFormula>'июнь 2019'!$4:$7</oldFormula>
  </rdn>
  <rdn rId="0" localSheetId="13" customView="1" name="Z_8C638750_2D78_446E_B8DA_A6202AF1ED31_.wvu.Cols" hidden="1" oldHidden="1">
    <formula>'июнь 2019'!$S:$V</formula>
    <oldFormula>'июнь 2019'!$S:$V</oldFormula>
  </rdn>
  <rdn rId="0" localSheetId="14" customView="1" name="Z_8C638750_2D78_446E_B8DA_A6202AF1ED31_.wvu.PrintArea" hidden="1" oldHidden="1">
    <formula>'обзор 2019'!$B$3:$M$18</formula>
    <oldFormula>'обзор 2019'!$B$3:$M$18</oldFormula>
  </rdn>
  <rdn rId="0" localSheetId="15" customView="1" name="Z_8C638750_2D78_446E_B8DA_A6202AF1ED31_.wvu.PrintArea" hidden="1" oldHidden="1">
    <formula>'обзор 2018'!$B$3:$M$18</formula>
    <oldFormula>'обзор 2018'!$B$3:$M$18</oldFormula>
  </rdn>
  <rdn rId="0" localSheetId="16" customView="1" name="Z_8C638750_2D78_446E_B8DA_A6202AF1ED31_.wvu.PrintArea" hidden="1" oldHidden="1">
    <formula>'обзор 2017'!$B$3:$M$18</formula>
    <oldFormula>'обзор 2017'!$B$3:$M$18</oldFormula>
  </rdn>
  <rdn rId="0" localSheetId="17" customView="1" name="Z_8C638750_2D78_446E_B8DA_A6202AF1ED31_.wvu.PrintArea" hidden="1" oldHidden="1">
    <formula>'обзор 2016'!$B$3:$Q$19</formula>
    <oldFormula>'обзор 2016'!$B$3:$Q$19</oldFormula>
  </rdn>
  <rdn rId="0" localSheetId="17" customView="1" name="Z_8C638750_2D78_446E_B8DA_A6202AF1ED31_.wvu.Cols" hidden="1" oldHidden="1">
    <formula>'обзор 2016'!$A:$A</formula>
    <oldFormula>'обзор 2016'!$A:$A</oldFormula>
  </rdn>
  <rdn rId="0" localSheetId="18" customView="1" name="Z_8C638750_2D78_446E_B8DA_A6202AF1ED31_.wvu.PrintArea" hidden="1" oldHidden="1">
    <formula>'объёмы 2019'!$A$3:$T$98</formula>
    <oldFormula>'объёмы 2019'!$A$3:$T$98</oldFormula>
  </rdn>
  <rdn rId="0" localSheetId="18" customView="1" name="Z_8C638750_2D78_446E_B8DA_A6202AF1ED31_.wvu.PrintTitles" hidden="1" oldHidden="1">
    <formula>'объёмы 2019'!$5:$6</formula>
    <oldFormula>'объёмы 2019'!$5:$6</oldFormula>
  </rdn>
  <rcv guid="{8C638750-2D78-446E-B8DA-A6202AF1ED31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11">
    <nc r="G208">
      <v>1</v>
    </nc>
  </rcc>
  <rcc rId="300" sId="11">
    <nc r="G169">
      <v>80</v>
    </nc>
  </rcc>
  <rcc rId="301" sId="11">
    <nc r="G164">
      <v>50</v>
    </nc>
  </rcc>
  <rcc rId="302" sId="11">
    <nc r="G161">
      <v>10</v>
    </nc>
  </rcc>
  <rcc rId="303" sId="11">
    <nc r="G162">
      <v>1</v>
    </nc>
  </rcc>
  <rcc rId="304" sId="11">
    <nc r="G102">
      <v>1</v>
    </nc>
  </rcc>
  <rcc rId="305" sId="11">
    <nc r="G103">
      <v>1</v>
    </nc>
  </rcc>
  <rcc rId="306" sId="11">
    <nc r="G104">
      <v>1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="1" sqref="A145" start="0" length="0">
    <dxf>
      <numFmt numFmtId="30" formatCode="@"/>
      <fill>
        <patternFill patternType="solid">
          <bgColor theme="6" tint="-0.249977111117893"/>
        </patternFill>
      </fill>
      <alignment horizontal="general" vertical="bottom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1"/>
    </dxf>
  </rfmt>
  <rfmt sheetId="13" s="1" sqref="B145" start="0" length="0">
    <dxf>
      <alignment horizontal="general" vertical="bottom" readingOrder="0"/>
      <border outline="0">
        <left style="medium">
          <color indexed="64"/>
        </left>
        <right style="medium">
          <color indexed="64"/>
        </right>
        <top/>
        <bottom/>
      </border>
    </dxf>
  </rfmt>
  <rfmt sheetId="13" s="1" sqref="C145" start="0" length="0">
    <dxf>
      <alignment horizontal="general" vertical="bottom" readingOrder="0"/>
      <border outline="0">
        <left style="medium">
          <color indexed="64"/>
        </left>
        <right/>
        <top/>
        <bottom/>
      </border>
      <protection locked="1"/>
    </dxf>
  </rfmt>
  <rfmt sheetId="13" s="1" sqref="D145" start="0" length="0"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dxf>
  </rfmt>
  <rfmt sheetId="13" sqref="E145" start="0" length="0">
    <dxf>
      <border outline="0">
        <left/>
      </border>
    </dxf>
  </rfmt>
  <rcc rId="2960" sId="13">
    <oc r="F145">
      <f>E145*D145</f>
    </oc>
    <nc r="F145">
      <f>E145*D145</f>
    </nc>
  </rcc>
  <rcc rId="2961" sId="13">
    <oc r="L145">
      <f>E145*(H145+I145+J145+K145)</f>
    </oc>
    <nc r="L145">
      <f>E145*(H145+I145+J145+K145)</f>
    </nc>
  </rcc>
  <rcc rId="2962" sId="13">
    <oc r="S145">
      <f>H145*E145</f>
    </oc>
    <nc r="S145">
      <f>H145*E145</f>
    </nc>
  </rcc>
  <rcc rId="2963" sId="13">
    <oc r="T145">
      <f>I145*E145</f>
    </oc>
    <nc r="T145">
      <f>I145*E145</f>
    </nc>
  </rcc>
  <rcc rId="2964" sId="13">
    <oc r="U145">
      <f>J145*E145</f>
    </oc>
    <nc r="U145">
      <f>J145*E145</f>
    </nc>
  </rcc>
  <rcc rId="2965" sId="13">
    <oc r="V145">
      <f>K145*E145</f>
    </oc>
    <nc r="V145">
      <f>K145*E145</f>
    </nc>
  </rcc>
  <rcv guid="{06317133-151B-4DBC-8EB3-9345BA061F91}" action="delete"/>
  <rdn rId="0" localSheetId="3" customView="1" name="Z_06317133_151B_4DBC_8EB3_9345BA061F91_.wvu.PrintTitles" hidden="1" oldHidden="1">
    <formula>'январь 2019'!$4:$7</formula>
    <oldFormula>'январь 2019'!$4:$7</oldFormula>
  </rdn>
  <rdn rId="0" localSheetId="5" customView="1" name="Z_06317133_151B_4DBC_8EB3_9345BA061F91_.wvu.PrintTitles" hidden="1" oldHidden="1">
    <formula>'февраль 2019'!$4:$7</formula>
    <oldFormula>'февраль 2019'!$4:$7</oldFormula>
  </rdn>
  <rdn rId="0" localSheetId="6" customView="1" name="Z_06317133_151B_4DBC_8EB3_9345BA061F91_.wvu.PrintArea" hidden="1" oldHidden="1">
    <formula>'март 2019 Эпотос-К'!$B$7:$G$93</formula>
    <oldFormula>'март 2019 Эпотос-К'!$B$7:$G$93</oldFormula>
  </rdn>
  <rdn rId="0" localSheetId="7" customView="1" name="Z_06317133_151B_4DBC_8EB3_9345BA061F91_.wvu.PrintTitles" hidden="1" oldHidden="1">
    <formula>'март 2019'!$4:$7</formula>
    <oldFormula>'март 2019'!$4:$7</oldFormula>
  </rdn>
  <rdn rId="0" localSheetId="8" customView="1" name="Z_06317133_151B_4DBC_8EB3_9345BA061F91_.wvu.PrintArea" hidden="1" oldHidden="1">
    <formula>'апрель 2019 Эпотос-К'!$B$7:$G$93</formula>
    <oldFormula>'апрель 2019 Эпотос-К'!$B$7:$G$93</oldFormula>
  </rdn>
  <rdn rId="0" localSheetId="9" customView="1" name="Z_06317133_151B_4DBC_8EB3_9345BA061F91_.wvu.PrintTitles" hidden="1" oldHidden="1">
    <formula>'апрель 2019'!$4:$7</formula>
    <oldFormula>'апрель 2019'!$4:$7</oldFormula>
  </rdn>
  <rdn rId="0" localSheetId="10" customView="1" name="Z_06317133_151B_4DBC_8EB3_9345BA061F91_.wvu.PrintArea" hidden="1" oldHidden="1">
    <formula>'май 2019 Эпотос-К'!$A$7:$B$82</formula>
    <oldFormula>'май 2019 Эпотос-К'!$A$7:$B$82</oldFormula>
  </rdn>
  <rdn rId="0" localSheetId="10" customView="1" name="Z_06317133_151B_4DBC_8EB3_9345BA061F91_.wvu.Cols" hidden="1" oldHidden="1">
    <formula>'май 2019 Эпотос-К'!$S:$V</formula>
    <oldFormula>'май 2019 Эпотос-К'!$S:$V</oldFormula>
  </rdn>
  <rdn rId="0" localSheetId="11" customView="1" name="Z_06317133_151B_4DBC_8EB3_9345BA061F91_.wvu.PrintTitles" hidden="1" oldHidden="1">
    <formula>'май 2019'!$4:$7</formula>
    <oldFormula>'май 2019'!$4:$7</oldFormula>
  </rdn>
  <rdn rId="0" localSheetId="11" customView="1" name="Z_06317133_151B_4DBC_8EB3_9345BA061F91_.wvu.Cols" hidden="1" oldHidden="1">
    <formula>'май 2019'!$S:$V</formula>
    <oldFormula>'май 2019'!$S:$V</oldFormula>
  </rdn>
  <rdn rId="0" localSheetId="12" customView="1" name="Z_06317133_151B_4DBC_8EB3_9345BA061F91_.wvu.PrintArea" hidden="1" oldHidden="1">
    <formula>'июнь 2019 Эпотос-К'!$B$47:$D$56</formula>
    <oldFormula>'июнь 2019 Эпотос-К'!$B$47:$D$56</oldFormula>
  </rdn>
  <rdn rId="0" localSheetId="12" customView="1" name="Z_06317133_151B_4DBC_8EB3_9345BA061F91_.wvu.Cols" hidden="1" oldHidden="1">
    <formula>'июнь 2019 Эпотос-К'!$S:$V</formula>
    <oldFormula>'июнь 2019 Эпотос-К'!$S:$V</oldFormula>
  </rdn>
  <rdn rId="0" localSheetId="13" customView="1" name="Z_06317133_151B_4DBC_8EB3_9345BA061F91_.wvu.PrintTitles" hidden="1" oldHidden="1">
    <formula>'июнь 2019'!$4:$7</formula>
    <oldFormula>'июнь 2019'!$4:$7</oldFormula>
  </rdn>
  <rdn rId="0" localSheetId="13" customView="1" name="Z_06317133_151B_4DBC_8EB3_9345BA061F91_.wvu.Cols" hidden="1" oldHidden="1">
    <formula>'июнь 2019'!$S:$V</formula>
    <oldFormula>'июнь 2019'!$S:$V</oldFormula>
  </rdn>
  <rdn rId="0" localSheetId="14" customView="1" name="Z_06317133_151B_4DBC_8EB3_9345BA061F91_.wvu.PrintArea" hidden="1" oldHidden="1">
    <formula>'обзор 2019'!$B$3:$M$18</formula>
    <oldFormula>'обзор 2019'!$B$3:$M$18</oldFormula>
  </rdn>
  <rdn rId="0" localSheetId="15" customView="1" name="Z_06317133_151B_4DBC_8EB3_9345BA061F91_.wvu.PrintArea" hidden="1" oldHidden="1">
    <formula>'обзор 2018'!$B$3:$M$18</formula>
    <oldFormula>'обзор 2018'!$B$3:$M$18</oldFormula>
  </rdn>
  <rdn rId="0" localSheetId="16" customView="1" name="Z_06317133_151B_4DBC_8EB3_9345BA061F91_.wvu.PrintArea" hidden="1" oldHidden="1">
    <formula>'обзор 2017'!$B$3:$M$18</formula>
    <oldFormula>'обзор 2017'!$B$3:$M$18</oldFormula>
  </rdn>
  <rdn rId="0" localSheetId="17" customView="1" name="Z_06317133_151B_4DBC_8EB3_9345BA061F91_.wvu.PrintArea" hidden="1" oldHidden="1">
    <formula>'обзор 2016'!$B$3:$Q$19</formula>
    <oldFormula>'обзор 2016'!$B$3:$Q$19</oldFormula>
  </rdn>
  <rdn rId="0" localSheetId="17" customView="1" name="Z_06317133_151B_4DBC_8EB3_9345BA061F91_.wvu.Cols" hidden="1" oldHidden="1">
    <formula>'обзор 2016'!$A:$A</formula>
    <oldFormula>'обзор 2016'!$A:$A</oldFormula>
  </rdn>
  <rdn rId="0" localSheetId="18" customView="1" name="Z_06317133_151B_4DBC_8EB3_9345BA061F91_.wvu.PrintArea" hidden="1" oldHidden="1">
    <formula>'объёмы 2019'!$A$3:$U$98</formula>
    <oldFormula>'объёмы 2019'!$A$3:$U$98</oldFormula>
  </rdn>
  <rdn rId="0" localSheetId="18" customView="1" name="Z_06317133_151B_4DBC_8EB3_9345BA061F91_.wvu.PrintTitles" hidden="1" oldHidden="1">
    <formula>'объёмы 2019'!$5:$6</formula>
    <oldFormula>'объёмы 2019'!$5:$6</oldFormula>
  </rdn>
  <rcv guid="{06317133-151B-4DBC-8EB3-9345BA061F91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A143" start="0" length="0">
    <dxf>
      <fill>
        <patternFill patternType="none">
          <bgColor indexed="65"/>
        </patternFill>
      </fill>
      <alignment horizontal="right" vertical="center" readingOrder="0"/>
      <border outline="0">
        <bottom style="thin">
          <color indexed="64"/>
        </bottom>
      </border>
    </dxf>
  </rfmt>
  <rfmt sheetId="13" sqref="A143">
    <dxf>
      <fill>
        <patternFill patternType="solid">
          <bgColor theme="6" tint="-0.249977111117893"/>
        </patternFill>
      </fill>
    </dxf>
  </rfmt>
  <rfmt sheetId="13" sqref="A145" start="0" length="0">
    <dxf>
      <alignment horizontal="right" vertical="center" readingOrder="0"/>
      <border outline="0">
        <bottom style="thin">
          <color indexed="64"/>
        </bottom>
      </border>
    </dxf>
  </rfmt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A113" start="0" length="0">
    <dxf>
      <font>
        <sz val="10"/>
        <color indexed="8"/>
        <name val="Arial"/>
        <scheme val="none"/>
      </font>
      <alignment horizontal="right" vertical="center" readingOrder="0"/>
      <border outline="0">
        <bottom style="thin">
          <color indexed="64"/>
        </bottom>
      </border>
    </dxf>
  </rfmt>
  <rfmt sheetId="13" sqref="B113" start="0" length="0">
    <dxf>
      <font>
        <sz val="10"/>
        <color indexed="8"/>
        <name val="Arial"/>
        <scheme val="none"/>
      </font>
      <alignment vertical="center" readingOrder="0"/>
    </dxf>
  </rfmt>
  <rfmt sheetId="13" sqref="C113" start="0" length="0">
    <dxf>
      <font>
        <sz val="10"/>
        <color indexed="8"/>
        <name val="Arial"/>
        <scheme val="none"/>
      </font>
      <alignment horizontal="left" vertical="center" readingOrder="0"/>
      <protection locked="0"/>
    </dxf>
  </rfmt>
  <rfmt sheetId="13" sqref="D113" start="0" length="0">
    <dxf>
      <font>
        <sz val="10"/>
        <color indexed="8"/>
        <name val="Arial"/>
        <scheme val="none"/>
      </font>
      <alignment horizontal="center" vertical="center" readingOrder="0"/>
    </dxf>
  </rfmt>
  <rfmt sheetId="13" sqref="E113" start="0" length="0">
    <dxf>
      <font>
        <sz val="10"/>
        <color indexed="8"/>
        <name val="Arial"/>
        <scheme val="none"/>
      </font>
      <numFmt numFmtId="176" formatCode="#,##0.00[$р.-419];\-#,##0.00[$р.-419]"/>
      <border outline="0">
        <top style="thin">
          <color indexed="64"/>
        </top>
        <bottom style="thin">
          <color indexed="64"/>
        </bottom>
      </border>
    </dxf>
  </rfmt>
  <rcc rId="2987" sId="13">
    <oc r="L113">
      <f>E113*(H113+I113+J113+K113)</f>
    </oc>
    <nc r="L113">
      <f>E113*(H113+I113+J113+K113)</f>
    </nc>
  </rcc>
  <rfmt sheetId="13" sqref="A114" start="0" length="0">
    <dxf>
      <font>
        <sz val="10"/>
        <color indexed="8"/>
        <name val="Arial"/>
        <scheme val="none"/>
      </font>
      <alignment horizontal="right" vertical="center" readingOrder="0"/>
      <border outline="0">
        <bottom style="thin">
          <color indexed="64"/>
        </bottom>
      </border>
    </dxf>
  </rfmt>
  <rfmt sheetId="13" sqref="B114" start="0" length="0">
    <dxf>
      <font>
        <sz val="10"/>
        <color indexed="8"/>
        <name val="Arial"/>
        <scheme val="none"/>
      </font>
      <alignment vertical="center" readingOrder="0"/>
    </dxf>
  </rfmt>
  <rfmt sheetId="13" sqref="C114" start="0" length="0">
    <dxf>
      <font>
        <sz val="10"/>
        <color indexed="8"/>
        <name val="Arial"/>
        <scheme val="none"/>
      </font>
      <alignment horizontal="left" vertical="center" readingOrder="0"/>
      <protection locked="0"/>
    </dxf>
  </rfmt>
  <rfmt sheetId="13" sqref="D114" start="0" length="0">
    <dxf>
      <font>
        <sz val="10"/>
        <color indexed="8"/>
        <name val="Arial"/>
        <scheme val="none"/>
      </font>
      <alignment horizontal="center" vertical="center" readingOrder="0"/>
    </dxf>
  </rfmt>
  <rfmt sheetId="13" sqref="E114" start="0" length="0">
    <dxf>
      <font>
        <sz val="10"/>
        <color indexed="8"/>
        <name val="Arial"/>
        <scheme val="none"/>
      </font>
      <numFmt numFmtId="176" formatCode="#,##0.00[$р.-419];\-#,##0.00[$р.-419]"/>
      <border outline="0">
        <top style="thin">
          <color indexed="64"/>
        </top>
        <bottom style="thin">
          <color indexed="64"/>
        </bottom>
      </border>
    </dxf>
  </rfmt>
  <rcc rId="2988" sId="13">
    <oc r="L114">
      <f>E114*(H114+I114+J114+K114)</f>
    </oc>
    <nc r="L114">
      <f>E114*(H114+I114+J114+K114)</f>
    </nc>
  </rcc>
  <rfmt sheetId="13" sqref="A115" start="0" length="0">
    <dxf>
      <font>
        <sz val="10"/>
        <color indexed="8"/>
        <name val="Arial"/>
        <scheme val="none"/>
      </font>
      <alignment horizontal="right" vertical="center" readingOrder="0"/>
      <border outline="0">
        <bottom style="thin">
          <color indexed="64"/>
        </bottom>
      </border>
    </dxf>
  </rfmt>
  <rfmt sheetId="13" sqref="B115" start="0" length="0">
    <dxf>
      <font>
        <sz val="10"/>
        <color indexed="8"/>
        <name val="Arial"/>
        <scheme val="none"/>
      </font>
      <alignment vertical="center" readingOrder="0"/>
    </dxf>
  </rfmt>
  <rfmt sheetId="13" sqref="C115" start="0" length="0">
    <dxf>
      <font>
        <sz val="10"/>
        <color indexed="8"/>
        <name val="Arial"/>
        <scheme val="none"/>
      </font>
      <alignment horizontal="left" vertical="center" readingOrder="0"/>
      <protection locked="0"/>
    </dxf>
  </rfmt>
  <rfmt sheetId="13" sqref="D115" start="0" length="0">
    <dxf>
      <font>
        <sz val="10"/>
        <color indexed="8"/>
        <name val="Arial"/>
        <scheme val="none"/>
      </font>
      <alignment horizontal="center" vertical="center" readingOrder="0"/>
    </dxf>
  </rfmt>
  <rfmt sheetId="13" sqref="E115" start="0" length="0">
    <dxf>
      <font>
        <sz val="10"/>
        <color indexed="8"/>
        <name val="Arial"/>
        <scheme val="none"/>
      </font>
      <numFmt numFmtId="176" formatCode="#,##0.00[$р.-419];\-#,##0.00[$р.-419]"/>
      <border outline="0">
        <top style="thin">
          <color indexed="64"/>
        </top>
        <bottom style="thin">
          <color indexed="64"/>
        </bottom>
      </border>
    </dxf>
  </rfmt>
  <rcc rId="2989" sId="13">
    <oc r="L115">
      <f>E115*(H115+I115+J115+K115)</f>
    </oc>
    <nc r="L115">
      <f>E115*(H115+I115+J115+K115)</f>
    </nc>
  </rcc>
  <rfmt sheetId="13" sqref="A116" start="0" length="0">
    <dxf>
      <font>
        <sz val="10"/>
        <color indexed="8"/>
        <name val="Arial"/>
        <scheme val="none"/>
      </font>
      <alignment horizontal="right" vertical="center" readingOrder="0"/>
      <border outline="0">
        <bottom style="thin">
          <color indexed="64"/>
        </bottom>
      </border>
    </dxf>
  </rfmt>
  <rfmt sheetId="13" sqref="B116" start="0" length="0">
    <dxf>
      <font>
        <sz val="10"/>
        <color indexed="8"/>
        <name val="Arial"/>
        <scheme val="none"/>
      </font>
      <alignment vertical="center" readingOrder="0"/>
    </dxf>
  </rfmt>
  <rfmt sheetId="13" sqref="C116" start="0" length="0">
    <dxf>
      <font>
        <sz val="10"/>
        <color indexed="8"/>
        <name val="Arial"/>
        <scheme val="none"/>
      </font>
      <alignment horizontal="left" vertical="center" readingOrder="0"/>
      <protection locked="0"/>
    </dxf>
  </rfmt>
  <rfmt sheetId="13" sqref="D116" start="0" length="0">
    <dxf>
      <font>
        <sz val="10"/>
        <color indexed="8"/>
        <name val="Arial"/>
        <scheme val="none"/>
      </font>
      <alignment horizontal="center" vertical="center" readingOrder="0"/>
    </dxf>
  </rfmt>
  <rfmt sheetId="13" sqref="E116" start="0" length="0">
    <dxf>
      <font>
        <sz val="10"/>
        <color indexed="8"/>
        <name val="Arial"/>
        <scheme val="none"/>
      </font>
      <numFmt numFmtId="176" formatCode="#,##0.00[$р.-419];\-#,##0.00[$р.-419]"/>
      <border outline="0">
        <top style="thin">
          <color indexed="64"/>
        </top>
        <bottom style="thin">
          <color indexed="64"/>
        </bottom>
      </border>
    </dxf>
  </rfmt>
  <rcc rId="2990" sId="13">
    <oc r="L116">
      <f>E116*(H116+I116+J116+K116)</f>
    </oc>
    <nc r="L116">
      <f>E116*(H116+I116+J116+K116)</f>
    </nc>
  </rcc>
  <rfmt sheetId="13" sqref="A117" start="0" length="0">
    <dxf>
      <font>
        <sz val="10"/>
        <color indexed="8"/>
        <name val="Arial"/>
        <scheme val="none"/>
      </font>
      <alignment horizontal="right" vertical="center" readingOrder="0"/>
      <border outline="0">
        <bottom style="thin">
          <color indexed="64"/>
        </bottom>
      </border>
    </dxf>
  </rfmt>
  <rfmt sheetId="13" sqref="B117" start="0" length="0">
    <dxf>
      <font>
        <sz val="10"/>
        <color indexed="8"/>
        <name val="Arial"/>
        <scheme val="none"/>
      </font>
      <alignment vertical="center" readingOrder="0"/>
    </dxf>
  </rfmt>
  <rfmt sheetId="13" sqref="C117" start="0" length="0">
    <dxf>
      <font>
        <sz val="10"/>
        <color indexed="8"/>
        <name val="Arial"/>
        <scheme val="none"/>
      </font>
      <alignment horizontal="left" vertical="center" readingOrder="0"/>
      <protection locked="0"/>
    </dxf>
  </rfmt>
  <rfmt sheetId="13" sqref="D117" start="0" length="0">
    <dxf>
      <font>
        <sz val="10"/>
        <color indexed="8"/>
        <name val="Arial"/>
        <scheme val="none"/>
      </font>
      <alignment horizontal="center" vertical="center" readingOrder="0"/>
    </dxf>
  </rfmt>
  <rfmt sheetId="13" sqref="E117" start="0" length="0">
    <dxf>
      <font>
        <sz val="10"/>
        <color indexed="8"/>
        <name val="Arial"/>
        <scheme val="none"/>
      </font>
      <numFmt numFmtId="176" formatCode="#,##0.00[$р.-419];\-#,##0.00[$р.-419]"/>
      <border outline="0">
        <top style="thin">
          <color indexed="64"/>
        </top>
        <bottom style="thin">
          <color indexed="64"/>
        </bottom>
      </border>
    </dxf>
  </rfmt>
  <rcc rId="2991" sId="13">
    <oc r="L117">
      <f>E117*(H117+I117+J117+K117)</f>
    </oc>
    <nc r="L117">
      <f>E117*(H117+I117+J117+K117)</f>
    </nc>
  </rcc>
  <rfmt sheetId="13" sqref="A118" start="0" length="0">
    <dxf>
      <font>
        <sz val="10"/>
        <color indexed="8"/>
        <name val="Arial"/>
        <scheme val="none"/>
      </font>
      <alignment horizontal="right" vertical="center" readingOrder="0"/>
      <border outline="0">
        <bottom style="thin">
          <color indexed="64"/>
        </bottom>
      </border>
    </dxf>
  </rfmt>
  <rfmt sheetId="13" sqref="B118" start="0" length="0">
    <dxf>
      <font>
        <sz val="10"/>
        <color indexed="8"/>
        <name val="Arial"/>
        <scheme val="none"/>
      </font>
      <alignment vertical="center" readingOrder="0"/>
    </dxf>
  </rfmt>
  <rfmt sheetId="13" sqref="C118" start="0" length="0">
    <dxf>
      <font>
        <sz val="10"/>
        <color indexed="8"/>
        <name val="Arial"/>
        <scheme val="none"/>
      </font>
      <alignment horizontal="left" vertical="center" readingOrder="0"/>
      <protection locked="0"/>
    </dxf>
  </rfmt>
  <rfmt sheetId="13" sqref="D118" start="0" length="0">
    <dxf>
      <font>
        <sz val="10"/>
        <color indexed="8"/>
        <name val="Arial"/>
        <scheme val="none"/>
      </font>
      <alignment horizontal="center" vertical="center" readingOrder="0"/>
    </dxf>
  </rfmt>
  <rfmt sheetId="13" sqref="E118" start="0" length="0">
    <dxf>
      <font>
        <sz val="10"/>
        <color indexed="8"/>
        <name val="Arial"/>
        <scheme val="none"/>
      </font>
      <numFmt numFmtId="176" formatCode="#,##0.00[$р.-419];\-#,##0.00[$р.-419]"/>
      <border outline="0">
        <top style="thin">
          <color indexed="64"/>
        </top>
        <bottom style="thin">
          <color indexed="64"/>
        </bottom>
      </border>
    </dxf>
  </rfmt>
  <rcc rId="2992" sId="13">
    <oc r="L118">
      <f>E118*(H118+I118+J118+K118)</f>
    </oc>
    <nc r="L118">
      <f>E118*(H118+I118+J118+K118)</f>
    </nc>
  </rcc>
  <rfmt sheetId="13" sqref="A119" start="0" length="0">
    <dxf>
      <font>
        <sz val="10"/>
        <color indexed="8"/>
        <name val="Arial"/>
        <scheme val="none"/>
      </font>
      <alignment horizontal="right" vertical="center" readingOrder="0"/>
      <border outline="0">
        <bottom style="thin">
          <color indexed="64"/>
        </bottom>
      </border>
    </dxf>
  </rfmt>
  <rfmt sheetId="13" sqref="B119" start="0" length="0">
    <dxf>
      <font>
        <sz val="10"/>
        <color indexed="8"/>
        <name val="Arial"/>
        <scheme val="none"/>
      </font>
      <alignment vertical="center" readingOrder="0"/>
    </dxf>
  </rfmt>
  <rfmt sheetId="13" sqref="C119" start="0" length="0">
    <dxf>
      <font>
        <sz val="10"/>
        <color indexed="8"/>
        <name val="Arial"/>
        <scheme val="none"/>
      </font>
      <alignment horizontal="left" vertical="center" readingOrder="0"/>
      <protection locked="0"/>
    </dxf>
  </rfmt>
  <rfmt sheetId="13" sqref="D119" start="0" length="0">
    <dxf>
      <font>
        <sz val="10"/>
        <color indexed="8"/>
        <name val="Arial"/>
        <scheme val="none"/>
      </font>
      <alignment horizontal="center" vertical="center" readingOrder="0"/>
    </dxf>
  </rfmt>
  <rfmt sheetId="13" sqref="E119" start="0" length="0">
    <dxf>
      <font>
        <sz val="10"/>
        <color indexed="8"/>
        <name val="Arial"/>
        <scheme val="none"/>
      </font>
      <numFmt numFmtId="176" formatCode="#,##0.00[$р.-419];\-#,##0.00[$р.-419]"/>
      <border outline="0">
        <top style="thin">
          <color indexed="64"/>
        </top>
        <bottom style="thin">
          <color indexed="64"/>
        </bottom>
      </border>
    </dxf>
  </rfmt>
  <rcc rId="2993" sId="13">
    <oc r="L119">
      <f>E119*(H119+I119+J119+K119)</f>
    </oc>
    <nc r="L119">
      <f>E119*(H119+I119+J119+K119)</f>
    </nc>
  </rcc>
  <rfmt sheetId="13" sqref="A120" start="0" length="0">
    <dxf>
      <font>
        <sz val="10"/>
        <color indexed="8"/>
        <name val="Arial"/>
        <scheme val="none"/>
      </font>
      <alignment horizontal="right" vertical="center" readingOrder="0"/>
      <border outline="0">
        <bottom style="thin">
          <color indexed="64"/>
        </bottom>
      </border>
    </dxf>
  </rfmt>
  <rfmt sheetId="13" sqref="B120" start="0" length="0">
    <dxf>
      <font>
        <sz val="10"/>
        <color indexed="8"/>
        <name val="Arial"/>
        <scheme val="none"/>
      </font>
      <alignment vertical="center" readingOrder="0"/>
    </dxf>
  </rfmt>
  <rfmt sheetId="13" sqref="C120" start="0" length="0">
    <dxf>
      <font>
        <sz val="10"/>
        <color indexed="8"/>
        <name val="Arial"/>
        <scheme val="none"/>
      </font>
      <alignment horizontal="left" vertical="center" readingOrder="0"/>
      <protection locked="0"/>
    </dxf>
  </rfmt>
  <rfmt sheetId="13" sqref="D120" start="0" length="0">
    <dxf>
      <font>
        <sz val="10"/>
        <color indexed="8"/>
        <name val="Arial"/>
        <scheme val="none"/>
      </font>
      <alignment horizontal="center" vertical="center" readingOrder="0"/>
    </dxf>
  </rfmt>
  <rfmt sheetId="13" sqref="E120" start="0" length="0">
    <dxf>
      <font>
        <sz val="10"/>
        <color indexed="8"/>
        <name val="Arial"/>
        <scheme val="none"/>
      </font>
      <numFmt numFmtId="176" formatCode="#,##0.00[$р.-419];\-#,##0.00[$р.-419]"/>
      <border outline="0">
        <top style="thin">
          <color indexed="64"/>
        </top>
        <bottom style="thin">
          <color indexed="64"/>
        </bottom>
      </border>
    </dxf>
  </rfmt>
  <rcc rId="2994" sId="13">
    <oc r="L120">
      <f>E120*(H120+I120+J120+K120)</f>
    </oc>
    <nc r="L120">
      <f>E120*(H120+I120+J120+K120)</f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5" sId="13">
    <nc r="I145">
      <v>115</v>
    </nc>
  </rcc>
  <rfmt sheetId="13" sqref="A145">
    <dxf>
      <fill>
        <patternFill patternType="none">
          <bgColor auto="1"/>
        </patternFill>
      </fill>
    </dxf>
  </rfmt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9">
    <dxf>
      <fill>
        <patternFill>
          <bgColor rgb="FFFFFF00"/>
        </patternFill>
      </fill>
    </dxf>
  </rfmt>
  <rfmt sheetId="11" sqref="K11">
    <dxf>
      <fill>
        <patternFill>
          <bgColor rgb="FFFFFF00"/>
        </patternFill>
      </fill>
    </dxf>
  </rfmt>
  <rfmt sheetId="11" sqref="J101">
    <dxf>
      <fill>
        <patternFill>
          <bgColor rgb="FFFFFF00"/>
        </patternFill>
      </fill>
    </dxf>
  </rfmt>
  <rfmt sheetId="11" sqref="K161">
    <dxf>
      <fill>
        <patternFill>
          <bgColor rgb="FFFFFF00"/>
        </patternFill>
      </fill>
    </dxf>
  </rfmt>
  <rfmt sheetId="11" sqref="K164">
    <dxf>
      <fill>
        <patternFill>
          <bgColor rgb="FFFFFF00"/>
        </patternFill>
      </fill>
    </dxf>
  </rfmt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96" sId="13" ref="A31:XFD34" action="insertRow">
    <undo index="0" exp="area" ref3D="1" dr="$S$1:$V$1048576" dn="Z_06317133_151B_4DBC_8EB3_9345BA061F91_.wvu.Cols" sId="13"/>
    <undo index="0" exp="area" ref3D="1" dr="$S$1:$V$1048576" dn="Z_C29DA669_F4F9_44CD_9569_E796ADF74A86_.wvu.Cols" sId="13"/>
    <undo index="0" exp="area" ref3D="1" dr="$S$1:$V$1048576" dn="Z_45C31AC1_6FB2_488C_94EA_BCF9E79D0043_.wvu.Cols" sId="13"/>
    <undo index="0" exp="area" ref3D="1" dr="$S$1:$V$1048576" dn="Z_A1BD6C0C_B1B9_4F48_A6B1_3BFD273F4CD7_.wvu.Cols" sId="13"/>
    <undo index="0" exp="area" ref3D="1" dr="$S$1:$V$1048576" dn="Z_8C638750_2D78_446E_B8DA_A6202AF1ED31_.wvu.Cols" sId="13"/>
    <undo index="0" exp="area" ref3D="1" dr="$S$1:$V$1048576" dn="Z_845EA106_2CB5_4F86_BBCF_D0DE18153B1C_.wvu.Cols" sId="13"/>
    <undo index="0" exp="area" ref3D="1" dr="$S$1:$V$1048576" dn="Z_375BA386_B398_4A0E_AF86_4319F1FDDF11_.wvu.Cols" sId="13"/>
  </rrc>
  <rfmt sheetId="13" s="1" sqref="A31" start="0" length="0">
    <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31" start="0" length="0">
    <dxf>
      <font>
        <sz val="10"/>
        <color indexed="8"/>
        <name val="Arial"/>
        <scheme val="none"/>
      </font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31" start="0" length="0">
    <dxf>
      <font>
        <sz val="10"/>
        <color indexed="8"/>
        <name val="Arial"/>
        <scheme val="none"/>
      </font>
      <alignment horizontal="general" vertical="top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D31" start="0" length="0">
    <dxf>
      <font>
        <sz val="10"/>
        <color indexed="8"/>
        <name val="Arial"/>
        <scheme val="none"/>
      </font>
      <border outline="0">
        <left style="thin">
          <color indexed="64"/>
        </left>
        <right style="thin">
          <color indexed="64"/>
        </right>
      </border>
      <protection locked="0"/>
    </dxf>
  </rfmt>
  <rfmt sheetId="13" s="1" sqref="A32" start="0" length="0">
    <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32" start="0" length="0">
    <dxf>
      <font>
        <sz val="10"/>
        <color indexed="8"/>
        <name val="Arial"/>
        <scheme val="none"/>
      </font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32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D32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A33" start="0" length="0">
    <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33" start="0" length="0">
    <dxf>
      <font>
        <sz val="10"/>
        <color indexed="8"/>
        <name val="Arial"/>
        <scheme val="none"/>
      </font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33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D33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A34" start="0" length="0">
    <dxf>
      <font>
        <sz val="10"/>
        <color indexed="8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/>
      </border>
      <protection locked="0"/>
    </dxf>
  </rfmt>
  <rfmt sheetId="13" s="1" sqref="B34" start="0" length="0">
    <dxf>
      <font>
        <sz val="10"/>
        <color indexed="8"/>
        <name val="Arial"/>
        <scheme val="none"/>
      </font>
      <alignment horizontal="left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/>
    </dxf>
  </rfmt>
  <rfmt sheetId="13" s="1" sqref="C34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D34" start="0" length="0">
    <dxf>
      <font>
        <sz val="10"/>
        <color indexed="8"/>
        <name val="Arial"/>
        <scheme val="none"/>
      </font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/>
    </dxf>
  </rfmt>
  <rfmt sheetId="13" s="1" sqref="E31" start="0" length="0">
    <dxf>
      <font>
        <sz val="10"/>
        <color auto="1"/>
        <name val="Arial"/>
        <scheme val="none"/>
      </font>
      <numFmt numFmtId="179" formatCode="#,##0.00\ &quot;₽&quot;"/>
      <alignment horizontal="right" vertical="center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E32" start="0" length="0">
    <dxf>
      <font>
        <sz val="10"/>
        <color auto="1"/>
        <name val="Arial"/>
        <scheme val="none"/>
      </font>
      <numFmt numFmtId="179" formatCode="#,##0.00\ &quot;₽&quot;"/>
      <alignment horizontal="right" vertical="center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E33" start="0" length="0">
    <dxf>
      <font>
        <sz val="10"/>
        <color auto="1"/>
        <name val="Arial"/>
        <scheme val="none"/>
      </font>
      <numFmt numFmtId="179" formatCode="#,##0.00\ &quot;₽&quot;"/>
      <alignment horizontal="right" vertical="center" readingOrder="0"/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rfmt>
  <rfmt sheetId="13" s="1" sqref="E31" start="0" length="0">
    <dxf>
      <font>
        <sz val="10"/>
        <color indexed="8"/>
        <name val="Arial"/>
        <scheme val="none"/>
      </font>
      <numFmt numFmtId="176" formatCode="#,##0.00[$р.-419];\-#,##0.00[$р.-419]"/>
      <alignment horizontal="general" vertical="bottom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fmt sheetId="13" s="1" sqref="E32" start="0" length="0">
    <dxf>
      <font>
        <sz val="10"/>
        <color indexed="8"/>
        <name val="Arial"/>
        <scheme val="none"/>
      </font>
      <numFmt numFmtId="176" formatCode="#,##0.00[$р.-419];\-#,##0.00[$р.-419]"/>
      <alignment horizontal="general" vertical="bottom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fmt sheetId="13" s="1" sqref="E33" start="0" length="0">
    <dxf>
      <font>
        <sz val="10"/>
        <color indexed="8"/>
        <name val="Arial"/>
        <scheme val="none"/>
      </font>
      <numFmt numFmtId="176" formatCode="#,##0.00[$р.-419];\-#,##0.00[$р.-419]"/>
      <alignment horizontal="general" vertical="bottom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cc rId="2997" sId="13" odxf="1" s="1" dxf="1" numFmtId="30">
    <nc r="A31">
      <v>5601</v>
    </nc>
    <n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2998" sId="13" odxf="1" s="1" dxf="1">
    <nc r="B31" t="inlineStr">
      <is>
        <t>Полиспен</t>
      </is>
    </nc>
    <ndxf>
      <font>
        <sz val="10"/>
        <color indexed="8"/>
        <name val="Arial"/>
        <scheme val="none"/>
      </font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2999" sId="13" odxf="1" s="1" dxf="1">
    <nc r="C31" t="inlineStr">
      <is>
        <t>Восстановление резьбы Гайка гранулятора</t>
      </is>
    </nc>
    <ndxf>
      <font>
        <sz val="10"/>
        <color indexed="8"/>
        <name val="Arial"/>
        <scheme val="none"/>
      </font>
      <alignment horizontal="left" vertical="center" readingOrder="0"/>
      <border outline="0">
        <left/>
        <right/>
        <top style="thin">
          <color indexed="64"/>
        </top>
        <bottom style="thin">
          <color indexed="64"/>
        </bottom>
      </border>
      <protection locked="0"/>
    </ndxf>
  </rcc>
  <rcc rId="3000" sId="13" odxf="1" s="1" dxf="1">
    <nc r="D31">
      <v>9</v>
    </nc>
    <n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</border>
      <protection locked="1"/>
    </ndxf>
  </rcc>
  <rcc rId="3001" sId="13" numFmtId="11">
    <nc r="E31">
      <v>1980</v>
    </nc>
  </rcc>
  <rcc rId="3002" sId="13" odxf="1" s="1" dxf="1" numFmtId="30">
    <nc r="A32">
      <v>5602</v>
    </nc>
    <n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3003" sId="13" odxf="1" s="1" dxf="1">
    <nc r="B32" t="inlineStr">
      <is>
        <t>Полиспен</t>
      </is>
    </nc>
    <ndxf>
      <font>
        <sz val="10"/>
        <color indexed="8"/>
        <name val="Arial"/>
        <scheme val="none"/>
      </font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3004" sId="13" odxf="1" s="1" dxf="1">
    <nc r="C32" t="inlineStr">
      <is>
        <t>Нож неподвижный</t>
      </is>
    </nc>
    <ndxf>
      <font>
        <sz val="10"/>
        <color indexed="8"/>
        <name val="Arial"/>
        <scheme val="none"/>
      </font>
      <border outline="0">
        <left/>
        <right/>
        <top style="thin">
          <color indexed="64"/>
        </top>
        <bottom style="thin">
          <color indexed="64"/>
        </bottom>
      </border>
    </ndxf>
  </rcc>
  <rcc rId="3005" sId="13" odxf="1" s="1" dxf="1">
    <nc r="D32">
      <v>16</v>
    </nc>
    <n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3006" sId="13" numFmtId="11">
    <nc r="E32">
      <v>1950</v>
    </nc>
  </rcc>
  <rcc rId="3007" sId="13" odxf="1" s="1" dxf="1" numFmtId="30">
    <nc r="A33">
      <v>5603</v>
    </nc>
    <n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3008" sId="13" odxf="1" s="1" dxf="1">
    <nc r="B33" t="inlineStr">
      <is>
        <t>Полиспен</t>
      </is>
    </nc>
    <ndxf>
      <font>
        <sz val="10"/>
        <color indexed="8"/>
        <name val="Arial"/>
        <scheme val="none"/>
      </font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3009" sId="13" odxf="1" s="1" dxf="1">
    <nc r="C33" t="inlineStr">
      <is>
        <t>Направляющая</t>
      </is>
    </nc>
    <ndxf>
      <font>
        <sz val="10"/>
        <color indexed="8"/>
        <name val="Arial"/>
        <scheme val="none"/>
      </font>
      <border outline="0">
        <left/>
        <right/>
        <top style="thin">
          <color indexed="64"/>
        </top>
        <bottom style="thin">
          <color indexed="64"/>
        </bottom>
      </border>
    </ndxf>
  </rcc>
  <rcc rId="3010" sId="13" odxf="1" s="1" dxf="1">
    <nc r="D33">
      <v>16</v>
    </nc>
    <n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3011" sId="13" numFmtId="11">
    <nc r="E33">
      <v>800</v>
    </nc>
  </rcc>
  <rcc rId="3012" sId="13" odxf="1" s="1" dxf="1" numFmtId="30">
    <nc r="A34">
      <v>5604</v>
    </nc>
    <ndxf>
      <font>
        <sz val="10"/>
        <color indexed="8"/>
        <name val="Arial"/>
        <scheme val="none"/>
      </font>
      <numFmt numFmtId="30" formatCode="@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  <protection locked="1"/>
    </ndxf>
  </rcc>
  <rcc rId="3013" sId="13" odxf="1" s="1" dxf="1">
    <nc r="B34" t="inlineStr">
      <is>
        <t>Полиспен</t>
      </is>
    </nc>
    <ndxf>
      <font>
        <sz val="10"/>
        <color indexed="8"/>
        <name val="Arial"/>
        <scheme val="none"/>
      </font>
      <alignment horizontal="general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3014" sId="13" odxf="1" s="1" dxf="1">
    <nc r="C34" t="inlineStr">
      <is>
        <t>Шлифовка ножей</t>
      </is>
    </nc>
    <ndxf>
      <font>
        <sz val="10"/>
        <color indexed="8"/>
        <name val="Arial"/>
        <scheme val="none"/>
      </font>
      <border outline="0">
        <left/>
        <right/>
        <top style="thin">
          <color indexed="64"/>
        </top>
        <bottom style="thin">
          <color indexed="64"/>
        </bottom>
      </border>
    </ndxf>
  </rcc>
  <rcc rId="3015" sId="13" odxf="1" s="1" dxf="1">
    <nc r="D34">
      <v>1</v>
    </nc>
    <ndxf>
      <font>
        <sz val="10"/>
        <color indexed="8"/>
        <name val="Arial"/>
        <scheme val="none"/>
      </font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/>
    </ndxf>
  </rcc>
  <rcc rId="3016" sId="13">
    <nc r="F31">
      <f>E31*D31</f>
    </nc>
  </rcc>
  <rcc rId="3017" sId="13">
    <nc r="F32">
      <f>E32*D32</f>
    </nc>
  </rcc>
  <rcc rId="3018" sId="13">
    <nc r="F33">
      <f>E33*D33</f>
    </nc>
  </rcc>
  <rcc rId="3019" sId="13">
    <nc r="F34">
      <f>E34*D34</f>
    </nc>
  </rcc>
  <rcc rId="3020" sId="13">
    <oc r="L30">
      <f>E30*(H30+I30+J30+K30)</f>
    </oc>
    <nc r="L30">
      <f>E30*(H30+I30+J30+K30)</f>
    </nc>
  </rcc>
  <rcc rId="3021" sId="13">
    <nc r="L31">
      <f>E31*(H31+I31+J31+K31)</f>
    </nc>
  </rcc>
  <rcc rId="3022" sId="13">
    <nc r="L32">
      <f>E32*(H32+I32+J32+K32)</f>
    </nc>
  </rcc>
  <rcc rId="3023" sId="13">
    <nc r="L33">
      <f>E33*(H33+I33+J33+K33)</f>
    </nc>
  </rcc>
  <rcc rId="3024" sId="13">
    <nc r="L34">
      <f>E34*(H34+I34+J34+K34)</f>
    </nc>
  </rcc>
  <rcc rId="3025" sId="13">
    <oc r="L35">
      <f>E35*(H35+I35+J35+K35)</f>
    </oc>
    <nc r="L35">
      <f>E35*(H35+I35+J35+K35)</f>
    </nc>
  </rcc>
  <rcc rId="3026" sId="13" numFmtId="19">
    <nc r="M34">
      <v>43627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27" sId="13">
    <nc r="G78">
      <v>4</v>
    </nc>
  </rcc>
  <rcc rId="3028" sId="13">
    <nc r="G79">
      <v>8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C638750-2D78-446E-B8DA-A6202AF1ED31}" action="delete"/>
  <rdn rId="0" localSheetId="3" customView="1" name="Z_8C638750_2D78_446E_B8DA_A6202AF1ED31_.wvu.PrintTitles" hidden="1" oldHidden="1">
    <formula>'январь 2019'!$4:$7</formula>
    <oldFormula>'январь 2019'!$4:$7</oldFormula>
  </rdn>
  <rdn rId="0" localSheetId="5" customView="1" name="Z_8C638750_2D78_446E_B8DA_A6202AF1ED31_.wvu.PrintTitles" hidden="1" oldHidden="1">
    <formula>'февраль 2019'!$4:$7</formula>
    <oldFormula>'февраль 2019'!$4:$7</oldFormula>
  </rdn>
  <rdn rId="0" localSheetId="6" customView="1" name="Z_8C638750_2D78_446E_B8DA_A6202AF1ED31_.wvu.PrintArea" hidden="1" oldHidden="1">
    <formula>'март 2019 Эпотос-К'!$B$7:$G$93</formula>
    <oldFormula>'март 2019 Эпотос-К'!$B$7:$G$93</oldFormula>
  </rdn>
  <rdn rId="0" localSheetId="7" customView="1" name="Z_8C638750_2D78_446E_B8DA_A6202AF1ED31_.wvu.PrintArea" hidden="1" oldHidden="1">
    <formula>'март 2019'!$B$8:$H$246</formula>
    <oldFormula>'март 2019'!$B$8:$H$246</oldFormula>
  </rdn>
  <rdn rId="0" localSheetId="7" customView="1" name="Z_8C638750_2D78_446E_B8DA_A6202AF1ED31_.wvu.PrintTitles" hidden="1" oldHidden="1">
    <formula>'март 2019'!$4:$7</formula>
    <oldFormula>'март 2019'!$4:$7</oldFormula>
  </rdn>
  <rdn rId="0" localSheetId="8" customView="1" name="Z_8C638750_2D78_446E_B8DA_A6202AF1ED31_.wvu.PrintArea" hidden="1" oldHidden="1">
    <formula>'апрель 2019 Эпотос-К'!$B$7:$G$93</formula>
    <oldFormula>'апрель 2019 Эпотос-К'!$B$7:$G$93</oldFormula>
  </rdn>
  <rdn rId="0" localSheetId="9" customView="1" name="Z_8C638750_2D78_446E_B8DA_A6202AF1ED31_.wvu.PrintArea" hidden="1" oldHidden="1">
    <formula>'апрель 2019'!$B$8:$H$227</formula>
    <oldFormula>'апрель 2019'!$B$8:$H$227</oldFormula>
  </rdn>
  <rdn rId="0" localSheetId="9" customView="1" name="Z_8C638750_2D78_446E_B8DA_A6202AF1ED31_.wvu.PrintTitles" hidden="1" oldHidden="1">
    <formula>'апрель 2019'!$4:$7</formula>
    <oldFormula>'апрель 2019'!$4:$7</oldFormula>
  </rdn>
  <rdn rId="0" localSheetId="10" customView="1" name="Z_8C638750_2D78_446E_B8DA_A6202AF1ED31_.wvu.PrintArea" hidden="1" oldHidden="1">
    <formula>'май 2019 Эпотос-К'!$A$7:$B$82</formula>
    <oldFormula>'май 2019 Эпотос-К'!$A$7:$B$82</oldFormula>
  </rdn>
  <rdn rId="0" localSheetId="10" customView="1" name="Z_8C638750_2D78_446E_B8DA_A6202AF1ED31_.wvu.Cols" hidden="1" oldHidden="1">
    <formula>'май 2019 Эпотос-К'!$S:$V</formula>
    <oldFormula>'май 2019 Эпотос-К'!$S:$V</oldFormula>
  </rdn>
  <rdn rId="0" localSheetId="11" customView="1" name="Z_8C638750_2D78_446E_B8DA_A6202AF1ED31_.wvu.PrintArea" hidden="1" oldHidden="1">
    <formula>'май 2019'!$B$8:$H$226</formula>
    <oldFormula>'май 2019'!$B$8:$H$226</oldFormula>
  </rdn>
  <rdn rId="0" localSheetId="11" customView="1" name="Z_8C638750_2D78_446E_B8DA_A6202AF1ED31_.wvu.PrintTitles" hidden="1" oldHidden="1">
    <formula>'май 2019'!$4:$7</formula>
    <oldFormula>'май 2019'!$4:$7</oldFormula>
  </rdn>
  <rdn rId="0" localSheetId="11" customView="1" name="Z_8C638750_2D78_446E_B8DA_A6202AF1ED31_.wvu.Cols" hidden="1" oldHidden="1">
    <formula>'май 2019'!$S:$V</formula>
    <oldFormula>'май 2019'!$S:$V</oldFormula>
  </rdn>
  <rdn rId="0" localSheetId="12" customView="1" name="Z_8C638750_2D78_446E_B8DA_A6202AF1ED31_.wvu.PrintArea" hidden="1" oldHidden="1">
    <formula>'июнь 2019 Эпотос-К'!$B$47:$D$56</formula>
    <oldFormula>'июнь 2019 Эпотос-К'!$B$47:$D$56</oldFormula>
  </rdn>
  <rdn rId="0" localSheetId="12" customView="1" name="Z_8C638750_2D78_446E_B8DA_A6202AF1ED31_.wvu.Cols" hidden="1" oldHidden="1">
    <formula>'июнь 2019 Эпотос-К'!$S:$V</formula>
    <oldFormula>'июнь 2019 Эпотос-К'!$S:$V</oldFormula>
  </rdn>
  <rdn rId="0" localSheetId="13" customView="1" name="Z_8C638750_2D78_446E_B8DA_A6202AF1ED31_.wvu.PrintArea" hidden="1" oldHidden="1">
    <formula>'июнь 2019'!$B$8:$H$161</formula>
    <oldFormula>'июнь 2019'!$B$8:$H$161</oldFormula>
  </rdn>
  <rdn rId="0" localSheetId="13" customView="1" name="Z_8C638750_2D78_446E_B8DA_A6202AF1ED31_.wvu.PrintTitles" hidden="1" oldHidden="1">
    <formula>'июнь 2019'!$4:$7</formula>
    <oldFormula>'июнь 2019'!$4:$7</oldFormula>
  </rdn>
  <rdn rId="0" localSheetId="13" customView="1" name="Z_8C638750_2D78_446E_B8DA_A6202AF1ED31_.wvu.Cols" hidden="1" oldHidden="1">
    <formula>'июнь 2019'!$S:$V</formula>
    <oldFormula>'июнь 2019'!$S:$V</oldFormula>
  </rdn>
  <rdn rId="0" localSheetId="14" customView="1" name="Z_8C638750_2D78_446E_B8DA_A6202AF1ED31_.wvu.PrintArea" hidden="1" oldHidden="1">
    <formula>'обзор 2019'!$B$3:$M$18</formula>
    <oldFormula>'обзор 2019'!$B$3:$M$18</oldFormula>
  </rdn>
  <rdn rId="0" localSheetId="15" customView="1" name="Z_8C638750_2D78_446E_B8DA_A6202AF1ED31_.wvu.PrintArea" hidden="1" oldHidden="1">
    <formula>'обзор 2018'!$B$3:$M$18</formula>
    <oldFormula>'обзор 2018'!$B$3:$M$18</oldFormula>
  </rdn>
  <rdn rId="0" localSheetId="16" customView="1" name="Z_8C638750_2D78_446E_B8DA_A6202AF1ED31_.wvu.PrintArea" hidden="1" oldHidden="1">
    <formula>'обзор 2017'!$B$3:$M$18</formula>
    <oldFormula>'обзор 2017'!$B$3:$M$18</oldFormula>
  </rdn>
  <rdn rId="0" localSheetId="17" customView="1" name="Z_8C638750_2D78_446E_B8DA_A6202AF1ED31_.wvu.PrintArea" hidden="1" oldHidden="1">
    <formula>'обзор 2016'!$B$3:$Q$19</formula>
    <oldFormula>'обзор 2016'!$B$3:$Q$19</oldFormula>
  </rdn>
  <rdn rId="0" localSheetId="17" customView="1" name="Z_8C638750_2D78_446E_B8DA_A6202AF1ED31_.wvu.Cols" hidden="1" oldHidden="1">
    <formula>'обзор 2016'!$A:$A</formula>
    <oldFormula>'обзор 2016'!$A:$A</oldFormula>
  </rdn>
  <rdn rId="0" localSheetId="18" customView="1" name="Z_8C638750_2D78_446E_B8DA_A6202AF1ED31_.wvu.PrintArea" hidden="1" oldHidden="1">
    <formula>'объёмы 2019'!$A$3:$T$98</formula>
    <oldFormula>'объёмы 2019'!$A$3:$T$98</oldFormula>
  </rdn>
  <rdn rId="0" localSheetId="18" customView="1" name="Z_8C638750_2D78_446E_B8DA_A6202AF1ED31_.wvu.PrintTitles" hidden="1" oldHidden="1">
    <formula>'объёмы 2019'!$5:$6</formula>
    <oldFormula>'объёмы 2019'!$5:$6</oldFormula>
  </rdn>
  <rcv guid="{8C638750-2D78-446E-B8DA-A6202AF1ED31}" action="add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4" sId="13">
    <nc r="I77">
      <v>8</v>
    </nc>
  </rcc>
  <rcc rId="3055" sId="13">
    <nc r="I78">
      <v>4</v>
    </nc>
  </rcc>
  <rcc rId="3056" sId="13">
    <nc r="I79">
      <v>8</v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7" sId="12">
    <nc r="H41">
      <v>70</v>
    </nc>
  </rcc>
  <rcc rId="3058" sId="12">
    <nc r="H23">
      <v>38</v>
    </nc>
  </rcc>
  <rcc rId="3059" sId="12">
    <nc r="H26">
      <v>38</v>
    </nc>
  </rcc>
  <rcc rId="3060" sId="12">
    <nc r="H25">
      <v>9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FD69D5F1-40CC-4061-8488-564440F9AC28}" name="Павел Втюрин" id="-277903459" dateTime="2019-06-11T10:04:44"/>
  <userInfo guid="{DEF2EA98-4153-4D5D-B7C1-E907F7B595A9}" name="Бородина" id="-182916829" dateTime="2019-06-13T10:07:32"/>
</us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1.bin"/><Relationship Id="rId3" Type="http://schemas.openxmlformats.org/officeDocument/2006/relationships/printerSettings" Target="../printerSettings/printerSettings106.bin"/><Relationship Id="rId7" Type="http://schemas.openxmlformats.org/officeDocument/2006/relationships/printerSettings" Target="../printerSettings/printerSettings110.bin"/><Relationship Id="rId2" Type="http://schemas.openxmlformats.org/officeDocument/2006/relationships/printerSettings" Target="../printerSettings/printerSettings105.bin"/><Relationship Id="rId1" Type="http://schemas.openxmlformats.org/officeDocument/2006/relationships/printerSettings" Target="../printerSettings/printerSettings104.bin"/><Relationship Id="rId6" Type="http://schemas.openxmlformats.org/officeDocument/2006/relationships/printerSettings" Target="../printerSettings/printerSettings109.bin"/><Relationship Id="rId5" Type="http://schemas.openxmlformats.org/officeDocument/2006/relationships/printerSettings" Target="../printerSettings/printerSettings108.bin"/><Relationship Id="rId4" Type="http://schemas.openxmlformats.org/officeDocument/2006/relationships/printerSettings" Target="../printerSettings/printerSettings107.bin"/><Relationship Id="rId9" Type="http://schemas.openxmlformats.org/officeDocument/2006/relationships/printerSettings" Target="../printerSettings/printerSettings112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0.bin"/><Relationship Id="rId3" Type="http://schemas.openxmlformats.org/officeDocument/2006/relationships/printerSettings" Target="../printerSettings/printerSettings115.bin"/><Relationship Id="rId7" Type="http://schemas.openxmlformats.org/officeDocument/2006/relationships/printerSettings" Target="../printerSettings/printerSettings119.bin"/><Relationship Id="rId2" Type="http://schemas.openxmlformats.org/officeDocument/2006/relationships/printerSettings" Target="../printerSettings/printerSettings114.bin"/><Relationship Id="rId1" Type="http://schemas.openxmlformats.org/officeDocument/2006/relationships/printerSettings" Target="../printerSettings/printerSettings113.bin"/><Relationship Id="rId6" Type="http://schemas.openxmlformats.org/officeDocument/2006/relationships/printerSettings" Target="../printerSettings/printerSettings118.bin"/><Relationship Id="rId5" Type="http://schemas.openxmlformats.org/officeDocument/2006/relationships/printerSettings" Target="../printerSettings/printerSettings117.bin"/><Relationship Id="rId4" Type="http://schemas.openxmlformats.org/officeDocument/2006/relationships/printerSettings" Target="../printerSettings/printerSettings116.bin"/><Relationship Id="rId9" Type="http://schemas.openxmlformats.org/officeDocument/2006/relationships/printerSettings" Target="../printerSettings/printerSettings12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9.bin"/><Relationship Id="rId3" Type="http://schemas.openxmlformats.org/officeDocument/2006/relationships/printerSettings" Target="../printerSettings/printerSettings124.bin"/><Relationship Id="rId7" Type="http://schemas.openxmlformats.org/officeDocument/2006/relationships/printerSettings" Target="../printerSettings/printerSettings128.bin"/><Relationship Id="rId2" Type="http://schemas.openxmlformats.org/officeDocument/2006/relationships/printerSettings" Target="../printerSettings/printerSettings123.bin"/><Relationship Id="rId1" Type="http://schemas.openxmlformats.org/officeDocument/2006/relationships/printerSettings" Target="../printerSettings/printerSettings122.bin"/><Relationship Id="rId6" Type="http://schemas.openxmlformats.org/officeDocument/2006/relationships/printerSettings" Target="../printerSettings/printerSettings127.bin"/><Relationship Id="rId5" Type="http://schemas.openxmlformats.org/officeDocument/2006/relationships/printerSettings" Target="../printerSettings/printerSettings126.bin"/><Relationship Id="rId4" Type="http://schemas.openxmlformats.org/officeDocument/2006/relationships/printerSettings" Target="../printerSettings/printerSettings125.bin"/><Relationship Id="rId9" Type="http://schemas.openxmlformats.org/officeDocument/2006/relationships/printerSettings" Target="../printerSettings/printerSettings13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3.bin"/><Relationship Id="rId2" Type="http://schemas.openxmlformats.org/officeDocument/2006/relationships/printerSettings" Target="../printerSettings/printerSettings132.bin"/><Relationship Id="rId1" Type="http://schemas.openxmlformats.org/officeDocument/2006/relationships/printerSettings" Target="../printerSettings/printerSettings131.bin"/><Relationship Id="rId5" Type="http://schemas.openxmlformats.org/officeDocument/2006/relationships/printerSettings" Target="../printerSettings/printerSettings135.bin"/><Relationship Id="rId4" Type="http://schemas.openxmlformats.org/officeDocument/2006/relationships/printerSettings" Target="../printerSettings/printerSettings134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3.bin"/><Relationship Id="rId3" Type="http://schemas.openxmlformats.org/officeDocument/2006/relationships/printerSettings" Target="../printerSettings/printerSettings138.bin"/><Relationship Id="rId7" Type="http://schemas.openxmlformats.org/officeDocument/2006/relationships/printerSettings" Target="../printerSettings/printerSettings142.bin"/><Relationship Id="rId12" Type="http://schemas.openxmlformats.org/officeDocument/2006/relationships/drawing" Target="../drawings/drawing1.xml"/><Relationship Id="rId2" Type="http://schemas.openxmlformats.org/officeDocument/2006/relationships/printerSettings" Target="../printerSettings/printerSettings137.bin"/><Relationship Id="rId1" Type="http://schemas.openxmlformats.org/officeDocument/2006/relationships/printerSettings" Target="../printerSettings/printerSettings136.bin"/><Relationship Id="rId6" Type="http://schemas.openxmlformats.org/officeDocument/2006/relationships/printerSettings" Target="../printerSettings/printerSettings141.bin"/><Relationship Id="rId11" Type="http://schemas.openxmlformats.org/officeDocument/2006/relationships/printerSettings" Target="../printerSettings/printerSettings146.bin"/><Relationship Id="rId5" Type="http://schemas.openxmlformats.org/officeDocument/2006/relationships/printerSettings" Target="../printerSettings/printerSettings140.bin"/><Relationship Id="rId10" Type="http://schemas.openxmlformats.org/officeDocument/2006/relationships/printerSettings" Target="../printerSettings/printerSettings145.bin"/><Relationship Id="rId4" Type="http://schemas.openxmlformats.org/officeDocument/2006/relationships/printerSettings" Target="../printerSettings/printerSettings139.bin"/><Relationship Id="rId9" Type="http://schemas.openxmlformats.org/officeDocument/2006/relationships/printerSettings" Target="../printerSettings/printerSettings144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54.bin"/><Relationship Id="rId3" Type="http://schemas.openxmlformats.org/officeDocument/2006/relationships/printerSettings" Target="../printerSettings/printerSettings149.bin"/><Relationship Id="rId7" Type="http://schemas.openxmlformats.org/officeDocument/2006/relationships/printerSettings" Target="../printerSettings/printerSettings153.bin"/><Relationship Id="rId12" Type="http://schemas.openxmlformats.org/officeDocument/2006/relationships/drawing" Target="../drawings/drawing2.xml"/><Relationship Id="rId2" Type="http://schemas.openxmlformats.org/officeDocument/2006/relationships/printerSettings" Target="../printerSettings/printerSettings148.bin"/><Relationship Id="rId1" Type="http://schemas.openxmlformats.org/officeDocument/2006/relationships/printerSettings" Target="../printerSettings/printerSettings147.bin"/><Relationship Id="rId6" Type="http://schemas.openxmlformats.org/officeDocument/2006/relationships/printerSettings" Target="../printerSettings/printerSettings152.bin"/><Relationship Id="rId11" Type="http://schemas.openxmlformats.org/officeDocument/2006/relationships/printerSettings" Target="../printerSettings/printerSettings157.bin"/><Relationship Id="rId5" Type="http://schemas.openxmlformats.org/officeDocument/2006/relationships/printerSettings" Target="../printerSettings/printerSettings151.bin"/><Relationship Id="rId10" Type="http://schemas.openxmlformats.org/officeDocument/2006/relationships/printerSettings" Target="../printerSettings/printerSettings156.bin"/><Relationship Id="rId4" Type="http://schemas.openxmlformats.org/officeDocument/2006/relationships/printerSettings" Target="../printerSettings/printerSettings150.bin"/><Relationship Id="rId9" Type="http://schemas.openxmlformats.org/officeDocument/2006/relationships/printerSettings" Target="../printerSettings/printerSettings15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5.bin"/><Relationship Id="rId13" Type="http://schemas.openxmlformats.org/officeDocument/2006/relationships/printerSettings" Target="../printerSettings/printerSettings170.bin"/><Relationship Id="rId3" Type="http://schemas.openxmlformats.org/officeDocument/2006/relationships/printerSettings" Target="../printerSettings/printerSettings160.bin"/><Relationship Id="rId7" Type="http://schemas.openxmlformats.org/officeDocument/2006/relationships/printerSettings" Target="../printerSettings/printerSettings164.bin"/><Relationship Id="rId12" Type="http://schemas.openxmlformats.org/officeDocument/2006/relationships/printerSettings" Target="../printerSettings/printerSettings169.bin"/><Relationship Id="rId2" Type="http://schemas.openxmlformats.org/officeDocument/2006/relationships/printerSettings" Target="../printerSettings/printerSettings159.bin"/><Relationship Id="rId1" Type="http://schemas.openxmlformats.org/officeDocument/2006/relationships/printerSettings" Target="../printerSettings/printerSettings158.bin"/><Relationship Id="rId6" Type="http://schemas.openxmlformats.org/officeDocument/2006/relationships/printerSettings" Target="../printerSettings/printerSettings163.bin"/><Relationship Id="rId11" Type="http://schemas.openxmlformats.org/officeDocument/2006/relationships/printerSettings" Target="../printerSettings/printerSettings168.bin"/><Relationship Id="rId5" Type="http://schemas.openxmlformats.org/officeDocument/2006/relationships/printerSettings" Target="../printerSettings/printerSettings162.bin"/><Relationship Id="rId10" Type="http://schemas.openxmlformats.org/officeDocument/2006/relationships/printerSettings" Target="../printerSettings/printerSettings167.bin"/><Relationship Id="rId4" Type="http://schemas.openxmlformats.org/officeDocument/2006/relationships/printerSettings" Target="../printerSettings/printerSettings161.bin"/><Relationship Id="rId9" Type="http://schemas.openxmlformats.org/officeDocument/2006/relationships/printerSettings" Target="../printerSettings/printerSettings166.bin"/><Relationship Id="rId14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8.bin"/><Relationship Id="rId13" Type="http://schemas.openxmlformats.org/officeDocument/2006/relationships/printerSettings" Target="../printerSettings/printerSettings183.bin"/><Relationship Id="rId18" Type="http://schemas.openxmlformats.org/officeDocument/2006/relationships/printerSettings" Target="../printerSettings/printerSettings188.bin"/><Relationship Id="rId3" Type="http://schemas.openxmlformats.org/officeDocument/2006/relationships/printerSettings" Target="../printerSettings/printerSettings173.bin"/><Relationship Id="rId7" Type="http://schemas.openxmlformats.org/officeDocument/2006/relationships/printerSettings" Target="../printerSettings/printerSettings177.bin"/><Relationship Id="rId12" Type="http://schemas.openxmlformats.org/officeDocument/2006/relationships/printerSettings" Target="../printerSettings/printerSettings182.bin"/><Relationship Id="rId17" Type="http://schemas.openxmlformats.org/officeDocument/2006/relationships/printerSettings" Target="../printerSettings/printerSettings187.bin"/><Relationship Id="rId2" Type="http://schemas.openxmlformats.org/officeDocument/2006/relationships/printerSettings" Target="../printerSettings/printerSettings172.bin"/><Relationship Id="rId16" Type="http://schemas.openxmlformats.org/officeDocument/2006/relationships/printerSettings" Target="../printerSettings/printerSettings186.bin"/><Relationship Id="rId1" Type="http://schemas.openxmlformats.org/officeDocument/2006/relationships/printerSettings" Target="../printerSettings/printerSettings171.bin"/><Relationship Id="rId6" Type="http://schemas.openxmlformats.org/officeDocument/2006/relationships/printerSettings" Target="../printerSettings/printerSettings176.bin"/><Relationship Id="rId11" Type="http://schemas.openxmlformats.org/officeDocument/2006/relationships/printerSettings" Target="../printerSettings/printerSettings181.bin"/><Relationship Id="rId5" Type="http://schemas.openxmlformats.org/officeDocument/2006/relationships/printerSettings" Target="../printerSettings/printerSettings175.bin"/><Relationship Id="rId15" Type="http://schemas.openxmlformats.org/officeDocument/2006/relationships/printerSettings" Target="../printerSettings/printerSettings185.bin"/><Relationship Id="rId10" Type="http://schemas.openxmlformats.org/officeDocument/2006/relationships/printerSettings" Target="../printerSettings/printerSettings180.bin"/><Relationship Id="rId19" Type="http://schemas.openxmlformats.org/officeDocument/2006/relationships/printerSettings" Target="../printerSettings/printerSettings189.bin"/><Relationship Id="rId4" Type="http://schemas.openxmlformats.org/officeDocument/2006/relationships/printerSettings" Target="../printerSettings/printerSettings174.bin"/><Relationship Id="rId9" Type="http://schemas.openxmlformats.org/officeDocument/2006/relationships/printerSettings" Target="../printerSettings/printerSettings179.bin"/><Relationship Id="rId14" Type="http://schemas.openxmlformats.org/officeDocument/2006/relationships/printerSettings" Target="../printerSettings/printerSettings184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7.bin"/><Relationship Id="rId13" Type="http://schemas.openxmlformats.org/officeDocument/2006/relationships/printerSettings" Target="../printerSettings/printerSettings202.bin"/><Relationship Id="rId18" Type="http://schemas.openxmlformats.org/officeDocument/2006/relationships/printerSettings" Target="../printerSettings/printerSettings207.bin"/><Relationship Id="rId3" Type="http://schemas.openxmlformats.org/officeDocument/2006/relationships/printerSettings" Target="../printerSettings/printerSettings192.bin"/><Relationship Id="rId7" Type="http://schemas.openxmlformats.org/officeDocument/2006/relationships/printerSettings" Target="../printerSettings/printerSettings196.bin"/><Relationship Id="rId12" Type="http://schemas.openxmlformats.org/officeDocument/2006/relationships/printerSettings" Target="../printerSettings/printerSettings201.bin"/><Relationship Id="rId17" Type="http://schemas.openxmlformats.org/officeDocument/2006/relationships/printerSettings" Target="../printerSettings/printerSettings206.bin"/><Relationship Id="rId2" Type="http://schemas.openxmlformats.org/officeDocument/2006/relationships/printerSettings" Target="../printerSettings/printerSettings191.bin"/><Relationship Id="rId16" Type="http://schemas.openxmlformats.org/officeDocument/2006/relationships/printerSettings" Target="../printerSettings/printerSettings205.bin"/><Relationship Id="rId1" Type="http://schemas.openxmlformats.org/officeDocument/2006/relationships/printerSettings" Target="../printerSettings/printerSettings190.bin"/><Relationship Id="rId6" Type="http://schemas.openxmlformats.org/officeDocument/2006/relationships/printerSettings" Target="../printerSettings/printerSettings195.bin"/><Relationship Id="rId11" Type="http://schemas.openxmlformats.org/officeDocument/2006/relationships/printerSettings" Target="../printerSettings/printerSettings200.bin"/><Relationship Id="rId5" Type="http://schemas.openxmlformats.org/officeDocument/2006/relationships/printerSettings" Target="../printerSettings/printerSettings194.bin"/><Relationship Id="rId15" Type="http://schemas.openxmlformats.org/officeDocument/2006/relationships/printerSettings" Target="../printerSettings/printerSettings204.bin"/><Relationship Id="rId10" Type="http://schemas.openxmlformats.org/officeDocument/2006/relationships/printerSettings" Target="../printerSettings/printerSettings199.bin"/><Relationship Id="rId19" Type="http://schemas.openxmlformats.org/officeDocument/2006/relationships/printerSettings" Target="../printerSettings/printerSettings208.bin"/><Relationship Id="rId4" Type="http://schemas.openxmlformats.org/officeDocument/2006/relationships/printerSettings" Target="../printerSettings/printerSettings193.bin"/><Relationship Id="rId9" Type="http://schemas.openxmlformats.org/officeDocument/2006/relationships/printerSettings" Target="../printerSettings/printerSettings198.bin"/><Relationship Id="rId14" Type="http://schemas.openxmlformats.org/officeDocument/2006/relationships/printerSettings" Target="../printerSettings/printerSettings20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.bin"/><Relationship Id="rId3" Type="http://schemas.openxmlformats.org/officeDocument/2006/relationships/printerSettings" Target="../printerSettings/printerSettings26.bin"/><Relationship Id="rId7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6" Type="http://schemas.openxmlformats.org/officeDocument/2006/relationships/printerSettings" Target="../printerSettings/printerSettings29.bin"/><Relationship Id="rId11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27.bin"/><Relationship Id="rId9" Type="http://schemas.openxmlformats.org/officeDocument/2006/relationships/printerSettings" Target="../printerSettings/printerSettings3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2.bin"/><Relationship Id="rId3" Type="http://schemas.openxmlformats.org/officeDocument/2006/relationships/printerSettings" Target="../printerSettings/printerSettings37.bin"/><Relationship Id="rId7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Relationship Id="rId6" Type="http://schemas.openxmlformats.org/officeDocument/2006/relationships/printerSettings" Target="../printerSettings/printerSettings40.bin"/><Relationship Id="rId11" Type="http://schemas.openxmlformats.org/officeDocument/2006/relationships/printerSettings" Target="../printerSettings/printerSettings45.bin"/><Relationship Id="rId5" Type="http://schemas.openxmlformats.org/officeDocument/2006/relationships/printerSettings" Target="../printerSettings/printerSettings39.bin"/><Relationship Id="rId10" Type="http://schemas.openxmlformats.org/officeDocument/2006/relationships/printerSettings" Target="../printerSettings/printerSettings44.bin"/><Relationship Id="rId4" Type="http://schemas.openxmlformats.org/officeDocument/2006/relationships/printerSettings" Target="../printerSettings/printerSettings38.bin"/><Relationship Id="rId9" Type="http://schemas.openxmlformats.org/officeDocument/2006/relationships/printerSettings" Target="../printerSettings/printerSettings4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3.bin"/><Relationship Id="rId3" Type="http://schemas.openxmlformats.org/officeDocument/2006/relationships/printerSettings" Target="../printerSettings/printerSettings48.bin"/><Relationship Id="rId7" Type="http://schemas.openxmlformats.org/officeDocument/2006/relationships/printerSettings" Target="../printerSettings/printerSettings52.bin"/><Relationship Id="rId2" Type="http://schemas.openxmlformats.org/officeDocument/2006/relationships/printerSettings" Target="../printerSettings/printerSettings47.bin"/><Relationship Id="rId1" Type="http://schemas.openxmlformats.org/officeDocument/2006/relationships/printerSettings" Target="../printerSettings/printerSettings46.bin"/><Relationship Id="rId6" Type="http://schemas.openxmlformats.org/officeDocument/2006/relationships/printerSettings" Target="../printerSettings/printerSettings51.bin"/><Relationship Id="rId5" Type="http://schemas.openxmlformats.org/officeDocument/2006/relationships/printerSettings" Target="../printerSettings/printerSettings50.bin"/><Relationship Id="rId10" Type="http://schemas.openxmlformats.org/officeDocument/2006/relationships/printerSettings" Target="../printerSettings/printerSettings55.bin"/><Relationship Id="rId4" Type="http://schemas.openxmlformats.org/officeDocument/2006/relationships/printerSettings" Target="../printerSettings/printerSettings49.bin"/><Relationship Id="rId9" Type="http://schemas.openxmlformats.org/officeDocument/2006/relationships/printerSettings" Target="../printerSettings/printerSettings5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3.bin"/><Relationship Id="rId3" Type="http://schemas.openxmlformats.org/officeDocument/2006/relationships/printerSettings" Target="../printerSettings/printerSettings58.bin"/><Relationship Id="rId7" Type="http://schemas.openxmlformats.org/officeDocument/2006/relationships/printerSettings" Target="../printerSettings/printerSettings62.bin"/><Relationship Id="rId2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56.bin"/><Relationship Id="rId6" Type="http://schemas.openxmlformats.org/officeDocument/2006/relationships/printerSettings" Target="../printerSettings/printerSettings61.bin"/><Relationship Id="rId5" Type="http://schemas.openxmlformats.org/officeDocument/2006/relationships/printerSettings" Target="../printerSettings/printerSettings60.bin"/><Relationship Id="rId10" Type="http://schemas.openxmlformats.org/officeDocument/2006/relationships/printerSettings" Target="../printerSettings/printerSettings65.bin"/><Relationship Id="rId4" Type="http://schemas.openxmlformats.org/officeDocument/2006/relationships/printerSettings" Target="../printerSettings/printerSettings59.bin"/><Relationship Id="rId9" Type="http://schemas.openxmlformats.org/officeDocument/2006/relationships/printerSettings" Target="../printerSettings/printerSettings6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3.bin"/><Relationship Id="rId3" Type="http://schemas.openxmlformats.org/officeDocument/2006/relationships/printerSettings" Target="../printerSettings/printerSettings68.bin"/><Relationship Id="rId7" Type="http://schemas.openxmlformats.org/officeDocument/2006/relationships/printerSettings" Target="../printerSettings/printerSettings72.bin"/><Relationship Id="rId2" Type="http://schemas.openxmlformats.org/officeDocument/2006/relationships/printerSettings" Target="../printerSettings/printerSettings67.bin"/><Relationship Id="rId1" Type="http://schemas.openxmlformats.org/officeDocument/2006/relationships/printerSettings" Target="../printerSettings/printerSettings66.bin"/><Relationship Id="rId6" Type="http://schemas.openxmlformats.org/officeDocument/2006/relationships/printerSettings" Target="../printerSettings/printerSettings71.bin"/><Relationship Id="rId5" Type="http://schemas.openxmlformats.org/officeDocument/2006/relationships/printerSettings" Target="../printerSettings/printerSettings70.bin"/><Relationship Id="rId10" Type="http://schemas.openxmlformats.org/officeDocument/2006/relationships/printerSettings" Target="../printerSettings/printerSettings75.bin"/><Relationship Id="rId4" Type="http://schemas.openxmlformats.org/officeDocument/2006/relationships/printerSettings" Target="../printerSettings/printerSettings69.bin"/><Relationship Id="rId9" Type="http://schemas.openxmlformats.org/officeDocument/2006/relationships/printerSettings" Target="../printerSettings/printerSettings7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3.bin"/><Relationship Id="rId3" Type="http://schemas.openxmlformats.org/officeDocument/2006/relationships/printerSettings" Target="../printerSettings/printerSettings78.bin"/><Relationship Id="rId7" Type="http://schemas.openxmlformats.org/officeDocument/2006/relationships/printerSettings" Target="../printerSettings/printerSettings82.bin"/><Relationship Id="rId2" Type="http://schemas.openxmlformats.org/officeDocument/2006/relationships/printerSettings" Target="../printerSettings/printerSettings77.bin"/><Relationship Id="rId1" Type="http://schemas.openxmlformats.org/officeDocument/2006/relationships/printerSettings" Target="../printerSettings/printerSettings76.bin"/><Relationship Id="rId6" Type="http://schemas.openxmlformats.org/officeDocument/2006/relationships/printerSettings" Target="../printerSettings/printerSettings81.bin"/><Relationship Id="rId5" Type="http://schemas.openxmlformats.org/officeDocument/2006/relationships/printerSettings" Target="../printerSettings/printerSettings80.bin"/><Relationship Id="rId10" Type="http://schemas.openxmlformats.org/officeDocument/2006/relationships/printerSettings" Target="../printerSettings/printerSettings85.bin"/><Relationship Id="rId4" Type="http://schemas.openxmlformats.org/officeDocument/2006/relationships/printerSettings" Target="../printerSettings/printerSettings79.bin"/><Relationship Id="rId9" Type="http://schemas.openxmlformats.org/officeDocument/2006/relationships/printerSettings" Target="../printerSettings/printerSettings8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3.bin"/><Relationship Id="rId3" Type="http://schemas.openxmlformats.org/officeDocument/2006/relationships/printerSettings" Target="../printerSettings/printerSettings88.bin"/><Relationship Id="rId7" Type="http://schemas.openxmlformats.org/officeDocument/2006/relationships/printerSettings" Target="../printerSettings/printerSettings92.bin"/><Relationship Id="rId2" Type="http://schemas.openxmlformats.org/officeDocument/2006/relationships/printerSettings" Target="../printerSettings/printerSettings87.bin"/><Relationship Id="rId1" Type="http://schemas.openxmlformats.org/officeDocument/2006/relationships/printerSettings" Target="../printerSettings/printerSettings86.bin"/><Relationship Id="rId6" Type="http://schemas.openxmlformats.org/officeDocument/2006/relationships/printerSettings" Target="../printerSettings/printerSettings91.bin"/><Relationship Id="rId5" Type="http://schemas.openxmlformats.org/officeDocument/2006/relationships/printerSettings" Target="../printerSettings/printerSettings90.bin"/><Relationship Id="rId4" Type="http://schemas.openxmlformats.org/officeDocument/2006/relationships/printerSettings" Target="../printerSettings/printerSettings89.bin"/><Relationship Id="rId9" Type="http://schemas.openxmlformats.org/officeDocument/2006/relationships/printerSettings" Target="../printerSettings/printerSettings9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2.bin"/><Relationship Id="rId3" Type="http://schemas.openxmlformats.org/officeDocument/2006/relationships/printerSettings" Target="../printerSettings/printerSettings97.bin"/><Relationship Id="rId7" Type="http://schemas.openxmlformats.org/officeDocument/2006/relationships/printerSettings" Target="../printerSettings/printerSettings101.bin"/><Relationship Id="rId2" Type="http://schemas.openxmlformats.org/officeDocument/2006/relationships/printerSettings" Target="../printerSettings/printerSettings96.bin"/><Relationship Id="rId1" Type="http://schemas.openxmlformats.org/officeDocument/2006/relationships/printerSettings" Target="../printerSettings/printerSettings95.bin"/><Relationship Id="rId6" Type="http://schemas.openxmlformats.org/officeDocument/2006/relationships/printerSettings" Target="../printerSettings/printerSettings100.bin"/><Relationship Id="rId5" Type="http://schemas.openxmlformats.org/officeDocument/2006/relationships/printerSettings" Target="../printerSettings/printerSettings99.bin"/><Relationship Id="rId4" Type="http://schemas.openxmlformats.org/officeDocument/2006/relationships/printerSettings" Target="../printerSettings/printerSettings98.bin"/><Relationship Id="rId9" Type="http://schemas.openxmlformats.org/officeDocument/2006/relationships/printerSettings" Target="../printerSettings/printerSettings10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J16" workbookViewId="0">
      <selection activeCell="Z21" sqref="X21:Z36"/>
    </sheetView>
  </sheetViews>
  <sheetFormatPr defaultRowHeight="15" x14ac:dyDescent="0.25"/>
  <sheetData/>
  <customSheetViews>
    <customSheetView guid="{06317133-151B-4DBC-8EB3-9345BA061F91}" state="hidden" topLeftCell="J16">
      <selection activeCell="Z21" sqref="X21:Z36"/>
      <pageMargins left="0.7" right="0.7" top="0.75" bottom="0.75" header="0.3" footer="0.3"/>
      <pageSetup paperSize="9" orientation="portrait" r:id="rId1"/>
    </customSheetView>
    <customSheetView guid="{375BA386-B398-4A0E-AF86-4319F1FDDF11}">
      <selection activeCell="Z21" sqref="X21:Z36"/>
      <pageMargins left="0.7" right="0.7" top="0.75" bottom="0.75" header="0.3" footer="0.3"/>
      <pageSetup paperSize="9" orientation="portrait" r:id="rId2"/>
    </customSheetView>
    <customSheetView guid="{45C31AC1-6FB2-488C-94EA-BCF9E79D0043}">
      <selection activeCell="Z21" sqref="X21:Z36"/>
      <pageMargins left="0.7" right="0.7" top="0.75" bottom="0.75" header="0.3" footer="0.3"/>
    </customSheetView>
    <customSheetView guid="{368B64E8-7AD6-4BC7-A731-9903B52ABB0C}">
      <selection activeCell="Z21" sqref="X21:Z36"/>
      <pageMargins left="0.7" right="0.7" top="0.75" bottom="0.75" header="0.3" footer="0.3"/>
      <pageSetup paperSize="9" orientation="portrait" r:id="rId3"/>
    </customSheetView>
    <customSheetView guid="{40668DAD-2016-43AB-978A-7EBCCA65FC96}" state="hidden" topLeftCell="J16">
      <selection activeCell="Z21" sqref="X21:Z36"/>
      <pageMargins left="0.7" right="0.7" top="0.75" bottom="0.75" header="0.3" footer="0.3"/>
      <pageSetup paperSize="9" orientation="portrait" r:id="rId4"/>
    </customSheetView>
    <customSheetView guid="{D800552E-1EF8-4BC8-9EFF-0AF8FC74B053}" state="hidden" topLeftCell="J16">
      <selection activeCell="Z21" sqref="X21:Z36"/>
      <pageMargins left="0.7" right="0.7" top="0.75" bottom="0.75" header="0.3" footer="0.3"/>
      <pageSetup paperSize="9" orientation="portrait" r:id="rId5"/>
    </customSheetView>
    <customSheetView guid="{7973495C-2D1B-4496-86DD-6D640B67D9E0}" state="hidden" topLeftCell="J16">
      <selection activeCell="Z21" sqref="X21:Z36"/>
      <pageMargins left="0.7" right="0.7" top="0.75" bottom="0.75" header="0.3" footer="0.3"/>
      <pageSetup paperSize="9" orientation="portrait" r:id="rId6"/>
    </customSheetView>
    <customSheetView guid="{743B2DB0-F89B-4C92-828D-4DFF07686802}" state="hidden" topLeftCell="J16">
      <selection activeCell="Z21" sqref="X21:Z36"/>
      <pageMargins left="0.7" right="0.7" top="0.75" bottom="0.75" header="0.3" footer="0.3"/>
      <pageSetup paperSize="9" orientation="portrait" r:id="rId7"/>
    </customSheetView>
    <customSheetView guid="{1E46D0D2-5EB1-4B45-84E6-5E310F8CA863}">
      <selection activeCell="Z21" sqref="X21:Z36"/>
      <pageMargins left="0.7" right="0.7" top="0.75" bottom="0.75" header="0.3" footer="0.3"/>
    </customSheetView>
    <customSheetView guid="{4B518083-F65E-48E8-ADC7-1528A6709963}" state="hidden" topLeftCell="J16">
      <selection activeCell="Z21" sqref="X21:Z36"/>
      <pageMargins left="0.7" right="0.7" top="0.75" bottom="0.75" header="0.3" footer="0.3"/>
      <pageSetup paperSize="9" orientation="portrait" r:id="rId8"/>
    </customSheetView>
    <customSheetView guid="{D74493B4-9A0D-44A9-BDAD-E8303CA6AC0B}" state="hidden" topLeftCell="J16">
      <selection activeCell="Z21" sqref="X21:Z36"/>
      <pageMargins left="0.7" right="0.7" top="0.75" bottom="0.75" header="0.3" footer="0.3"/>
    </customSheetView>
    <customSheetView guid="{7FF8763C-5EAE-4155-B6F4-B9B4302A34DC}" topLeftCell="J16">
      <selection activeCell="Z21" sqref="X21:Z36"/>
      <pageMargins left="0.7" right="0.7" top="0.75" bottom="0.75" header="0.3" footer="0.3"/>
    </customSheetView>
    <customSheetView guid="{595C289B-62FD-4FB6-95E2-E347BD6DF371}">
      <pageMargins left="0.7" right="0.7" top="0.75" bottom="0.75" header="0.3" footer="0.3"/>
    </customSheetView>
    <customSheetView guid="{CE90B6D7-6CF9-4F5C-A415-E92CBE354645}" showRuler="0">
      <pageMargins left="0.7" right="0.7" top="0.75" bottom="0.75" header="0.3" footer="0.3"/>
      <headerFooter alignWithMargins="0"/>
    </customSheetView>
    <customSheetView guid="{202332C7-DEBA-470A-9C98-20F63CD557EC}">
      <pageMargins left="0.7" right="0.7" top="0.75" bottom="0.75" header="0.3" footer="0.3"/>
    </customSheetView>
    <customSheetView guid="{655CDF27-F553-4D18-899D-92453CA0855F}" state="hidden" topLeftCell="J16">
      <selection activeCell="Z21" sqref="X21:Z36"/>
      <pageMargins left="0.7" right="0.7" top="0.75" bottom="0.75" header="0.3" footer="0.3"/>
    </customSheetView>
    <customSheetView guid="{CD193133-C0DC-473A-9422-68E7CD1D9F26}" state="hidden" topLeftCell="J16">
      <selection activeCell="Z21" sqref="X21:Z36"/>
      <pageMargins left="0.7" right="0.7" top="0.75" bottom="0.75" header="0.3" footer="0.3"/>
    </customSheetView>
    <customSheetView guid="{6153701C-295C-4867-80BF-32714718E7BF}" state="hidden" topLeftCell="J16">
      <selection activeCell="Z21" sqref="X21:Z36"/>
      <pageMargins left="0.7" right="0.7" top="0.75" bottom="0.75" header="0.3" footer="0.3"/>
      <pageSetup paperSize="9" orientation="portrait" r:id="rId9"/>
    </customSheetView>
    <customSheetView guid="{B01E6157-5EA5-4419-A2B5-D705FADD05E9}" state="hidden" topLeftCell="J16">
      <selection activeCell="Z21" sqref="X21:Z36"/>
      <pageMargins left="0.7" right="0.7" top="0.75" bottom="0.75" header="0.3" footer="0.3"/>
      <pageSetup paperSize="9" orientation="portrait" r:id="rId10"/>
    </customSheetView>
    <customSheetView guid="{B92A8BD7-E721-4018-BAD7-BA8658CC8082}" showPageBreaks="1" topLeftCell="J25">
      <selection activeCell="Z21" sqref="X21:Z36"/>
      <pageMargins left="0.7" right="0.7" top="0.75" bottom="0.75" header="0.3" footer="0.3"/>
      <pageSetup paperSize="9" orientation="portrait" r:id="rId11"/>
    </customSheetView>
    <customSheetView guid="{284DBE66-ADFD-4F9E-A431-13ED7075966F}" state="hidden" topLeftCell="J16">
      <selection activeCell="Z21" sqref="X21:Z36"/>
      <pageMargins left="0.7" right="0.7" top="0.75" bottom="0.75" header="0.3" footer="0.3"/>
      <pageSetup paperSize="9" orientation="portrait" r:id="rId12"/>
    </customSheetView>
    <customSheetView guid="{991AEFF2-E4AE-41D0-B810-875DE90D90C4}" showPageBreaks="1" topLeftCell="J16">
      <selection activeCell="Z21" sqref="X21:Z36"/>
      <pageMargins left="0.7" right="0.7" top="0.75" bottom="0.75" header="0.3" footer="0.3"/>
      <pageSetup paperSize="9" orientation="portrait" r:id="rId13"/>
    </customSheetView>
    <customSheetView guid="{415F9960-5313-4B8C-A857-E343B234574E}" showPageBreaks="1" state="hidden" topLeftCell="J16">
      <selection activeCell="Z21" sqref="X21:Z36"/>
      <pageMargins left="0.7" right="0.7" top="0.75" bottom="0.75" header="0.3" footer="0.3"/>
      <pageSetup paperSize="9" orientation="portrait" r:id="rId14"/>
    </customSheetView>
    <customSheetView guid="{80DF195B-C3BE-44B8-BBAD-8A91B6EC45AB}" topLeftCell="J16">
      <selection activeCell="Z21" sqref="X21:Z36"/>
      <pageMargins left="0.7" right="0.7" top="0.75" bottom="0.75" header="0.3" footer="0.3"/>
    </customSheetView>
    <customSheetView guid="{985ED1BC-53D6-40D6-BED0-BF19A973D3E0}" state="hidden" topLeftCell="J19">
      <selection activeCell="Z21" sqref="X21:Z36"/>
      <pageMargins left="0.7" right="0.7" top="0.75" bottom="0.75" header="0.3" footer="0.3"/>
      <pageSetup paperSize="9" orientation="portrait" r:id="rId15"/>
    </customSheetView>
    <customSheetView guid="{CA0EFFCB-6323-469D-93EE-7365AC1A8B79}">
      <selection activeCell="Z21" sqref="X21:Z36"/>
      <pageMargins left="0.7" right="0.7" top="0.75" bottom="0.75" header="0.3" footer="0.3"/>
      <pageSetup paperSize="9" orientation="portrait" r:id="rId16"/>
    </customSheetView>
    <customSheetView guid="{1168776E-3CE1-4C5E-BCD8-35079C55D78E}" state="hidden" topLeftCell="J16">
      <selection activeCell="Z21" sqref="X21:Z36"/>
      <pageMargins left="0.7" right="0.7" top="0.75" bottom="0.75" header="0.3" footer="0.3"/>
      <pageSetup paperSize="9" orientation="portrait" r:id="rId17"/>
    </customSheetView>
    <customSheetView guid="{845EA106-2CB5-4F86-BBCF-D0DE18153B1C}" state="hidden" topLeftCell="J16">
      <selection activeCell="Z21" sqref="X21:Z36"/>
      <pageMargins left="0.7" right="0.7" top="0.75" bottom="0.75" header="0.3" footer="0.3"/>
      <pageSetup paperSize="9" orientation="portrait" r:id="rId18"/>
    </customSheetView>
    <customSheetView guid="{C29DA669-F4F9-44CD-9569-E796ADF74A86}" state="hidden" topLeftCell="J16">
      <selection activeCell="Z21" sqref="X21:Z36"/>
      <pageMargins left="0.7" right="0.7" top="0.75" bottom="0.75" header="0.3" footer="0.3"/>
      <pageSetup paperSize="9" orientation="portrait" r:id="rId19"/>
    </customSheetView>
    <customSheetView guid="{A1BD6C0C-B1B9-4F48-A6B1-3BFD273F4CD7}">
      <selection activeCell="Z21" sqref="X21:Z36"/>
      <pageMargins left="0.7" right="0.7" top="0.75" bottom="0.75" header="0.3" footer="0.3"/>
      <pageSetup paperSize="9" orientation="portrait" r:id="rId20"/>
    </customSheetView>
    <customSheetView guid="{D42288F7-1871-4EF6-BC87-1B9EF747C744}" state="hidden" topLeftCell="J16">
      <selection activeCell="Z21" sqref="X21:Z36"/>
      <pageMargins left="0.7" right="0.7" top="0.75" bottom="0.75" header="0.3" footer="0.3"/>
      <pageSetup paperSize="9" orientation="portrait" r:id="rId21"/>
    </customSheetView>
    <customSheetView guid="{8C638750-2D78-446E-B8DA-A6202AF1ED31}" state="hidden" topLeftCell="J16">
      <selection activeCell="Z21" sqref="X21:Z36"/>
      <pageMargins left="0.7" right="0.7" top="0.75" bottom="0.75" header="0.3" footer="0.3"/>
      <pageSetup paperSize="9" orientation="portrait" r:id="rId22"/>
    </customSheetView>
  </customSheetViews>
  <phoneticPr fontId="0" type="noConversion"/>
  <pageMargins left="0.7" right="0.7" top="0.75" bottom="0.75" header="0.3" footer="0.3"/>
  <pageSetup paperSize="9" orientation="portrait" r:id="rId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069"/>
  <sheetViews>
    <sheetView zoomScale="60" zoomScaleNormal="100" zoomScaleSheetLayoutView="90" workbookViewId="0">
      <pane ySplit="6" topLeftCell="A73" activePane="bottomLeft" state="frozen"/>
      <selection pane="bottomLeft" activeCell="E76" sqref="E76"/>
    </sheetView>
  </sheetViews>
  <sheetFormatPr defaultColWidth="9.140625" defaultRowHeight="15" x14ac:dyDescent="0.25"/>
  <cols>
    <col min="1" max="1" width="8.7109375" style="9" customWidth="1"/>
    <col min="2" max="2" width="80.7109375" style="9" customWidth="1"/>
    <col min="3" max="3" width="13" style="9" customWidth="1"/>
    <col min="4" max="4" width="17" style="9" customWidth="1"/>
    <col min="5" max="5" width="24.85546875" style="9" customWidth="1"/>
    <col min="6" max="6" width="12.28515625" style="9" customWidth="1"/>
    <col min="7" max="10" width="10.7109375" style="9" customWidth="1"/>
    <col min="11" max="11" width="11.7109375" style="9" customWidth="1"/>
    <col min="12" max="12" width="25.140625" style="9" customWidth="1"/>
    <col min="13" max="13" width="12.28515625" style="4" customWidth="1"/>
    <col min="14" max="14" width="11.28515625" style="4" customWidth="1"/>
    <col min="15" max="16" width="9.140625" style="5" customWidth="1"/>
    <col min="17" max="18" width="9.140625" style="4"/>
    <col min="19" max="19" width="13.85546875" style="4" hidden="1" customWidth="1"/>
    <col min="20" max="20" width="12.7109375" style="4" hidden="1" customWidth="1"/>
    <col min="21" max="22" width="9.140625" style="4" hidden="1" customWidth="1"/>
    <col min="23" max="16384" width="9.140625" style="4"/>
  </cols>
  <sheetData>
    <row r="1" spans="1:22" ht="15" customHeight="1" x14ac:dyDescent="0.25">
      <c r="A1" s="577" t="s">
        <v>0</v>
      </c>
      <c r="B1" s="577"/>
      <c r="H1" s="1"/>
      <c r="I1" s="578" t="s">
        <v>1</v>
      </c>
      <c r="J1" s="578"/>
      <c r="K1" s="578"/>
    </row>
    <row r="2" spans="1:22" ht="15" customHeight="1" x14ac:dyDescent="0.25">
      <c r="A2" s="577" t="s">
        <v>2</v>
      </c>
      <c r="B2" s="577"/>
      <c r="E2" s="9" t="s">
        <v>508</v>
      </c>
      <c r="H2" s="22"/>
      <c r="I2" s="579" t="s">
        <v>3</v>
      </c>
      <c r="J2" s="579"/>
      <c r="K2" s="579"/>
    </row>
    <row r="3" spans="1:22" ht="23.25" x14ac:dyDescent="0.35">
      <c r="A3" s="577" t="s">
        <v>4</v>
      </c>
      <c r="B3" s="577"/>
      <c r="C3" s="580" t="s">
        <v>720</v>
      </c>
      <c r="D3" s="580"/>
      <c r="E3" s="580"/>
      <c r="F3" s="99" t="s">
        <v>158</v>
      </c>
      <c r="H3" s="22"/>
      <c r="I3" s="579" t="s">
        <v>127</v>
      </c>
      <c r="J3" s="579"/>
      <c r="K3" s="579"/>
    </row>
    <row r="4" spans="1:22" ht="9" customHeight="1" thickBot="1" x14ac:dyDescent="0.3"/>
    <row r="5" spans="1:22" s="6" customFormat="1" ht="23.25" customHeight="1" thickBot="1" x14ac:dyDescent="0.25">
      <c r="A5" s="571" t="s">
        <v>5</v>
      </c>
      <c r="B5" s="571" t="s">
        <v>6</v>
      </c>
      <c r="C5" s="569" t="s">
        <v>7</v>
      </c>
      <c r="D5" s="571" t="s">
        <v>8</v>
      </c>
      <c r="E5" s="571" t="s">
        <v>9</v>
      </c>
      <c r="F5" s="569" t="s">
        <v>34</v>
      </c>
      <c r="G5" s="568" t="s">
        <v>11</v>
      </c>
      <c r="H5" s="568"/>
      <c r="I5" s="568"/>
      <c r="J5" s="568"/>
      <c r="K5" s="569" t="s">
        <v>10</v>
      </c>
      <c r="L5" s="571" t="s">
        <v>12</v>
      </c>
      <c r="M5" s="571" t="s">
        <v>30</v>
      </c>
      <c r="N5" s="573" t="s">
        <v>13</v>
      </c>
    </row>
    <row r="6" spans="1:22" s="6" customFormat="1" ht="32.25" customHeight="1" thickBot="1" x14ac:dyDescent="0.25">
      <c r="A6" s="572"/>
      <c r="B6" s="572"/>
      <c r="C6" s="570"/>
      <c r="D6" s="572"/>
      <c r="E6" s="572"/>
      <c r="F6" s="570"/>
      <c r="G6" s="2" t="s">
        <v>14</v>
      </c>
      <c r="H6" s="2" t="s">
        <v>15</v>
      </c>
      <c r="I6" s="2" t="s">
        <v>16</v>
      </c>
      <c r="J6" s="2" t="s">
        <v>17</v>
      </c>
      <c r="K6" s="570"/>
      <c r="L6" s="572"/>
      <c r="M6" s="572"/>
      <c r="N6" s="573"/>
    </row>
    <row r="7" spans="1:22" s="6" customFormat="1" ht="30" customHeight="1" x14ac:dyDescent="0.3">
      <c r="A7" s="259" t="s">
        <v>722</v>
      </c>
      <c r="B7" s="425" t="s">
        <v>22</v>
      </c>
      <c r="C7" s="102">
        <v>5500</v>
      </c>
      <c r="D7" s="91">
        <v>208.6</v>
      </c>
      <c r="E7" s="55">
        <f>D7*C7</f>
        <v>1147300</v>
      </c>
      <c r="F7" s="41">
        <v>5728</v>
      </c>
      <c r="G7" s="40">
        <v>300</v>
      </c>
      <c r="H7" s="41">
        <f>300+300+300+300+300</f>
        <v>1500</v>
      </c>
      <c r="I7" s="41">
        <f>312+406+400+400+400</f>
        <v>1918</v>
      </c>
      <c r="J7" s="58">
        <f>400+400+400+810</f>
        <v>2010</v>
      </c>
      <c r="K7" s="456">
        <f>G7+H7+I7+J7</f>
        <v>5728</v>
      </c>
      <c r="L7" s="482">
        <f>D7*K7</f>
        <v>1194860.8</v>
      </c>
      <c r="M7" s="64">
        <f>F7-K7</f>
        <v>0</v>
      </c>
      <c r="N7" s="242">
        <f>K7/C7</f>
        <v>1.0414545454545454</v>
      </c>
      <c r="O7" s="32"/>
      <c r="S7" s="468">
        <f>G7*D7</f>
        <v>62580</v>
      </c>
      <c r="T7" s="468">
        <f>H7*D7</f>
        <v>312900</v>
      </c>
      <c r="U7" s="468">
        <f>I7*D7</f>
        <v>400094.8</v>
      </c>
      <c r="V7" s="468">
        <f>J7*D7</f>
        <v>419286</v>
      </c>
    </row>
    <row r="8" spans="1:22" s="6" customFormat="1" ht="5.0999999999999996" customHeight="1" x14ac:dyDescent="0.2">
      <c r="A8" s="68"/>
      <c r="B8" s="44"/>
      <c r="C8" s="102"/>
      <c r="D8" s="92"/>
      <c r="E8" s="34"/>
      <c r="F8" s="41"/>
      <c r="G8" s="40"/>
      <c r="H8" s="41"/>
      <c r="I8" s="41"/>
      <c r="J8" s="58"/>
      <c r="K8" s="62"/>
      <c r="L8" s="483"/>
      <c r="M8" s="3"/>
      <c r="N8" s="243"/>
      <c r="S8" s="468">
        <f t="shared" ref="S8:S71" si="0">G8*D8</f>
        <v>0</v>
      </c>
      <c r="T8" s="468">
        <f t="shared" ref="T8:T71" si="1">H8*D8</f>
        <v>0</v>
      </c>
      <c r="U8" s="468">
        <f t="shared" ref="U8:U71" si="2">I8*D8</f>
        <v>0</v>
      </c>
      <c r="V8" s="468">
        <f t="shared" ref="V8:V71" si="3">J8*D8</f>
        <v>0</v>
      </c>
    </row>
    <row r="9" spans="1:22" s="6" customFormat="1" ht="20.100000000000001" customHeight="1" x14ac:dyDescent="0.2">
      <c r="A9" s="68"/>
      <c r="B9" s="35" t="s">
        <v>23</v>
      </c>
      <c r="C9" s="102"/>
      <c r="D9" s="91"/>
      <c r="E9" s="34"/>
      <c r="F9" s="41"/>
      <c r="G9" s="40"/>
      <c r="H9" s="41"/>
      <c r="I9" s="41"/>
      <c r="J9" s="58"/>
      <c r="K9" s="62"/>
      <c r="L9" s="482"/>
      <c r="M9" s="64"/>
      <c r="N9" s="243"/>
      <c r="P9" s="30"/>
      <c r="S9" s="468">
        <f t="shared" si="0"/>
        <v>0</v>
      </c>
      <c r="T9" s="468">
        <f t="shared" si="1"/>
        <v>0</v>
      </c>
      <c r="U9" s="468">
        <f t="shared" si="2"/>
        <v>0</v>
      </c>
      <c r="V9" s="468">
        <f t="shared" si="3"/>
        <v>0</v>
      </c>
    </row>
    <row r="10" spans="1:22" s="6" customFormat="1" ht="5.0999999999999996" customHeight="1" x14ac:dyDescent="0.2">
      <c r="A10" s="68"/>
      <c r="B10" s="35"/>
      <c r="C10" s="102"/>
      <c r="D10" s="91"/>
      <c r="E10" s="56"/>
      <c r="F10" s="41"/>
      <c r="G10" s="40"/>
      <c r="H10" s="41"/>
      <c r="I10" s="41"/>
      <c r="J10" s="58"/>
      <c r="K10" s="62"/>
      <c r="L10" s="483"/>
      <c r="M10" s="3"/>
      <c r="N10" s="243"/>
      <c r="P10" s="30"/>
      <c r="S10" s="468">
        <f t="shared" si="0"/>
        <v>0</v>
      </c>
      <c r="T10" s="468">
        <f t="shared" si="1"/>
        <v>0</v>
      </c>
      <c r="U10" s="468">
        <f t="shared" si="2"/>
        <v>0</v>
      </c>
      <c r="V10" s="468">
        <f t="shared" si="3"/>
        <v>0</v>
      </c>
    </row>
    <row r="11" spans="1:22" s="6" customFormat="1" ht="20.100000000000001" customHeight="1" x14ac:dyDescent="0.2">
      <c r="A11" s="493">
        <v>5406</v>
      </c>
      <c r="B11" s="35" t="s">
        <v>86</v>
      </c>
      <c r="C11" s="102"/>
      <c r="D11" s="91">
        <v>109.8</v>
      </c>
      <c r="E11" s="56">
        <f t="shared" ref="E11:E20" si="4">D11*C11</f>
        <v>0</v>
      </c>
      <c r="F11" s="41"/>
      <c r="G11" s="40"/>
      <c r="H11" s="41"/>
      <c r="I11" s="41"/>
      <c r="J11" s="58"/>
      <c r="K11" s="62">
        <f t="shared" ref="K11:K20" si="5">G11+H11+I11+J11</f>
        <v>0</v>
      </c>
      <c r="L11" s="482">
        <f t="shared" ref="L11:L20" si="6">D11*K11</f>
        <v>0</v>
      </c>
      <c r="M11" s="64">
        <f t="shared" ref="M11:M20" si="7">F11-K11</f>
        <v>0</v>
      </c>
      <c r="N11" s="243" t="e">
        <f t="shared" ref="N11:N20" si="8">K11/C11</f>
        <v>#DIV/0!</v>
      </c>
      <c r="S11" s="468">
        <f t="shared" si="0"/>
        <v>0</v>
      </c>
      <c r="T11" s="468">
        <f t="shared" si="1"/>
        <v>0</v>
      </c>
      <c r="U11" s="468">
        <f t="shared" si="2"/>
        <v>0</v>
      </c>
      <c r="V11" s="468">
        <f t="shared" si="3"/>
        <v>0</v>
      </c>
    </row>
    <row r="12" spans="1:22" s="6" customFormat="1" ht="19.5" customHeight="1" x14ac:dyDescent="0.2">
      <c r="A12" s="493">
        <v>5407</v>
      </c>
      <c r="B12" s="35" t="s">
        <v>40</v>
      </c>
      <c r="C12" s="102"/>
      <c r="D12" s="91">
        <v>82.5</v>
      </c>
      <c r="E12" s="56">
        <f t="shared" si="4"/>
        <v>0</v>
      </c>
      <c r="F12" s="41"/>
      <c r="G12" s="40"/>
      <c r="H12" s="41"/>
      <c r="I12" s="41"/>
      <c r="J12" s="58"/>
      <c r="K12" s="62">
        <f t="shared" si="5"/>
        <v>0</v>
      </c>
      <c r="L12" s="482">
        <f t="shared" si="6"/>
        <v>0</v>
      </c>
      <c r="M12" s="64">
        <f t="shared" si="7"/>
        <v>0</v>
      </c>
      <c r="N12" s="243" t="e">
        <f t="shared" si="8"/>
        <v>#DIV/0!</v>
      </c>
      <c r="S12" s="468">
        <f t="shared" si="0"/>
        <v>0</v>
      </c>
      <c r="T12" s="468">
        <f t="shared" si="1"/>
        <v>0</v>
      </c>
      <c r="U12" s="468">
        <f t="shared" si="2"/>
        <v>0</v>
      </c>
      <c r="V12" s="468">
        <f t="shared" si="3"/>
        <v>0</v>
      </c>
    </row>
    <row r="13" spans="1:22" s="6" customFormat="1" ht="19.5" customHeight="1" x14ac:dyDescent="0.2">
      <c r="A13" s="493">
        <v>5408</v>
      </c>
      <c r="B13" s="35" t="s">
        <v>41</v>
      </c>
      <c r="C13" s="102"/>
      <c r="D13" s="91">
        <v>87</v>
      </c>
      <c r="E13" s="56">
        <f t="shared" si="4"/>
        <v>0</v>
      </c>
      <c r="F13" s="41"/>
      <c r="G13" s="40"/>
      <c r="H13" s="268"/>
      <c r="I13" s="41"/>
      <c r="J13" s="58"/>
      <c r="K13" s="62">
        <f t="shared" si="5"/>
        <v>0</v>
      </c>
      <c r="L13" s="482">
        <f t="shared" si="6"/>
        <v>0</v>
      </c>
      <c r="M13" s="64">
        <f t="shared" si="7"/>
        <v>0</v>
      </c>
      <c r="N13" s="243" t="e">
        <f t="shared" si="8"/>
        <v>#DIV/0!</v>
      </c>
      <c r="S13" s="468">
        <f t="shared" si="0"/>
        <v>0</v>
      </c>
      <c r="T13" s="468">
        <f t="shared" si="1"/>
        <v>0</v>
      </c>
      <c r="U13" s="468">
        <f t="shared" si="2"/>
        <v>0</v>
      </c>
      <c r="V13" s="468">
        <f t="shared" si="3"/>
        <v>0</v>
      </c>
    </row>
    <row r="14" spans="1:22" s="6" customFormat="1" ht="19.5" customHeight="1" x14ac:dyDescent="0.2">
      <c r="A14" s="493">
        <v>5409</v>
      </c>
      <c r="B14" s="47" t="s">
        <v>85</v>
      </c>
      <c r="C14" s="102"/>
      <c r="D14" s="91">
        <v>73.400000000000006</v>
      </c>
      <c r="E14" s="56">
        <f t="shared" si="4"/>
        <v>0</v>
      </c>
      <c r="F14" s="41"/>
      <c r="G14" s="40"/>
      <c r="H14" s="41"/>
      <c r="I14" s="41"/>
      <c r="J14" s="58"/>
      <c r="K14" s="62">
        <f t="shared" si="5"/>
        <v>0</v>
      </c>
      <c r="L14" s="482">
        <f t="shared" si="6"/>
        <v>0</v>
      </c>
      <c r="M14" s="64">
        <f t="shared" si="7"/>
        <v>0</v>
      </c>
      <c r="N14" s="243" t="e">
        <f t="shared" si="8"/>
        <v>#DIV/0!</v>
      </c>
      <c r="S14" s="468">
        <f t="shared" si="0"/>
        <v>0</v>
      </c>
      <c r="T14" s="468">
        <f t="shared" si="1"/>
        <v>0</v>
      </c>
      <c r="U14" s="468">
        <f t="shared" si="2"/>
        <v>0</v>
      </c>
      <c r="V14" s="468">
        <f t="shared" si="3"/>
        <v>0</v>
      </c>
    </row>
    <row r="15" spans="1:22" s="6" customFormat="1" ht="19.5" customHeight="1" x14ac:dyDescent="0.25">
      <c r="A15" s="493">
        <v>5410</v>
      </c>
      <c r="B15" s="47" t="s">
        <v>84</v>
      </c>
      <c r="C15" s="102">
        <v>250</v>
      </c>
      <c r="D15" s="91">
        <v>363</v>
      </c>
      <c r="E15" s="56">
        <f t="shared" si="4"/>
        <v>90750</v>
      </c>
      <c r="F15" s="41">
        <v>250</v>
      </c>
      <c r="G15" s="40"/>
      <c r="H15" s="41"/>
      <c r="I15" s="41"/>
      <c r="J15" s="58">
        <v>250</v>
      </c>
      <c r="K15" s="456">
        <f t="shared" si="5"/>
        <v>250</v>
      </c>
      <c r="L15" s="482">
        <f t="shared" si="6"/>
        <v>90750</v>
      </c>
      <c r="M15" s="64">
        <f t="shared" si="7"/>
        <v>0</v>
      </c>
      <c r="N15" s="243">
        <f t="shared" si="8"/>
        <v>1</v>
      </c>
      <c r="O15" s="5"/>
      <c r="S15" s="468">
        <f t="shared" si="0"/>
        <v>0</v>
      </c>
      <c r="T15" s="468">
        <f t="shared" si="1"/>
        <v>0</v>
      </c>
      <c r="U15" s="468">
        <f t="shared" si="2"/>
        <v>0</v>
      </c>
      <c r="V15" s="468">
        <f t="shared" si="3"/>
        <v>90750</v>
      </c>
    </row>
    <row r="16" spans="1:22" s="6" customFormat="1" ht="19.5" customHeight="1" x14ac:dyDescent="0.2">
      <c r="A16" s="493">
        <v>5411</v>
      </c>
      <c r="B16" s="36" t="s">
        <v>83</v>
      </c>
      <c r="C16" s="102">
        <v>250</v>
      </c>
      <c r="D16" s="91">
        <v>108.2</v>
      </c>
      <c r="E16" s="56">
        <f t="shared" si="4"/>
        <v>27050</v>
      </c>
      <c r="F16" s="41">
        <v>250</v>
      </c>
      <c r="G16" s="40"/>
      <c r="H16" s="41"/>
      <c r="I16" s="41"/>
      <c r="J16" s="58">
        <v>250</v>
      </c>
      <c r="K16" s="456">
        <f t="shared" si="5"/>
        <v>250</v>
      </c>
      <c r="L16" s="482">
        <f t="shared" si="6"/>
        <v>27050</v>
      </c>
      <c r="M16" s="64">
        <f t="shared" si="7"/>
        <v>0</v>
      </c>
      <c r="N16" s="243">
        <f t="shared" si="8"/>
        <v>1</v>
      </c>
      <c r="S16" s="468">
        <f t="shared" si="0"/>
        <v>0</v>
      </c>
      <c r="T16" s="468">
        <f t="shared" si="1"/>
        <v>0</v>
      </c>
      <c r="U16" s="468">
        <f t="shared" si="2"/>
        <v>0</v>
      </c>
      <c r="V16" s="468">
        <f t="shared" si="3"/>
        <v>27050</v>
      </c>
    </row>
    <row r="17" spans="1:22" s="6" customFormat="1" ht="19.5" customHeight="1" x14ac:dyDescent="0.2">
      <c r="A17" s="493">
        <v>5412</v>
      </c>
      <c r="B17" s="35" t="s">
        <v>42</v>
      </c>
      <c r="C17" s="102">
        <v>250</v>
      </c>
      <c r="D17" s="91">
        <v>27.85</v>
      </c>
      <c r="E17" s="56">
        <f>D17*C17</f>
        <v>6962.5</v>
      </c>
      <c r="F17" s="41">
        <v>250</v>
      </c>
      <c r="G17" s="40"/>
      <c r="H17" s="41"/>
      <c r="I17" s="41"/>
      <c r="J17" s="58">
        <v>250</v>
      </c>
      <c r="K17" s="456">
        <f t="shared" si="5"/>
        <v>250</v>
      </c>
      <c r="L17" s="482">
        <f t="shared" si="6"/>
        <v>6962.5</v>
      </c>
      <c r="M17" s="64">
        <f t="shared" si="7"/>
        <v>0</v>
      </c>
      <c r="N17" s="243">
        <f t="shared" si="8"/>
        <v>1</v>
      </c>
      <c r="P17" s="30"/>
      <c r="S17" s="468">
        <f t="shared" si="0"/>
        <v>0</v>
      </c>
      <c r="T17" s="468">
        <f t="shared" si="1"/>
        <v>0</v>
      </c>
      <c r="U17" s="468">
        <f t="shared" si="2"/>
        <v>0</v>
      </c>
      <c r="V17" s="468">
        <f t="shared" si="3"/>
        <v>6962.5</v>
      </c>
    </row>
    <row r="18" spans="1:22" s="6" customFormat="1" ht="19.5" customHeight="1" x14ac:dyDescent="0.2">
      <c r="A18" s="493">
        <v>5413</v>
      </c>
      <c r="B18" s="35" t="s">
        <v>138</v>
      </c>
      <c r="C18" s="102">
        <v>250</v>
      </c>
      <c r="D18" s="91">
        <v>2.5</v>
      </c>
      <c r="E18" s="56">
        <f t="shared" si="4"/>
        <v>625</v>
      </c>
      <c r="F18" s="41">
        <v>250</v>
      </c>
      <c r="G18" s="40"/>
      <c r="H18" s="41"/>
      <c r="I18" s="41"/>
      <c r="J18" s="58">
        <v>250</v>
      </c>
      <c r="K18" s="456">
        <f t="shared" si="5"/>
        <v>250</v>
      </c>
      <c r="L18" s="482">
        <f t="shared" si="6"/>
        <v>625</v>
      </c>
      <c r="M18" s="64">
        <f t="shared" si="7"/>
        <v>0</v>
      </c>
      <c r="N18" s="243">
        <f t="shared" si="8"/>
        <v>1</v>
      </c>
      <c r="S18" s="468">
        <f t="shared" si="0"/>
        <v>0</v>
      </c>
      <c r="T18" s="468">
        <f t="shared" si="1"/>
        <v>0</v>
      </c>
      <c r="U18" s="468">
        <f t="shared" si="2"/>
        <v>0</v>
      </c>
      <c r="V18" s="468">
        <f t="shared" si="3"/>
        <v>625</v>
      </c>
    </row>
    <row r="19" spans="1:22" s="6" customFormat="1" ht="19.5" customHeight="1" x14ac:dyDescent="0.2">
      <c r="A19" s="493">
        <v>5414</v>
      </c>
      <c r="B19" s="35" t="s">
        <v>139</v>
      </c>
      <c r="C19" s="102">
        <v>250</v>
      </c>
      <c r="D19" s="91">
        <v>5.5</v>
      </c>
      <c r="E19" s="56">
        <f t="shared" si="4"/>
        <v>1375</v>
      </c>
      <c r="F19" s="41">
        <v>250</v>
      </c>
      <c r="G19" s="40"/>
      <c r="H19" s="41"/>
      <c r="I19" s="41"/>
      <c r="J19" s="58">
        <v>250</v>
      </c>
      <c r="K19" s="456">
        <f t="shared" si="5"/>
        <v>250</v>
      </c>
      <c r="L19" s="482">
        <f t="shared" si="6"/>
        <v>1375</v>
      </c>
      <c r="M19" s="64">
        <f t="shared" si="7"/>
        <v>0</v>
      </c>
      <c r="N19" s="243">
        <f t="shared" si="8"/>
        <v>1</v>
      </c>
      <c r="S19" s="468">
        <f t="shared" si="0"/>
        <v>0</v>
      </c>
      <c r="T19" s="468">
        <f t="shared" si="1"/>
        <v>0</v>
      </c>
      <c r="U19" s="468">
        <f t="shared" si="2"/>
        <v>0</v>
      </c>
      <c r="V19" s="468">
        <f t="shared" si="3"/>
        <v>1375</v>
      </c>
    </row>
    <row r="20" spans="1:22" s="6" customFormat="1" ht="19.5" customHeight="1" x14ac:dyDescent="0.2">
      <c r="A20" s="493">
        <v>5415</v>
      </c>
      <c r="B20" s="35" t="s">
        <v>43</v>
      </c>
      <c r="C20" s="102">
        <v>250</v>
      </c>
      <c r="D20" s="91">
        <v>5.5</v>
      </c>
      <c r="E20" s="56">
        <f t="shared" si="4"/>
        <v>1375</v>
      </c>
      <c r="F20" s="41">
        <v>250</v>
      </c>
      <c r="G20" s="40"/>
      <c r="H20" s="41"/>
      <c r="I20" s="41"/>
      <c r="J20" s="58">
        <v>250</v>
      </c>
      <c r="K20" s="456">
        <f t="shared" si="5"/>
        <v>250</v>
      </c>
      <c r="L20" s="482">
        <f t="shared" si="6"/>
        <v>1375</v>
      </c>
      <c r="M20" s="64">
        <f t="shared" si="7"/>
        <v>0</v>
      </c>
      <c r="N20" s="243">
        <f t="shared" si="8"/>
        <v>1</v>
      </c>
      <c r="S20" s="468">
        <f t="shared" si="0"/>
        <v>0</v>
      </c>
      <c r="T20" s="468">
        <f t="shared" si="1"/>
        <v>0</v>
      </c>
      <c r="U20" s="468">
        <f t="shared" si="2"/>
        <v>0</v>
      </c>
      <c r="V20" s="468">
        <f t="shared" si="3"/>
        <v>1375</v>
      </c>
    </row>
    <row r="21" spans="1:22" s="6" customFormat="1" ht="5.0999999999999996" customHeight="1" x14ac:dyDescent="0.2">
      <c r="A21" s="69"/>
      <c r="B21" s="48"/>
      <c r="C21" s="102"/>
      <c r="D21" s="91"/>
      <c r="E21" s="34"/>
      <c r="F21" s="41"/>
      <c r="G21" s="40"/>
      <c r="H21" s="41"/>
      <c r="I21" s="41"/>
      <c r="J21" s="58"/>
      <c r="K21" s="62"/>
      <c r="L21" s="483"/>
      <c r="M21" s="3"/>
      <c r="N21" s="243"/>
      <c r="S21" s="468">
        <f t="shared" si="0"/>
        <v>0</v>
      </c>
      <c r="T21" s="468">
        <f t="shared" si="1"/>
        <v>0</v>
      </c>
      <c r="U21" s="468">
        <f t="shared" si="2"/>
        <v>0</v>
      </c>
      <c r="V21" s="468">
        <f t="shared" si="3"/>
        <v>0</v>
      </c>
    </row>
    <row r="22" spans="1:22" s="6" customFormat="1" ht="19.5" customHeight="1" x14ac:dyDescent="0.2">
      <c r="A22" s="493">
        <v>5434</v>
      </c>
      <c r="B22" s="47" t="s">
        <v>44</v>
      </c>
      <c r="C22" s="33">
        <f>2+38+44+32+70+60</f>
        <v>246</v>
      </c>
      <c r="D22" s="91">
        <v>389.4</v>
      </c>
      <c r="E22" s="56">
        <f t="shared" ref="E22:E29" si="9">D22*C22</f>
        <v>95792.4</v>
      </c>
      <c r="F22" s="41">
        <v>254</v>
      </c>
      <c r="G22" s="40">
        <v>10</v>
      </c>
      <c r="H22" s="41">
        <f>19+35</f>
        <v>54</v>
      </c>
      <c r="I22" s="41"/>
      <c r="J22" s="58">
        <f>84+106</f>
        <v>190</v>
      </c>
      <c r="K22" s="456">
        <f t="shared" ref="K22:K29" si="10">G22+H22+I22+J22</f>
        <v>254</v>
      </c>
      <c r="L22" s="482">
        <f t="shared" ref="L22:L29" si="11">D22*K22</f>
        <v>98907.599999999991</v>
      </c>
      <c r="M22" s="64">
        <f t="shared" ref="M22:M29" si="12">F22-K22</f>
        <v>0</v>
      </c>
      <c r="N22" s="243">
        <f t="shared" ref="N22:N29" si="13">K22/C22</f>
        <v>1.032520325203252</v>
      </c>
      <c r="S22" s="468">
        <f t="shared" si="0"/>
        <v>3894</v>
      </c>
      <c r="T22" s="468">
        <f t="shared" si="1"/>
        <v>21027.599999999999</v>
      </c>
      <c r="U22" s="468">
        <f t="shared" si="2"/>
        <v>0</v>
      </c>
      <c r="V22" s="468">
        <f t="shared" si="3"/>
        <v>73986</v>
      </c>
    </row>
    <row r="23" spans="1:22" s="6" customFormat="1" ht="19.5" customHeight="1" x14ac:dyDescent="0.2">
      <c r="A23" s="493">
        <v>5433</v>
      </c>
      <c r="B23" s="35" t="s">
        <v>45</v>
      </c>
      <c r="C23" s="33">
        <f>24+4+4+16+50+180+70</f>
        <v>348</v>
      </c>
      <c r="D23" s="91">
        <v>357.25</v>
      </c>
      <c r="E23" s="56">
        <f t="shared" si="9"/>
        <v>124323</v>
      </c>
      <c r="F23" s="41">
        <v>369</v>
      </c>
      <c r="G23" s="40">
        <v>6</v>
      </c>
      <c r="H23" s="41">
        <v>74</v>
      </c>
      <c r="I23" s="41"/>
      <c r="J23" s="58">
        <f>78+74+137</f>
        <v>289</v>
      </c>
      <c r="K23" s="456">
        <f t="shared" si="10"/>
        <v>369</v>
      </c>
      <c r="L23" s="482">
        <f t="shared" si="11"/>
        <v>131825.25</v>
      </c>
      <c r="M23" s="64">
        <f t="shared" si="12"/>
        <v>0</v>
      </c>
      <c r="N23" s="243">
        <f t="shared" si="13"/>
        <v>1.0603448275862069</v>
      </c>
      <c r="S23" s="468">
        <f t="shared" si="0"/>
        <v>2143.5</v>
      </c>
      <c r="T23" s="468">
        <f t="shared" si="1"/>
        <v>26436.5</v>
      </c>
      <c r="U23" s="468">
        <f t="shared" si="2"/>
        <v>0</v>
      </c>
      <c r="V23" s="468">
        <f t="shared" si="3"/>
        <v>103245.25</v>
      </c>
    </row>
    <row r="24" spans="1:22" s="6" customFormat="1" ht="19.5" customHeight="1" x14ac:dyDescent="0.2">
      <c r="A24" s="493">
        <v>5437</v>
      </c>
      <c r="B24" s="36" t="s">
        <v>46</v>
      </c>
      <c r="C24" s="33">
        <f>60</f>
        <v>60</v>
      </c>
      <c r="D24" s="91">
        <v>29.45</v>
      </c>
      <c r="E24" s="56">
        <f t="shared" si="9"/>
        <v>1767</v>
      </c>
      <c r="F24" s="41">
        <v>54</v>
      </c>
      <c r="G24" s="40"/>
      <c r="H24" s="41">
        <f>19+35</f>
        <v>54</v>
      </c>
      <c r="I24" s="41"/>
      <c r="J24" s="58"/>
      <c r="K24" s="456">
        <f t="shared" si="10"/>
        <v>54</v>
      </c>
      <c r="L24" s="482">
        <f t="shared" si="11"/>
        <v>1590.3</v>
      </c>
      <c r="M24" s="64">
        <f t="shared" si="12"/>
        <v>0</v>
      </c>
      <c r="N24" s="243">
        <f t="shared" si="13"/>
        <v>0.9</v>
      </c>
      <c r="S24" s="468">
        <f t="shared" si="0"/>
        <v>0</v>
      </c>
      <c r="T24" s="468">
        <f t="shared" si="1"/>
        <v>1590.3</v>
      </c>
      <c r="U24" s="468">
        <f t="shared" si="2"/>
        <v>0</v>
      </c>
      <c r="V24" s="468">
        <f t="shared" si="3"/>
        <v>0</v>
      </c>
    </row>
    <row r="25" spans="1:22" s="6" customFormat="1" ht="19.5" customHeight="1" x14ac:dyDescent="0.2">
      <c r="A25" s="493">
        <v>5435</v>
      </c>
      <c r="B25" s="47" t="s">
        <v>47</v>
      </c>
      <c r="C25" s="33">
        <f>38+24+16+180</f>
        <v>258</v>
      </c>
      <c r="D25" s="91">
        <v>29.5</v>
      </c>
      <c r="E25" s="56">
        <f t="shared" si="9"/>
        <v>7611</v>
      </c>
      <c r="F25" s="41">
        <v>291</v>
      </c>
      <c r="G25" s="40">
        <v>10</v>
      </c>
      <c r="H25" s="41">
        <v>50</v>
      </c>
      <c r="I25" s="41"/>
      <c r="J25" s="58">
        <f>94+137</f>
        <v>231</v>
      </c>
      <c r="K25" s="456">
        <f t="shared" si="10"/>
        <v>291</v>
      </c>
      <c r="L25" s="482">
        <f t="shared" si="11"/>
        <v>8584.5</v>
      </c>
      <c r="M25" s="64">
        <f t="shared" si="12"/>
        <v>0</v>
      </c>
      <c r="N25" s="243">
        <f t="shared" si="13"/>
        <v>1.1279069767441861</v>
      </c>
      <c r="S25" s="468">
        <f t="shared" si="0"/>
        <v>295</v>
      </c>
      <c r="T25" s="468">
        <f t="shared" si="1"/>
        <v>1475</v>
      </c>
      <c r="U25" s="468">
        <f t="shared" si="2"/>
        <v>0</v>
      </c>
      <c r="V25" s="468">
        <f t="shared" si="3"/>
        <v>6814.5</v>
      </c>
    </row>
    <row r="26" spans="1:22" s="6" customFormat="1" ht="19.5" customHeight="1" x14ac:dyDescent="0.2">
      <c r="A26" s="493">
        <v>5436</v>
      </c>
      <c r="B26" s="35" t="s">
        <v>48</v>
      </c>
      <c r="C26" s="33">
        <f>2+38+24+4+44+4+32+16+50+70+180+60+70</f>
        <v>594</v>
      </c>
      <c r="D26" s="91">
        <v>25.2</v>
      </c>
      <c r="E26" s="56">
        <f t="shared" si="9"/>
        <v>14968.8</v>
      </c>
      <c r="F26" s="41">
        <v>623</v>
      </c>
      <c r="G26" s="40">
        <v>16</v>
      </c>
      <c r="H26" s="41">
        <f>93+35</f>
        <v>128</v>
      </c>
      <c r="I26" s="41"/>
      <c r="J26" s="58">
        <f>78+158+243</f>
        <v>479</v>
      </c>
      <c r="K26" s="456">
        <f t="shared" si="10"/>
        <v>623</v>
      </c>
      <c r="L26" s="482">
        <f t="shared" si="11"/>
        <v>15699.6</v>
      </c>
      <c r="M26" s="64">
        <f t="shared" si="12"/>
        <v>0</v>
      </c>
      <c r="N26" s="243">
        <f t="shared" si="13"/>
        <v>1.0488215488215489</v>
      </c>
      <c r="S26" s="468">
        <f t="shared" si="0"/>
        <v>403.2</v>
      </c>
      <c r="T26" s="468">
        <f t="shared" si="1"/>
        <v>3225.6</v>
      </c>
      <c r="U26" s="468">
        <f t="shared" si="2"/>
        <v>0</v>
      </c>
      <c r="V26" s="468">
        <f t="shared" si="3"/>
        <v>12070.8</v>
      </c>
    </row>
    <row r="27" spans="1:22" s="6" customFormat="1" ht="19.5" customHeight="1" x14ac:dyDescent="0.2">
      <c r="A27" s="493">
        <v>5438</v>
      </c>
      <c r="B27" s="45" t="s">
        <v>49</v>
      </c>
      <c r="C27" s="33"/>
      <c r="D27" s="91">
        <v>50.9</v>
      </c>
      <c r="E27" s="56">
        <f t="shared" si="9"/>
        <v>0</v>
      </c>
      <c r="F27" s="41"/>
      <c r="G27" s="40"/>
      <c r="H27" s="41"/>
      <c r="I27" s="41"/>
      <c r="J27" s="58"/>
      <c r="K27" s="62">
        <f t="shared" si="10"/>
        <v>0</v>
      </c>
      <c r="L27" s="482">
        <f t="shared" si="11"/>
        <v>0</v>
      </c>
      <c r="M27" s="64">
        <f t="shared" si="12"/>
        <v>0</v>
      </c>
      <c r="N27" s="243" t="e">
        <f t="shared" si="13"/>
        <v>#DIV/0!</v>
      </c>
      <c r="S27" s="468">
        <f t="shared" si="0"/>
        <v>0</v>
      </c>
      <c r="T27" s="468">
        <f t="shared" si="1"/>
        <v>0</v>
      </c>
      <c r="U27" s="468">
        <f t="shared" si="2"/>
        <v>0</v>
      </c>
      <c r="V27" s="468">
        <f t="shared" si="3"/>
        <v>0</v>
      </c>
    </row>
    <row r="28" spans="1:22" s="6" customFormat="1" ht="19.5" customHeight="1" x14ac:dyDescent="0.2">
      <c r="A28" s="68"/>
      <c r="B28" s="35"/>
      <c r="C28" s="33"/>
      <c r="D28" s="91"/>
      <c r="E28" s="56"/>
      <c r="F28" s="41"/>
      <c r="G28" s="40"/>
      <c r="H28" s="41"/>
      <c r="I28" s="41"/>
      <c r="J28" s="58"/>
      <c r="K28" s="62"/>
      <c r="L28" s="482"/>
      <c r="M28" s="64"/>
      <c r="N28" s="243"/>
      <c r="S28" s="468">
        <f t="shared" si="0"/>
        <v>0</v>
      </c>
      <c r="T28" s="468">
        <f t="shared" si="1"/>
        <v>0</v>
      </c>
      <c r="U28" s="468">
        <f t="shared" si="2"/>
        <v>0</v>
      </c>
      <c r="V28" s="468">
        <f t="shared" si="3"/>
        <v>0</v>
      </c>
    </row>
    <row r="29" spans="1:22" s="6" customFormat="1" ht="19.5" customHeight="1" x14ac:dyDescent="0.2">
      <c r="A29" s="68" t="s">
        <v>748</v>
      </c>
      <c r="B29" s="36" t="s">
        <v>50</v>
      </c>
      <c r="C29" s="33">
        <f>24*2+4*2+4*2+16*2+50*2+180*2+70*2</f>
        <v>696</v>
      </c>
      <c r="D29" s="93">
        <v>2.15</v>
      </c>
      <c r="E29" s="56">
        <f t="shared" si="9"/>
        <v>1496.3999999999999</v>
      </c>
      <c r="F29" s="41">
        <v>738</v>
      </c>
      <c r="G29" s="40">
        <v>12</v>
      </c>
      <c r="H29" s="41">
        <v>148</v>
      </c>
      <c r="I29" s="241"/>
      <c r="J29" s="263">
        <f>156+148+274</f>
        <v>578</v>
      </c>
      <c r="K29" s="555">
        <f t="shared" si="10"/>
        <v>738</v>
      </c>
      <c r="L29" s="482">
        <f t="shared" si="11"/>
        <v>1586.7</v>
      </c>
      <c r="M29" s="64">
        <f t="shared" si="12"/>
        <v>0</v>
      </c>
      <c r="N29" s="243">
        <f t="shared" si="13"/>
        <v>1.0603448275862069</v>
      </c>
      <c r="S29" s="468">
        <f t="shared" si="0"/>
        <v>25.799999999999997</v>
      </c>
      <c r="T29" s="468">
        <f t="shared" si="1"/>
        <v>318.2</v>
      </c>
      <c r="U29" s="468">
        <f t="shared" si="2"/>
        <v>0</v>
      </c>
      <c r="V29" s="468">
        <f t="shared" si="3"/>
        <v>1242.7</v>
      </c>
    </row>
    <row r="30" spans="1:22" s="6" customFormat="1" ht="5.0999999999999996" customHeight="1" x14ac:dyDescent="0.2">
      <c r="A30" s="69"/>
      <c r="B30" s="49"/>
      <c r="C30" s="33"/>
      <c r="D30" s="93"/>
      <c r="E30" s="34"/>
      <c r="F30" s="41"/>
      <c r="G30" s="40"/>
      <c r="H30" s="41"/>
      <c r="I30" s="41"/>
      <c r="J30" s="58"/>
      <c r="K30" s="62"/>
      <c r="L30" s="483"/>
      <c r="M30" s="3"/>
      <c r="N30" s="243"/>
      <c r="S30" s="468">
        <f t="shared" si="0"/>
        <v>0</v>
      </c>
      <c r="T30" s="468">
        <f t="shared" si="1"/>
        <v>0</v>
      </c>
      <c r="U30" s="468">
        <f t="shared" si="2"/>
        <v>0</v>
      </c>
      <c r="V30" s="468">
        <f t="shared" si="3"/>
        <v>0</v>
      </c>
    </row>
    <row r="31" spans="1:22" s="6" customFormat="1" ht="19.5" customHeight="1" x14ac:dyDescent="0.2">
      <c r="A31" s="493">
        <v>5427</v>
      </c>
      <c r="B31" s="35" t="s">
        <v>51</v>
      </c>
      <c r="C31" s="33">
        <f>1+12</f>
        <v>13</v>
      </c>
      <c r="D31" s="91">
        <v>465.45</v>
      </c>
      <c r="E31" s="56">
        <f>D31*C31</f>
        <v>6050.8499999999995</v>
      </c>
      <c r="F31" s="41">
        <v>13</v>
      </c>
      <c r="G31" s="40"/>
      <c r="H31" s="41"/>
      <c r="I31" s="41"/>
      <c r="J31" s="58">
        <v>13</v>
      </c>
      <c r="K31" s="456">
        <f>G31+H31+I31+J31</f>
        <v>13</v>
      </c>
      <c r="L31" s="482">
        <f>D31*K31</f>
        <v>6050.8499999999995</v>
      </c>
      <c r="M31" s="64">
        <f>F31-K31</f>
        <v>0</v>
      </c>
      <c r="N31" s="243">
        <f>K31/C31</f>
        <v>1</v>
      </c>
      <c r="S31" s="468">
        <f t="shared" si="0"/>
        <v>0</v>
      </c>
      <c r="T31" s="468">
        <f t="shared" si="1"/>
        <v>0</v>
      </c>
      <c r="U31" s="468">
        <f t="shared" si="2"/>
        <v>0</v>
      </c>
      <c r="V31" s="468">
        <f t="shared" si="3"/>
        <v>6050.8499999999995</v>
      </c>
    </row>
    <row r="32" spans="1:22" s="6" customFormat="1" ht="19.5" customHeight="1" x14ac:dyDescent="0.2">
      <c r="A32" s="493">
        <v>5428</v>
      </c>
      <c r="B32" s="35" t="s">
        <v>52</v>
      </c>
      <c r="C32" s="33">
        <f>1+12</f>
        <v>13</v>
      </c>
      <c r="D32" s="91">
        <v>20.9</v>
      </c>
      <c r="E32" s="56">
        <f>D32*C32</f>
        <v>271.7</v>
      </c>
      <c r="F32" s="41">
        <v>13</v>
      </c>
      <c r="G32" s="40"/>
      <c r="H32" s="41"/>
      <c r="I32" s="41"/>
      <c r="J32" s="58">
        <v>13</v>
      </c>
      <c r="K32" s="456">
        <f>G32+H32+I32+J32</f>
        <v>13</v>
      </c>
      <c r="L32" s="482">
        <f>D32*K32</f>
        <v>271.7</v>
      </c>
      <c r="M32" s="64">
        <f>F32-K32</f>
        <v>0</v>
      </c>
      <c r="N32" s="243">
        <f>K32/C32</f>
        <v>1</v>
      </c>
      <c r="S32" s="468">
        <f t="shared" si="0"/>
        <v>0</v>
      </c>
      <c r="T32" s="468">
        <f t="shared" si="1"/>
        <v>0</v>
      </c>
      <c r="U32" s="468">
        <f t="shared" si="2"/>
        <v>0</v>
      </c>
      <c r="V32" s="468">
        <f t="shared" si="3"/>
        <v>271.7</v>
      </c>
    </row>
    <row r="33" spans="1:22" s="6" customFormat="1" ht="19.5" customHeight="1" x14ac:dyDescent="0.2">
      <c r="A33" s="493">
        <v>5429</v>
      </c>
      <c r="B33" s="35" t="s">
        <v>53</v>
      </c>
      <c r="C33" s="33">
        <f>1</f>
        <v>1</v>
      </c>
      <c r="D33" s="91">
        <v>20.9</v>
      </c>
      <c r="E33" s="56">
        <f>D33*C33</f>
        <v>20.9</v>
      </c>
      <c r="F33" s="41">
        <v>1</v>
      </c>
      <c r="G33" s="40"/>
      <c r="H33" s="41"/>
      <c r="I33" s="41"/>
      <c r="J33" s="58">
        <v>1</v>
      </c>
      <c r="K33" s="456">
        <f>G33+H33+I33+J33</f>
        <v>1</v>
      </c>
      <c r="L33" s="482">
        <f>D33*K33</f>
        <v>20.9</v>
      </c>
      <c r="M33" s="64">
        <f>F33-K33</f>
        <v>0</v>
      </c>
      <c r="N33" s="243">
        <f>K33/C33</f>
        <v>1</v>
      </c>
      <c r="S33" s="468">
        <f t="shared" si="0"/>
        <v>0</v>
      </c>
      <c r="T33" s="468">
        <f t="shared" si="1"/>
        <v>0</v>
      </c>
      <c r="U33" s="468">
        <f t="shared" si="2"/>
        <v>0</v>
      </c>
      <c r="V33" s="468">
        <f t="shared" si="3"/>
        <v>20.9</v>
      </c>
    </row>
    <row r="34" spans="1:22" s="6" customFormat="1" ht="19.5" customHeight="1" x14ac:dyDescent="0.2">
      <c r="A34" s="493">
        <v>5430</v>
      </c>
      <c r="B34" s="35" t="s">
        <v>81</v>
      </c>
      <c r="C34" s="33"/>
      <c r="D34" s="91">
        <v>53.6</v>
      </c>
      <c r="E34" s="56">
        <f>D34*C34</f>
        <v>0</v>
      </c>
      <c r="F34" s="41"/>
      <c r="G34" s="40"/>
      <c r="H34" s="41"/>
      <c r="I34" s="41"/>
      <c r="J34" s="58"/>
      <c r="K34" s="62">
        <f>G34+H34+I34+J34</f>
        <v>0</v>
      </c>
      <c r="L34" s="482">
        <f>D34*K34</f>
        <v>0</v>
      </c>
      <c r="M34" s="64">
        <f>F34-K34</f>
        <v>0</v>
      </c>
      <c r="N34" s="243" t="e">
        <f>K34/C34</f>
        <v>#DIV/0!</v>
      </c>
      <c r="S34" s="468">
        <f>G34*D34</f>
        <v>0</v>
      </c>
      <c r="T34" s="468">
        <f>H34*D34</f>
        <v>0</v>
      </c>
      <c r="U34" s="468">
        <f>I34*D34</f>
        <v>0</v>
      </c>
      <c r="V34" s="468">
        <f>J34*D34</f>
        <v>0</v>
      </c>
    </row>
    <row r="35" spans="1:22" s="6" customFormat="1" ht="20.100000000000001" customHeight="1" x14ac:dyDescent="0.2">
      <c r="A35" s="493">
        <v>5431</v>
      </c>
      <c r="B35" s="35" t="s">
        <v>54</v>
      </c>
      <c r="C35" s="33">
        <f>1+12</f>
        <v>13</v>
      </c>
      <c r="D35" s="91">
        <v>62.1</v>
      </c>
      <c r="E35" s="56">
        <f>D35*C35</f>
        <v>807.30000000000007</v>
      </c>
      <c r="F35" s="41">
        <v>13</v>
      </c>
      <c r="G35" s="40"/>
      <c r="H35" s="41"/>
      <c r="I35" s="41"/>
      <c r="J35" s="58">
        <v>13</v>
      </c>
      <c r="K35" s="456">
        <f>G35+H35+I35+J35</f>
        <v>13</v>
      </c>
      <c r="L35" s="482">
        <f>D35*K35</f>
        <v>807.30000000000007</v>
      </c>
      <c r="M35" s="64">
        <f>F35-K35</f>
        <v>0</v>
      </c>
      <c r="N35" s="243">
        <f>K35/C35</f>
        <v>1</v>
      </c>
      <c r="S35" s="468">
        <f>G35*D35</f>
        <v>0</v>
      </c>
      <c r="T35" s="468">
        <f>H35*D35</f>
        <v>0</v>
      </c>
      <c r="U35" s="468">
        <f>I35*D35</f>
        <v>0</v>
      </c>
      <c r="V35" s="468">
        <f>J35*D35</f>
        <v>807.30000000000007</v>
      </c>
    </row>
    <row r="36" spans="1:22" s="6" customFormat="1" ht="5.0999999999999996" customHeight="1" x14ac:dyDescent="0.2">
      <c r="A36" s="69"/>
      <c r="B36" s="48"/>
      <c r="C36" s="33"/>
      <c r="D36" s="91"/>
      <c r="E36" s="34"/>
      <c r="F36" s="41"/>
      <c r="G36" s="40"/>
      <c r="H36" s="41"/>
      <c r="I36" s="41"/>
      <c r="J36" s="58"/>
      <c r="K36" s="62"/>
      <c r="L36" s="483"/>
      <c r="M36" s="3"/>
      <c r="N36" s="243"/>
      <c r="S36" s="468">
        <f>G36*D36</f>
        <v>0</v>
      </c>
      <c r="T36" s="468">
        <f>H36*D36</f>
        <v>0</v>
      </c>
      <c r="U36" s="468">
        <f>I36*D36</f>
        <v>0</v>
      </c>
      <c r="V36" s="468">
        <f>J36*D36</f>
        <v>0</v>
      </c>
    </row>
    <row r="37" spans="1:22" s="6" customFormat="1" ht="20.100000000000001" customHeight="1" x14ac:dyDescent="0.2">
      <c r="A37" s="493">
        <v>5432</v>
      </c>
      <c r="B37" s="35" t="s">
        <v>80</v>
      </c>
      <c r="C37" s="33">
        <f>116+50+111+102+29+44+50</f>
        <v>502</v>
      </c>
      <c r="D37" s="91">
        <v>313.89999999999998</v>
      </c>
      <c r="E37" s="56">
        <f>D37*C37</f>
        <v>157577.79999999999</v>
      </c>
      <c r="F37" s="41">
        <v>580</v>
      </c>
      <c r="G37" s="50"/>
      <c r="H37" s="41">
        <v>120</v>
      </c>
      <c r="I37" s="41">
        <v>226</v>
      </c>
      <c r="J37" s="58">
        <f>120+114</f>
        <v>234</v>
      </c>
      <c r="K37" s="456">
        <f>G37+H37+I37+J37</f>
        <v>580</v>
      </c>
      <c r="L37" s="482">
        <f>D37*K37</f>
        <v>182062</v>
      </c>
      <c r="M37" s="64">
        <f>F37-K37</f>
        <v>0</v>
      </c>
      <c r="N37" s="243">
        <f>K37/C37</f>
        <v>1.155378486055777</v>
      </c>
      <c r="S37" s="468">
        <f>G37*D37</f>
        <v>0</v>
      </c>
      <c r="T37" s="468">
        <f>H37*D37</f>
        <v>37668</v>
      </c>
      <c r="U37" s="468">
        <f>I37*D37</f>
        <v>70941.399999999994</v>
      </c>
      <c r="V37" s="468">
        <f>J37*D37</f>
        <v>73452.599999999991</v>
      </c>
    </row>
    <row r="38" spans="1:22" s="6" customFormat="1" ht="5.0999999999999996" customHeight="1" x14ac:dyDescent="0.2">
      <c r="A38" s="69"/>
      <c r="B38" s="48"/>
      <c r="C38" s="33"/>
      <c r="D38" s="91"/>
      <c r="E38" s="34"/>
      <c r="F38" s="41"/>
      <c r="G38" s="40"/>
      <c r="H38" s="41"/>
      <c r="I38" s="41"/>
      <c r="J38" s="58"/>
      <c r="K38" s="62"/>
      <c r="L38" s="483"/>
      <c r="M38" s="3"/>
      <c r="N38" s="243"/>
      <c r="S38" s="468">
        <f t="shared" si="0"/>
        <v>0</v>
      </c>
      <c r="T38" s="468">
        <f t="shared" si="1"/>
        <v>0</v>
      </c>
      <c r="U38" s="468">
        <f t="shared" si="2"/>
        <v>0</v>
      </c>
      <c r="V38" s="468">
        <f t="shared" si="3"/>
        <v>0</v>
      </c>
    </row>
    <row r="39" spans="1:22" s="6" customFormat="1" ht="20.100000000000001" customHeight="1" x14ac:dyDescent="0.2">
      <c r="A39" s="493">
        <v>5416</v>
      </c>
      <c r="B39" s="35" t="s">
        <v>33</v>
      </c>
      <c r="C39" s="260"/>
      <c r="D39" s="91">
        <v>70.2</v>
      </c>
      <c r="E39" s="56">
        <f>D39*C39</f>
        <v>0</v>
      </c>
      <c r="F39" s="41"/>
      <c r="G39" s="40"/>
      <c r="H39" s="41"/>
      <c r="I39" s="41"/>
      <c r="J39" s="263"/>
      <c r="K39" s="62">
        <f>G39+H39+I39+J39</f>
        <v>0</v>
      </c>
      <c r="L39" s="482">
        <f>D39*K39</f>
        <v>0</v>
      </c>
      <c r="M39" s="64">
        <f>F39-K39</f>
        <v>0</v>
      </c>
      <c r="N39" s="243" t="e">
        <f>K39/C39</f>
        <v>#DIV/0!</v>
      </c>
      <c r="S39" s="468">
        <f>G39*D39</f>
        <v>0</v>
      </c>
      <c r="T39" s="468">
        <f>H39*D39</f>
        <v>0</v>
      </c>
      <c r="U39" s="468">
        <f>I39*D39</f>
        <v>0</v>
      </c>
      <c r="V39" s="468">
        <f>J39*D39</f>
        <v>0</v>
      </c>
    </row>
    <row r="40" spans="1:22" s="6" customFormat="1" ht="20.100000000000001" customHeight="1" x14ac:dyDescent="0.2">
      <c r="A40" s="493"/>
      <c r="B40" s="35"/>
      <c r="C40" s="33"/>
      <c r="D40" s="91"/>
      <c r="E40" s="56"/>
      <c r="F40" s="41"/>
      <c r="G40" s="40"/>
      <c r="H40" s="41"/>
      <c r="I40" s="41"/>
      <c r="J40" s="58"/>
      <c r="K40" s="62"/>
      <c r="L40" s="482"/>
      <c r="M40" s="64"/>
      <c r="N40" s="243"/>
      <c r="S40" s="468">
        <f>G40*D40</f>
        <v>0</v>
      </c>
      <c r="T40" s="468">
        <f>H40*D40</f>
        <v>0</v>
      </c>
      <c r="U40" s="468">
        <f>I40*D40</f>
        <v>0</v>
      </c>
      <c r="V40" s="468">
        <f>J40*D40</f>
        <v>0</v>
      </c>
    </row>
    <row r="41" spans="1:22" s="6" customFormat="1" ht="20.100000000000001" customHeight="1" x14ac:dyDescent="0.2">
      <c r="A41" s="493">
        <v>5417</v>
      </c>
      <c r="B41" s="45" t="s">
        <v>79</v>
      </c>
      <c r="C41" s="37"/>
      <c r="D41" s="91">
        <v>64.3</v>
      </c>
      <c r="E41" s="56">
        <f t="shared" ref="E41:E45" si="14">D41*C41</f>
        <v>0</v>
      </c>
      <c r="F41" s="41">
        <v>326</v>
      </c>
      <c r="G41" s="42"/>
      <c r="H41" s="43"/>
      <c r="I41" s="43"/>
      <c r="J41" s="59">
        <v>326</v>
      </c>
      <c r="K41" s="456">
        <f t="shared" ref="K41:K45" si="15">G41+H41+I41+J41</f>
        <v>326</v>
      </c>
      <c r="L41" s="482">
        <f t="shared" ref="L41:L45" si="16">D41*K41</f>
        <v>20961.8</v>
      </c>
      <c r="M41" s="64">
        <f t="shared" ref="M41:M45" si="17">F41-K41</f>
        <v>0</v>
      </c>
      <c r="N41" s="243" t="e">
        <f t="shared" ref="N41:N45" si="18">K41/C41</f>
        <v>#DIV/0!</v>
      </c>
      <c r="S41" s="468">
        <f t="shared" si="0"/>
        <v>0</v>
      </c>
      <c r="T41" s="468">
        <f t="shared" si="1"/>
        <v>0</v>
      </c>
      <c r="U41" s="468">
        <f t="shared" si="2"/>
        <v>0</v>
      </c>
      <c r="V41" s="468">
        <f t="shared" si="3"/>
        <v>20961.8</v>
      </c>
    </row>
    <row r="42" spans="1:22" s="6" customFormat="1" ht="20.100000000000001" customHeight="1" x14ac:dyDescent="0.2">
      <c r="A42" s="493">
        <v>5418</v>
      </c>
      <c r="B42" s="35" t="s">
        <v>78</v>
      </c>
      <c r="C42" s="102"/>
      <c r="D42" s="91">
        <v>126.95</v>
      </c>
      <c r="E42" s="56">
        <f t="shared" si="14"/>
        <v>0</v>
      </c>
      <c r="F42" s="41">
        <v>1439</v>
      </c>
      <c r="G42" s="40"/>
      <c r="H42" s="41">
        <v>140</v>
      </c>
      <c r="I42" s="41">
        <f>240+100+345+199</f>
        <v>884</v>
      </c>
      <c r="J42" s="58">
        <f>291+124</f>
        <v>415</v>
      </c>
      <c r="K42" s="555">
        <f t="shared" si="15"/>
        <v>1439</v>
      </c>
      <c r="L42" s="482">
        <f t="shared" si="16"/>
        <v>182681.05000000002</v>
      </c>
      <c r="M42" s="64">
        <f t="shared" si="17"/>
        <v>0</v>
      </c>
      <c r="N42" s="243" t="e">
        <f t="shared" si="18"/>
        <v>#DIV/0!</v>
      </c>
      <c r="S42" s="468">
        <f t="shared" si="0"/>
        <v>0</v>
      </c>
      <c r="T42" s="468">
        <f t="shared" si="1"/>
        <v>17773</v>
      </c>
      <c r="U42" s="468">
        <f t="shared" si="2"/>
        <v>112223.8</v>
      </c>
      <c r="V42" s="468">
        <f t="shared" si="3"/>
        <v>52684.25</v>
      </c>
    </row>
    <row r="43" spans="1:22" s="6" customFormat="1" ht="20.100000000000001" customHeight="1" x14ac:dyDescent="0.2">
      <c r="A43" s="493">
        <v>5451</v>
      </c>
      <c r="B43" s="101" t="s">
        <v>128</v>
      </c>
      <c r="C43" s="252"/>
      <c r="D43" s="90">
        <v>119.45</v>
      </c>
      <c r="E43" s="56">
        <f t="shared" si="14"/>
        <v>0</v>
      </c>
      <c r="F43" s="267"/>
      <c r="G43" s="42"/>
      <c r="H43" s="43"/>
      <c r="I43" s="43"/>
      <c r="J43" s="59"/>
      <c r="K43" s="555">
        <f t="shared" si="15"/>
        <v>0</v>
      </c>
      <c r="L43" s="482">
        <f t="shared" si="16"/>
        <v>0</v>
      </c>
      <c r="M43" s="64">
        <f t="shared" si="17"/>
        <v>0</v>
      </c>
      <c r="N43" s="243" t="e">
        <f t="shared" si="18"/>
        <v>#DIV/0!</v>
      </c>
      <c r="S43" s="468">
        <f t="shared" si="0"/>
        <v>0</v>
      </c>
      <c r="T43" s="468">
        <f t="shared" si="1"/>
        <v>0</v>
      </c>
      <c r="U43" s="468">
        <f t="shared" si="2"/>
        <v>0</v>
      </c>
      <c r="V43" s="468">
        <f t="shared" si="3"/>
        <v>0</v>
      </c>
    </row>
    <row r="44" spans="1:22" s="6" customFormat="1" ht="20.100000000000001" customHeight="1" x14ac:dyDescent="0.2">
      <c r="A44" s="493">
        <v>5439</v>
      </c>
      <c r="B44" s="38" t="s">
        <v>77</v>
      </c>
      <c r="C44" s="253"/>
      <c r="D44" s="118">
        <v>13.9</v>
      </c>
      <c r="E44" s="56">
        <f t="shared" si="14"/>
        <v>0</v>
      </c>
      <c r="F44" s="267">
        <v>669</v>
      </c>
      <c r="G44" s="42"/>
      <c r="H44" s="43"/>
      <c r="I44" s="43">
        <v>669</v>
      </c>
      <c r="J44" s="59"/>
      <c r="K44" s="555">
        <f t="shared" si="15"/>
        <v>669</v>
      </c>
      <c r="L44" s="482">
        <f t="shared" si="16"/>
        <v>9299.1</v>
      </c>
      <c r="M44" s="64">
        <f t="shared" si="17"/>
        <v>0</v>
      </c>
      <c r="N44" s="243" t="e">
        <f t="shared" si="18"/>
        <v>#DIV/0!</v>
      </c>
      <c r="S44" s="468">
        <f t="shared" si="0"/>
        <v>0</v>
      </c>
      <c r="T44" s="468">
        <f t="shared" si="1"/>
        <v>0</v>
      </c>
      <c r="U44" s="468">
        <f t="shared" si="2"/>
        <v>9299.1</v>
      </c>
      <c r="V44" s="468">
        <f t="shared" si="3"/>
        <v>0</v>
      </c>
    </row>
    <row r="45" spans="1:22" s="6" customFormat="1" ht="20.100000000000001" customHeight="1" x14ac:dyDescent="0.2">
      <c r="A45" s="493">
        <v>5440</v>
      </c>
      <c r="B45" s="45" t="s">
        <v>76</v>
      </c>
      <c r="C45" s="46"/>
      <c r="D45" s="65">
        <v>24.6</v>
      </c>
      <c r="E45" s="56">
        <f t="shared" si="14"/>
        <v>0</v>
      </c>
      <c r="F45" s="41"/>
      <c r="G45" s="42"/>
      <c r="H45" s="43"/>
      <c r="I45" s="43"/>
      <c r="J45" s="59"/>
      <c r="K45" s="62">
        <f t="shared" si="15"/>
        <v>0</v>
      </c>
      <c r="L45" s="482">
        <f t="shared" si="16"/>
        <v>0</v>
      </c>
      <c r="M45" s="64">
        <f t="shared" si="17"/>
        <v>0</v>
      </c>
      <c r="N45" s="243" t="e">
        <f t="shared" si="18"/>
        <v>#DIV/0!</v>
      </c>
      <c r="S45" s="468">
        <f t="shared" si="0"/>
        <v>0</v>
      </c>
      <c r="T45" s="468">
        <f t="shared" si="1"/>
        <v>0</v>
      </c>
      <c r="U45" s="468">
        <f t="shared" si="2"/>
        <v>0</v>
      </c>
      <c r="V45" s="468">
        <f t="shared" si="3"/>
        <v>0</v>
      </c>
    </row>
    <row r="46" spans="1:22" s="6" customFormat="1" ht="5.0999999999999996" customHeight="1" x14ac:dyDescent="0.2">
      <c r="A46" s="68"/>
      <c r="B46" s="100"/>
      <c r="C46" s="103"/>
      <c r="D46" s="94"/>
      <c r="E46" s="56"/>
      <c r="F46" s="41"/>
      <c r="G46" s="42"/>
      <c r="H46" s="43"/>
      <c r="I46" s="43"/>
      <c r="J46" s="59"/>
      <c r="K46" s="62"/>
      <c r="L46" s="482"/>
      <c r="M46" s="64"/>
      <c r="N46" s="243"/>
      <c r="S46" s="468">
        <f t="shared" si="0"/>
        <v>0</v>
      </c>
      <c r="T46" s="468">
        <f t="shared" si="1"/>
        <v>0</v>
      </c>
      <c r="U46" s="468">
        <f t="shared" si="2"/>
        <v>0</v>
      </c>
      <c r="V46" s="468">
        <f t="shared" si="3"/>
        <v>0</v>
      </c>
    </row>
    <row r="47" spans="1:22" s="6" customFormat="1" ht="19.5" customHeight="1" x14ac:dyDescent="0.2">
      <c r="A47" s="493">
        <v>5419</v>
      </c>
      <c r="B47" s="54" t="s">
        <v>144</v>
      </c>
      <c r="C47" s="103"/>
      <c r="D47" s="94">
        <v>3.95</v>
      </c>
      <c r="E47" s="56">
        <f t="shared" ref="E47:E54" si="19">D47*C47</f>
        <v>0</v>
      </c>
      <c r="F47" s="41"/>
      <c r="G47" s="42"/>
      <c r="H47" s="43"/>
      <c r="I47" s="43"/>
      <c r="J47" s="59"/>
      <c r="K47" s="62">
        <f t="shared" ref="K47:K54" si="20">G47+H47+I47+J47</f>
        <v>0</v>
      </c>
      <c r="L47" s="482">
        <f t="shared" ref="L47:L54" si="21">D47*K47</f>
        <v>0</v>
      </c>
      <c r="M47" s="64">
        <f t="shared" ref="M47:M54" si="22">F47-K47</f>
        <v>0</v>
      </c>
      <c r="N47" s="243" t="e">
        <f t="shared" ref="N47:N54" si="23">K47/C47</f>
        <v>#DIV/0!</v>
      </c>
      <c r="S47" s="468">
        <f t="shared" si="0"/>
        <v>0</v>
      </c>
      <c r="T47" s="468">
        <f t="shared" si="1"/>
        <v>0</v>
      </c>
      <c r="U47" s="468">
        <f t="shared" si="2"/>
        <v>0</v>
      </c>
      <c r="V47" s="468">
        <f t="shared" si="3"/>
        <v>0</v>
      </c>
    </row>
    <row r="48" spans="1:22" s="6" customFormat="1" ht="19.149999999999999" customHeight="1" x14ac:dyDescent="0.3">
      <c r="A48" s="499">
        <v>5460</v>
      </c>
      <c r="B48" s="54" t="s">
        <v>143</v>
      </c>
      <c r="C48" s="103">
        <v>260</v>
      </c>
      <c r="D48" s="245">
        <v>20.6</v>
      </c>
      <c r="E48" s="56">
        <f t="shared" si="19"/>
        <v>5356</v>
      </c>
      <c r="F48" s="41">
        <v>260</v>
      </c>
      <c r="G48" s="42"/>
      <c r="H48" s="43">
        <v>260</v>
      </c>
      <c r="I48" s="43"/>
      <c r="J48" s="59"/>
      <c r="K48" s="456">
        <f t="shared" si="20"/>
        <v>260</v>
      </c>
      <c r="L48" s="482">
        <f t="shared" si="21"/>
        <v>5356</v>
      </c>
      <c r="M48" s="64">
        <f t="shared" si="22"/>
        <v>0</v>
      </c>
      <c r="N48" s="243">
        <f t="shared" si="23"/>
        <v>1</v>
      </c>
      <c r="S48" s="468">
        <f t="shared" si="0"/>
        <v>0</v>
      </c>
      <c r="T48" s="468">
        <f t="shared" si="1"/>
        <v>5356</v>
      </c>
      <c r="U48" s="468">
        <f t="shared" si="2"/>
        <v>0</v>
      </c>
      <c r="V48" s="468">
        <f t="shared" si="3"/>
        <v>0</v>
      </c>
    </row>
    <row r="49" spans="1:22" s="6" customFormat="1" ht="19.149999999999999" customHeight="1" x14ac:dyDescent="0.3">
      <c r="A49" s="499">
        <v>5456</v>
      </c>
      <c r="B49" s="54" t="s">
        <v>142</v>
      </c>
      <c r="C49" s="103">
        <v>500</v>
      </c>
      <c r="D49" s="245">
        <v>60.1</v>
      </c>
      <c r="E49" s="56">
        <f t="shared" si="19"/>
        <v>30050</v>
      </c>
      <c r="F49" s="41">
        <v>500</v>
      </c>
      <c r="G49" s="42"/>
      <c r="H49" s="43">
        <v>500</v>
      </c>
      <c r="I49" s="43"/>
      <c r="J49" s="59"/>
      <c r="K49" s="456">
        <f>J49+I49+H49+G49</f>
        <v>500</v>
      </c>
      <c r="L49" s="482">
        <f t="shared" si="21"/>
        <v>30050</v>
      </c>
      <c r="M49" s="64">
        <f t="shared" si="22"/>
        <v>0</v>
      </c>
      <c r="N49" s="243">
        <f t="shared" si="23"/>
        <v>1</v>
      </c>
      <c r="S49" s="468">
        <f t="shared" si="0"/>
        <v>0</v>
      </c>
      <c r="T49" s="468">
        <f t="shared" si="1"/>
        <v>30050</v>
      </c>
      <c r="U49" s="468">
        <f t="shared" si="2"/>
        <v>0</v>
      </c>
      <c r="V49" s="468">
        <f t="shared" si="3"/>
        <v>0</v>
      </c>
    </row>
    <row r="50" spans="1:22" s="6" customFormat="1" ht="19.149999999999999" customHeight="1" x14ac:dyDescent="0.3">
      <c r="A50" s="499">
        <v>5452</v>
      </c>
      <c r="B50" s="54" t="s">
        <v>141</v>
      </c>
      <c r="C50" s="103">
        <v>400</v>
      </c>
      <c r="D50" s="245">
        <v>121.65</v>
      </c>
      <c r="E50" s="56">
        <f t="shared" si="19"/>
        <v>48660</v>
      </c>
      <c r="F50" s="42">
        <v>400</v>
      </c>
      <c r="G50" s="42"/>
      <c r="H50" s="43">
        <v>400</v>
      </c>
      <c r="I50" s="43"/>
      <c r="J50" s="59"/>
      <c r="K50" s="456">
        <f t="shared" si="20"/>
        <v>400</v>
      </c>
      <c r="L50" s="482">
        <f t="shared" si="21"/>
        <v>48660</v>
      </c>
      <c r="M50" s="64">
        <f t="shared" si="22"/>
        <v>0</v>
      </c>
      <c r="N50" s="243">
        <f t="shared" si="23"/>
        <v>1</v>
      </c>
      <c r="S50" s="468">
        <f t="shared" si="0"/>
        <v>0</v>
      </c>
      <c r="T50" s="468">
        <f t="shared" si="1"/>
        <v>48660</v>
      </c>
      <c r="U50" s="468">
        <f t="shared" si="2"/>
        <v>0</v>
      </c>
      <c r="V50" s="468">
        <f t="shared" si="3"/>
        <v>0</v>
      </c>
    </row>
    <row r="51" spans="1:22" s="6" customFormat="1" ht="19.149999999999999" customHeight="1" x14ac:dyDescent="0.3">
      <c r="A51" s="499">
        <v>5453</v>
      </c>
      <c r="B51" s="54" t="s">
        <v>75</v>
      </c>
      <c r="C51" s="103"/>
      <c r="D51" s="245">
        <v>59.9</v>
      </c>
      <c r="E51" s="56">
        <f t="shared" si="19"/>
        <v>0</v>
      </c>
      <c r="F51" s="42"/>
      <c r="G51" s="42"/>
      <c r="H51" s="43"/>
      <c r="I51" s="43"/>
      <c r="J51" s="264"/>
      <c r="K51" s="62">
        <f>G51+H51+I51+J51</f>
        <v>0</v>
      </c>
      <c r="L51" s="482">
        <f t="shared" si="21"/>
        <v>0</v>
      </c>
      <c r="M51" s="64">
        <f t="shared" si="22"/>
        <v>0</v>
      </c>
      <c r="N51" s="243" t="e">
        <f t="shared" si="23"/>
        <v>#DIV/0!</v>
      </c>
      <c r="S51" s="468">
        <f t="shared" si="0"/>
        <v>0</v>
      </c>
      <c r="T51" s="468">
        <f t="shared" si="1"/>
        <v>0</v>
      </c>
      <c r="U51" s="468">
        <f t="shared" si="2"/>
        <v>0</v>
      </c>
      <c r="V51" s="468">
        <f t="shared" si="3"/>
        <v>0</v>
      </c>
    </row>
    <row r="52" spans="1:22" s="6" customFormat="1" ht="19.149999999999999" customHeight="1" x14ac:dyDescent="0.3">
      <c r="A52" s="499">
        <v>5457</v>
      </c>
      <c r="B52" s="54" t="s">
        <v>145</v>
      </c>
      <c r="C52" s="103"/>
      <c r="D52" s="245">
        <v>58.15</v>
      </c>
      <c r="E52" s="56">
        <f t="shared" si="19"/>
        <v>0</v>
      </c>
      <c r="F52" s="41"/>
      <c r="G52" s="42"/>
      <c r="H52" s="43"/>
      <c r="I52" s="43"/>
      <c r="J52" s="59"/>
      <c r="K52" s="62">
        <f t="shared" si="20"/>
        <v>0</v>
      </c>
      <c r="L52" s="482">
        <f t="shared" si="21"/>
        <v>0</v>
      </c>
      <c r="M52" s="64">
        <f t="shared" si="22"/>
        <v>0</v>
      </c>
      <c r="N52" s="243" t="e">
        <f t="shared" si="23"/>
        <v>#DIV/0!</v>
      </c>
      <c r="S52" s="468">
        <f t="shared" si="0"/>
        <v>0</v>
      </c>
      <c r="T52" s="468">
        <f t="shared" si="1"/>
        <v>0</v>
      </c>
      <c r="U52" s="468">
        <f t="shared" si="2"/>
        <v>0</v>
      </c>
      <c r="V52" s="468">
        <f t="shared" si="3"/>
        <v>0</v>
      </c>
    </row>
    <row r="53" spans="1:22" s="6" customFormat="1" ht="19.149999999999999" customHeight="1" x14ac:dyDescent="0.3">
      <c r="A53" s="499">
        <v>5459</v>
      </c>
      <c r="B53" s="54" t="s">
        <v>146</v>
      </c>
      <c r="C53" s="103"/>
      <c r="D53" s="245">
        <v>60.8</v>
      </c>
      <c r="E53" s="56">
        <f t="shared" si="19"/>
        <v>0</v>
      </c>
      <c r="F53" s="41"/>
      <c r="G53" s="42"/>
      <c r="H53" s="43"/>
      <c r="I53" s="43"/>
      <c r="J53" s="59"/>
      <c r="K53" s="62">
        <f t="shared" si="20"/>
        <v>0</v>
      </c>
      <c r="L53" s="482">
        <f t="shared" si="21"/>
        <v>0</v>
      </c>
      <c r="M53" s="64">
        <f t="shared" si="22"/>
        <v>0</v>
      </c>
      <c r="N53" s="243" t="e">
        <f t="shared" si="23"/>
        <v>#DIV/0!</v>
      </c>
      <c r="S53" s="468">
        <f t="shared" si="0"/>
        <v>0</v>
      </c>
      <c r="T53" s="468">
        <f t="shared" si="1"/>
        <v>0</v>
      </c>
      <c r="U53" s="468">
        <f t="shared" si="2"/>
        <v>0</v>
      </c>
      <c r="V53" s="468">
        <f t="shared" si="3"/>
        <v>0</v>
      </c>
    </row>
    <row r="54" spans="1:22" s="6" customFormat="1" ht="19.149999999999999" customHeight="1" x14ac:dyDescent="0.2">
      <c r="A54" s="250">
        <v>5458</v>
      </c>
      <c r="B54" s="54" t="s">
        <v>74</v>
      </c>
      <c r="C54" s="103"/>
      <c r="D54" s="245">
        <v>121.05</v>
      </c>
      <c r="E54" s="266">
        <f t="shared" si="19"/>
        <v>0</v>
      </c>
      <c r="F54" s="41"/>
      <c r="G54" s="42"/>
      <c r="H54" s="43"/>
      <c r="I54" s="43"/>
      <c r="J54" s="59"/>
      <c r="K54" s="62">
        <f t="shared" si="20"/>
        <v>0</v>
      </c>
      <c r="L54" s="482">
        <f t="shared" si="21"/>
        <v>0</v>
      </c>
      <c r="M54" s="64">
        <f t="shared" si="22"/>
        <v>0</v>
      </c>
      <c r="N54" s="243" t="e">
        <f t="shared" si="23"/>
        <v>#DIV/0!</v>
      </c>
      <c r="S54" s="468">
        <f t="shared" si="0"/>
        <v>0</v>
      </c>
      <c r="T54" s="468">
        <f t="shared" si="1"/>
        <v>0</v>
      </c>
      <c r="U54" s="468">
        <f t="shared" si="2"/>
        <v>0</v>
      </c>
      <c r="V54" s="468">
        <f t="shared" si="3"/>
        <v>0</v>
      </c>
    </row>
    <row r="55" spans="1:22" s="6" customFormat="1" ht="19.149999999999999" customHeight="1" x14ac:dyDescent="0.2">
      <c r="A55" s="250">
        <v>5454</v>
      </c>
      <c r="B55" s="54" t="s">
        <v>147</v>
      </c>
      <c r="C55" s="103"/>
      <c r="D55" s="245">
        <v>146.30000000000001</v>
      </c>
      <c r="E55" s="56">
        <f>D55*C55</f>
        <v>0</v>
      </c>
      <c r="F55" s="41"/>
      <c r="G55" s="42"/>
      <c r="H55" s="43"/>
      <c r="I55" s="43"/>
      <c r="J55" s="59"/>
      <c r="K55" s="62">
        <f>G55+H55+I55+J55</f>
        <v>0</v>
      </c>
      <c r="L55" s="482">
        <f>D55*K55</f>
        <v>0</v>
      </c>
      <c r="M55" s="64">
        <f>F55-K55</f>
        <v>0</v>
      </c>
      <c r="N55" s="243" t="e">
        <f>K55/C55</f>
        <v>#DIV/0!</v>
      </c>
      <c r="S55" s="468">
        <f t="shared" si="0"/>
        <v>0</v>
      </c>
      <c r="T55" s="468">
        <f t="shared" si="1"/>
        <v>0</v>
      </c>
      <c r="U55" s="468">
        <f t="shared" si="2"/>
        <v>0</v>
      </c>
      <c r="V55" s="468">
        <f t="shared" si="3"/>
        <v>0</v>
      </c>
    </row>
    <row r="56" spans="1:22" s="6" customFormat="1" ht="19.149999999999999" customHeight="1" x14ac:dyDescent="0.2">
      <c r="A56" s="250">
        <v>5455</v>
      </c>
      <c r="B56" s="54" t="s">
        <v>148</v>
      </c>
      <c r="C56" s="103"/>
      <c r="D56" s="245">
        <v>84.6</v>
      </c>
      <c r="E56" s="56">
        <f>D56*C56</f>
        <v>0</v>
      </c>
      <c r="F56" s="41"/>
      <c r="G56" s="42"/>
      <c r="H56" s="43"/>
      <c r="I56" s="43"/>
      <c r="J56" s="59"/>
      <c r="K56" s="62">
        <f>G56+H56+I56+J56</f>
        <v>0</v>
      </c>
      <c r="L56" s="482">
        <f>D56*K56</f>
        <v>0</v>
      </c>
      <c r="M56" s="64">
        <f>F56-K56</f>
        <v>0</v>
      </c>
      <c r="N56" s="243" t="e">
        <f>K56/C56</f>
        <v>#DIV/0!</v>
      </c>
      <c r="S56" s="468">
        <f t="shared" si="0"/>
        <v>0</v>
      </c>
      <c r="T56" s="468">
        <f t="shared" si="1"/>
        <v>0</v>
      </c>
      <c r="U56" s="468">
        <f t="shared" si="2"/>
        <v>0</v>
      </c>
      <c r="V56" s="468">
        <f t="shared" si="3"/>
        <v>0</v>
      </c>
    </row>
    <row r="57" spans="1:22" s="6" customFormat="1" ht="5.0999999999999996" customHeight="1" x14ac:dyDescent="0.2">
      <c r="A57" s="68"/>
      <c r="B57" s="45"/>
      <c r="C57" s="103"/>
      <c r="D57" s="95"/>
      <c r="E57" s="56"/>
      <c r="F57" s="41"/>
      <c r="G57" s="42"/>
      <c r="H57" s="43"/>
      <c r="I57" s="43"/>
      <c r="J57" s="59"/>
      <c r="K57" s="62"/>
      <c r="L57" s="482"/>
      <c r="M57" s="64"/>
      <c r="N57" s="243"/>
      <c r="S57" s="468">
        <f t="shared" si="0"/>
        <v>0</v>
      </c>
      <c r="T57" s="468">
        <f t="shared" si="1"/>
        <v>0</v>
      </c>
      <c r="U57" s="468">
        <f t="shared" si="2"/>
        <v>0</v>
      </c>
      <c r="V57" s="468">
        <f t="shared" si="3"/>
        <v>0</v>
      </c>
    </row>
    <row r="58" spans="1:22" s="6" customFormat="1" ht="19.149999999999999" customHeight="1" x14ac:dyDescent="0.2">
      <c r="A58" s="493">
        <v>5422</v>
      </c>
      <c r="B58" s="45" t="s">
        <v>64</v>
      </c>
      <c r="C58" s="103">
        <v>1765</v>
      </c>
      <c r="D58" s="95">
        <v>26.25</v>
      </c>
      <c r="E58" s="56">
        <f>D58*C58</f>
        <v>46331.25</v>
      </c>
      <c r="F58" s="41">
        <v>2265</v>
      </c>
      <c r="G58" s="42"/>
      <c r="H58" s="43"/>
      <c r="I58" s="43"/>
      <c r="J58" s="59">
        <v>2265</v>
      </c>
      <c r="K58" s="456">
        <f>G58+H58+I58+J58</f>
        <v>2265</v>
      </c>
      <c r="L58" s="482">
        <f>D58*K58</f>
        <v>59456.25</v>
      </c>
      <c r="M58" s="64">
        <f>F58-K58</f>
        <v>0</v>
      </c>
      <c r="N58" s="243">
        <f>K58/C58</f>
        <v>1.2832861189801699</v>
      </c>
      <c r="S58" s="468">
        <f t="shared" si="0"/>
        <v>0</v>
      </c>
      <c r="T58" s="468">
        <f t="shared" si="1"/>
        <v>0</v>
      </c>
      <c r="U58" s="468">
        <f t="shared" si="2"/>
        <v>0</v>
      </c>
      <c r="V58" s="468">
        <f t="shared" si="3"/>
        <v>59456.25</v>
      </c>
    </row>
    <row r="59" spans="1:22" s="6" customFormat="1" ht="19.149999999999999" customHeight="1" x14ac:dyDescent="0.2">
      <c r="A59" s="493">
        <v>5423</v>
      </c>
      <c r="B59" s="45" t="s">
        <v>65</v>
      </c>
      <c r="C59" s="103">
        <v>1765</v>
      </c>
      <c r="D59" s="95">
        <v>21.4</v>
      </c>
      <c r="E59" s="56">
        <f>D59*C59</f>
        <v>37771</v>
      </c>
      <c r="F59" s="41">
        <v>2265</v>
      </c>
      <c r="G59" s="42"/>
      <c r="H59" s="43"/>
      <c r="I59" s="43"/>
      <c r="J59" s="59">
        <v>2265</v>
      </c>
      <c r="K59" s="456">
        <f>G59+H59+I59+J59</f>
        <v>2265</v>
      </c>
      <c r="L59" s="482">
        <f>D59*K59</f>
        <v>48471</v>
      </c>
      <c r="M59" s="64">
        <f>F59-K59</f>
        <v>0</v>
      </c>
      <c r="N59" s="243">
        <f>K59/C59</f>
        <v>1.2832861189801699</v>
      </c>
      <c r="S59" s="468">
        <f t="shared" si="0"/>
        <v>0</v>
      </c>
      <c r="T59" s="468">
        <f t="shared" si="1"/>
        <v>0</v>
      </c>
      <c r="U59" s="468">
        <f t="shared" si="2"/>
        <v>0</v>
      </c>
      <c r="V59" s="468">
        <f t="shared" si="3"/>
        <v>48471</v>
      </c>
    </row>
    <row r="60" spans="1:22" s="6" customFormat="1" ht="19.149999999999999" customHeight="1" x14ac:dyDescent="0.2">
      <c r="A60" s="493">
        <v>5424</v>
      </c>
      <c r="B60" s="45" t="s">
        <v>89</v>
      </c>
      <c r="C60" s="103"/>
      <c r="D60" s="95">
        <v>9.75</v>
      </c>
      <c r="E60" s="56">
        <f>D60*C60</f>
        <v>0</v>
      </c>
      <c r="F60" s="41"/>
      <c r="G60" s="42"/>
      <c r="H60" s="43"/>
      <c r="I60" s="43"/>
      <c r="J60" s="59"/>
      <c r="K60" s="62">
        <f>G60+H60+I60+J60</f>
        <v>0</v>
      </c>
      <c r="L60" s="482">
        <f>D60*K60</f>
        <v>0</v>
      </c>
      <c r="M60" s="64">
        <f>F60-K60</f>
        <v>0</v>
      </c>
      <c r="N60" s="243" t="e">
        <f>K60/C60</f>
        <v>#DIV/0!</v>
      </c>
      <c r="S60" s="468">
        <f t="shared" si="0"/>
        <v>0</v>
      </c>
      <c r="T60" s="468">
        <f t="shared" si="1"/>
        <v>0</v>
      </c>
      <c r="U60" s="468">
        <f t="shared" si="2"/>
        <v>0</v>
      </c>
      <c r="V60" s="468">
        <f t="shared" si="3"/>
        <v>0</v>
      </c>
    </row>
    <row r="61" spans="1:22" s="6" customFormat="1" ht="19.149999999999999" customHeight="1" x14ac:dyDescent="0.2">
      <c r="A61" s="493">
        <v>5425</v>
      </c>
      <c r="B61" s="45" t="s">
        <v>73</v>
      </c>
      <c r="C61" s="103"/>
      <c r="D61" s="95">
        <v>6</v>
      </c>
      <c r="E61" s="56">
        <f>D61*C61</f>
        <v>0</v>
      </c>
      <c r="F61" s="41"/>
      <c r="G61" s="42"/>
      <c r="H61" s="43"/>
      <c r="I61" s="43"/>
      <c r="J61" s="59"/>
      <c r="K61" s="62">
        <f>G61+H61+I61+J61</f>
        <v>0</v>
      </c>
      <c r="L61" s="482">
        <f>D61*K61</f>
        <v>0</v>
      </c>
      <c r="M61" s="64">
        <f>F61-K61</f>
        <v>0</v>
      </c>
      <c r="N61" s="243" t="e">
        <f>K61/C61</f>
        <v>#DIV/0!</v>
      </c>
      <c r="S61" s="468">
        <f t="shared" si="0"/>
        <v>0</v>
      </c>
      <c r="T61" s="468">
        <f t="shared" si="1"/>
        <v>0</v>
      </c>
      <c r="U61" s="468">
        <f t="shared" si="2"/>
        <v>0</v>
      </c>
      <c r="V61" s="468">
        <f t="shared" si="3"/>
        <v>0</v>
      </c>
    </row>
    <row r="62" spans="1:22" s="6" customFormat="1" ht="19.149999999999999" customHeight="1" x14ac:dyDescent="0.2">
      <c r="A62" s="493">
        <v>5426</v>
      </c>
      <c r="B62" s="45" t="s">
        <v>62</v>
      </c>
      <c r="C62" s="103"/>
      <c r="D62" s="95">
        <v>6</v>
      </c>
      <c r="E62" s="56">
        <f>D62*C62</f>
        <v>0</v>
      </c>
      <c r="F62" s="41"/>
      <c r="G62" s="42"/>
      <c r="H62" s="43"/>
      <c r="I62" s="43"/>
      <c r="J62" s="59"/>
      <c r="K62" s="62">
        <f>G62+H62+I62+J62</f>
        <v>0</v>
      </c>
      <c r="L62" s="482">
        <f>D62*K62</f>
        <v>0</v>
      </c>
      <c r="M62" s="64">
        <f>F62-K62</f>
        <v>0</v>
      </c>
      <c r="N62" s="243" t="e">
        <f>K62/C62</f>
        <v>#DIV/0!</v>
      </c>
      <c r="S62" s="468">
        <f t="shared" si="0"/>
        <v>0</v>
      </c>
      <c r="T62" s="468">
        <f t="shared" si="1"/>
        <v>0</v>
      </c>
      <c r="U62" s="468">
        <f t="shared" si="2"/>
        <v>0</v>
      </c>
      <c r="V62" s="468">
        <f t="shared" si="3"/>
        <v>0</v>
      </c>
    </row>
    <row r="63" spans="1:22" s="6" customFormat="1" ht="5.0999999999999996" customHeight="1" x14ac:dyDescent="0.2">
      <c r="A63" s="68"/>
      <c r="B63" s="45"/>
      <c r="C63" s="103"/>
      <c r="D63" s="96"/>
      <c r="E63" s="56"/>
      <c r="F63" s="41"/>
      <c r="G63" s="42"/>
      <c r="H63" s="43"/>
      <c r="I63" s="43"/>
      <c r="J63" s="59"/>
      <c r="K63" s="62"/>
      <c r="L63" s="482"/>
      <c r="M63" s="64"/>
      <c r="N63" s="243"/>
      <c r="S63" s="468">
        <f t="shared" si="0"/>
        <v>0</v>
      </c>
      <c r="T63" s="468">
        <f t="shared" si="1"/>
        <v>0</v>
      </c>
      <c r="U63" s="468">
        <f t="shared" si="2"/>
        <v>0</v>
      </c>
      <c r="V63" s="468">
        <f t="shared" si="3"/>
        <v>0</v>
      </c>
    </row>
    <row r="64" spans="1:22" s="6" customFormat="1" ht="19.149999999999999" customHeight="1" x14ac:dyDescent="0.2">
      <c r="A64" s="493">
        <v>5441</v>
      </c>
      <c r="B64" s="45" t="s">
        <v>35</v>
      </c>
      <c r="C64" s="103"/>
      <c r="D64" s="96">
        <v>21.454999999999998</v>
      </c>
      <c r="E64" s="56">
        <f t="shared" ref="E64:E71" si="24">D64*C64</f>
        <v>0</v>
      </c>
      <c r="F64" s="41"/>
      <c r="G64" s="42"/>
      <c r="H64" s="43"/>
      <c r="I64" s="43"/>
      <c r="J64" s="59"/>
      <c r="K64" s="62">
        <f t="shared" ref="K64:K70" si="25">G64+H64+I64+J64</f>
        <v>0</v>
      </c>
      <c r="L64" s="482">
        <f t="shared" ref="L64:L69" si="26">D64*K64</f>
        <v>0</v>
      </c>
      <c r="M64" s="64">
        <f t="shared" ref="M64:M71" si="27">F64-K64</f>
        <v>0</v>
      </c>
      <c r="N64" s="243" t="e">
        <f t="shared" ref="N64:N71" si="28">K64/C64</f>
        <v>#DIV/0!</v>
      </c>
      <c r="S64" s="468">
        <f t="shared" si="0"/>
        <v>0</v>
      </c>
      <c r="T64" s="468">
        <f t="shared" si="1"/>
        <v>0</v>
      </c>
      <c r="U64" s="468">
        <f t="shared" si="2"/>
        <v>0</v>
      </c>
      <c r="V64" s="468">
        <f t="shared" si="3"/>
        <v>0</v>
      </c>
    </row>
    <row r="65" spans="1:22" s="6" customFormat="1" ht="19.149999999999999" customHeight="1" x14ac:dyDescent="0.2">
      <c r="A65" s="493">
        <v>5442</v>
      </c>
      <c r="B65" s="45" t="s">
        <v>36</v>
      </c>
      <c r="C65" s="261"/>
      <c r="D65" s="96">
        <v>20.9</v>
      </c>
      <c r="E65" s="56">
        <f t="shared" si="24"/>
        <v>0</v>
      </c>
      <c r="F65" s="41"/>
      <c r="G65" s="42"/>
      <c r="H65" s="43"/>
      <c r="I65" s="43"/>
      <c r="J65" s="59"/>
      <c r="K65" s="62">
        <f t="shared" si="25"/>
        <v>0</v>
      </c>
      <c r="L65" s="482">
        <f t="shared" si="26"/>
        <v>0</v>
      </c>
      <c r="M65" s="64">
        <f t="shared" si="27"/>
        <v>0</v>
      </c>
      <c r="N65" s="243" t="e">
        <f t="shared" si="28"/>
        <v>#DIV/0!</v>
      </c>
      <c r="S65" s="468">
        <f t="shared" si="0"/>
        <v>0</v>
      </c>
      <c r="T65" s="468">
        <f t="shared" si="1"/>
        <v>0</v>
      </c>
      <c r="U65" s="468">
        <f t="shared" si="2"/>
        <v>0</v>
      </c>
      <c r="V65" s="468">
        <f t="shared" si="3"/>
        <v>0</v>
      </c>
    </row>
    <row r="66" spans="1:22" s="6" customFormat="1" ht="19.149999999999999" customHeight="1" x14ac:dyDescent="0.2">
      <c r="A66" s="493">
        <v>5443</v>
      </c>
      <c r="B66" s="45" t="s">
        <v>37</v>
      </c>
      <c r="C66" s="261"/>
      <c r="D66" s="96">
        <v>20.9</v>
      </c>
      <c r="E66" s="56">
        <f t="shared" si="24"/>
        <v>0</v>
      </c>
      <c r="F66" s="41"/>
      <c r="G66" s="42"/>
      <c r="H66" s="43"/>
      <c r="I66" s="43"/>
      <c r="J66" s="59"/>
      <c r="K66" s="62">
        <f t="shared" si="25"/>
        <v>0</v>
      </c>
      <c r="L66" s="482">
        <f t="shared" si="26"/>
        <v>0</v>
      </c>
      <c r="M66" s="64">
        <f t="shared" si="27"/>
        <v>0</v>
      </c>
      <c r="N66" s="243" t="e">
        <f t="shared" si="28"/>
        <v>#DIV/0!</v>
      </c>
      <c r="S66" s="468">
        <f t="shared" si="0"/>
        <v>0</v>
      </c>
      <c r="T66" s="468">
        <f t="shared" si="1"/>
        <v>0</v>
      </c>
      <c r="U66" s="468">
        <f t="shared" si="2"/>
        <v>0</v>
      </c>
      <c r="V66" s="468">
        <f t="shared" si="3"/>
        <v>0</v>
      </c>
    </row>
    <row r="67" spans="1:22" s="6" customFormat="1" ht="19.149999999999999" customHeight="1" x14ac:dyDescent="0.2">
      <c r="A67" s="493">
        <v>5444</v>
      </c>
      <c r="B67" s="45" t="s">
        <v>38</v>
      </c>
      <c r="C67" s="103"/>
      <c r="D67" s="96">
        <v>20.9</v>
      </c>
      <c r="E67" s="56">
        <f t="shared" si="24"/>
        <v>0</v>
      </c>
      <c r="F67" s="41"/>
      <c r="G67" s="42"/>
      <c r="H67" s="235"/>
      <c r="I67" s="43"/>
      <c r="J67" s="59"/>
      <c r="K67" s="62">
        <f t="shared" si="25"/>
        <v>0</v>
      </c>
      <c r="L67" s="482">
        <f t="shared" si="26"/>
        <v>0</v>
      </c>
      <c r="M67" s="64">
        <f t="shared" si="27"/>
        <v>0</v>
      </c>
      <c r="N67" s="243" t="e">
        <f t="shared" si="28"/>
        <v>#DIV/0!</v>
      </c>
      <c r="S67" s="468">
        <f t="shared" si="0"/>
        <v>0</v>
      </c>
      <c r="T67" s="468">
        <f t="shared" si="1"/>
        <v>0</v>
      </c>
      <c r="U67" s="468">
        <f t="shared" si="2"/>
        <v>0</v>
      </c>
      <c r="V67" s="468">
        <f t="shared" si="3"/>
        <v>0</v>
      </c>
    </row>
    <row r="68" spans="1:22" s="6" customFormat="1" ht="19.149999999999999" customHeight="1" x14ac:dyDescent="0.2">
      <c r="A68" s="493">
        <v>5445</v>
      </c>
      <c r="B68" s="45" t="s">
        <v>39</v>
      </c>
      <c r="C68" s="103"/>
      <c r="D68" s="96">
        <v>20.9</v>
      </c>
      <c r="E68" s="56">
        <f t="shared" si="24"/>
        <v>0</v>
      </c>
      <c r="F68" s="267"/>
      <c r="G68" s="42"/>
      <c r="H68" s="43"/>
      <c r="I68" s="43"/>
      <c r="J68" s="59"/>
      <c r="K68" s="62">
        <f>G68+H68+I68+J68</f>
        <v>0</v>
      </c>
      <c r="L68" s="482">
        <f t="shared" si="26"/>
        <v>0</v>
      </c>
      <c r="M68" s="64">
        <f t="shared" si="27"/>
        <v>0</v>
      </c>
      <c r="N68" s="243" t="e">
        <f t="shared" si="28"/>
        <v>#DIV/0!</v>
      </c>
      <c r="S68" s="468">
        <f t="shared" si="0"/>
        <v>0</v>
      </c>
      <c r="T68" s="468">
        <f t="shared" si="1"/>
        <v>0</v>
      </c>
      <c r="U68" s="468">
        <f t="shared" si="2"/>
        <v>0</v>
      </c>
      <c r="V68" s="468">
        <f t="shared" si="3"/>
        <v>0</v>
      </c>
    </row>
    <row r="69" spans="1:22" s="6" customFormat="1" ht="19.149999999999999" customHeight="1" x14ac:dyDescent="0.2">
      <c r="A69" s="493">
        <v>5447</v>
      </c>
      <c r="B69" s="45" t="s">
        <v>58</v>
      </c>
      <c r="C69" s="261"/>
      <c r="D69" s="96">
        <v>20.9</v>
      </c>
      <c r="E69" s="56">
        <f t="shared" si="24"/>
        <v>0</v>
      </c>
      <c r="F69" s="267">
        <v>21</v>
      </c>
      <c r="G69" s="42"/>
      <c r="H69" s="43"/>
      <c r="I69" s="43">
        <v>21</v>
      </c>
      <c r="J69" s="59"/>
      <c r="K69" s="555">
        <f t="shared" si="25"/>
        <v>21</v>
      </c>
      <c r="L69" s="482">
        <f t="shared" si="26"/>
        <v>438.9</v>
      </c>
      <c r="M69" s="64">
        <f t="shared" si="27"/>
        <v>0</v>
      </c>
      <c r="N69" s="243" t="e">
        <f t="shared" si="28"/>
        <v>#DIV/0!</v>
      </c>
      <c r="S69" s="468">
        <f t="shared" si="0"/>
        <v>0</v>
      </c>
      <c r="T69" s="468">
        <f t="shared" si="1"/>
        <v>0</v>
      </c>
      <c r="U69" s="468">
        <f t="shared" si="2"/>
        <v>438.9</v>
      </c>
      <c r="V69" s="468">
        <f t="shared" si="3"/>
        <v>0</v>
      </c>
    </row>
    <row r="70" spans="1:22" s="6" customFormat="1" ht="20.100000000000001" customHeight="1" x14ac:dyDescent="0.2">
      <c r="A70" s="493">
        <v>5448</v>
      </c>
      <c r="B70" s="45" t="s">
        <v>123</v>
      </c>
      <c r="C70" s="262"/>
      <c r="D70" s="90">
        <v>20.9</v>
      </c>
      <c r="E70" s="56">
        <f t="shared" si="24"/>
        <v>0</v>
      </c>
      <c r="F70" s="267"/>
      <c r="G70" s="42"/>
      <c r="H70" s="43"/>
      <c r="I70" s="43"/>
      <c r="J70" s="59"/>
      <c r="K70" s="62">
        <f t="shared" si="25"/>
        <v>0</v>
      </c>
      <c r="L70" s="482">
        <f>D70*K70</f>
        <v>0</v>
      </c>
      <c r="M70" s="64">
        <f t="shared" si="27"/>
        <v>0</v>
      </c>
      <c r="N70" s="243" t="e">
        <f t="shared" si="28"/>
        <v>#DIV/0!</v>
      </c>
      <c r="S70" s="468">
        <f t="shared" si="0"/>
        <v>0</v>
      </c>
      <c r="T70" s="468">
        <f t="shared" si="1"/>
        <v>0</v>
      </c>
      <c r="U70" s="468">
        <f t="shared" si="2"/>
        <v>0</v>
      </c>
      <c r="V70" s="468">
        <f t="shared" si="3"/>
        <v>0</v>
      </c>
    </row>
    <row r="71" spans="1:22" s="6" customFormat="1" ht="20.100000000000001" customHeight="1" x14ac:dyDescent="0.2">
      <c r="A71" s="493">
        <v>5446</v>
      </c>
      <c r="B71" s="45" t="s">
        <v>124</v>
      </c>
      <c r="C71" s="261"/>
      <c r="D71" s="118">
        <v>21.95</v>
      </c>
      <c r="E71" s="56">
        <f t="shared" si="24"/>
        <v>0</v>
      </c>
      <c r="F71" s="267">
        <v>504</v>
      </c>
      <c r="G71" s="42"/>
      <c r="H71" s="43"/>
      <c r="I71" s="43">
        <v>504</v>
      </c>
      <c r="J71" s="59"/>
      <c r="K71" s="556">
        <f>G71+H71+I71+J71</f>
        <v>504</v>
      </c>
      <c r="L71" s="482">
        <f>D71*K71</f>
        <v>11062.8</v>
      </c>
      <c r="M71" s="64">
        <f t="shared" si="27"/>
        <v>0</v>
      </c>
      <c r="N71" s="243" t="e">
        <f t="shared" si="28"/>
        <v>#DIV/0!</v>
      </c>
      <c r="S71" s="468">
        <f t="shared" si="0"/>
        <v>0</v>
      </c>
      <c r="T71" s="468">
        <f t="shared" si="1"/>
        <v>0</v>
      </c>
      <c r="U71" s="468">
        <f t="shared" si="2"/>
        <v>11062.8</v>
      </c>
      <c r="V71" s="468">
        <f t="shared" si="3"/>
        <v>0</v>
      </c>
    </row>
    <row r="72" spans="1:22" s="6" customFormat="1" ht="5.0999999999999996" customHeight="1" x14ac:dyDescent="0.2">
      <c r="A72" s="68"/>
      <c r="B72" s="45"/>
      <c r="C72" s="103"/>
      <c r="D72" s="96"/>
      <c r="E72" s="56"/>
      <c r="F72" s="41"/>
      <c r="G72" s="42"/>
      <c r="H72" s="43"/>
      <c r="I72" s="43"/>
      <c r="J72" s="59"/>
      <c r="K72" s="62"/>
      <c r="L72" s="482"/>
      <c r="M72" s="64"/>
      <c r="N72" s="243"/>
      <c r="S72" s="468">
        <f t="shared" ref="S72:S94" si="29">G72*D72</f>
        <v>0</v>
      </c>
      <c r="T72" s="468">
        <f t="shared" ref="T72:T94" si="30">H72*D72</f>
        <v>0</v>
      </c>
      <c r="U72" s="468">
        <f t="shared" ref="U72:U94" si="31">I72*D72</f>
        <v>0</v>
      </c>
      <c r="V72" s="468">
        <f t="shared" ref="V72:V94" si="32">J72*D72</f>
        <v>0</v>
      </c>
    </row>
    <row r="73" spans="1:22" s="6" customFormat="1" ht="20.100000000000001" customHeight="1" x14ac:dyDescent="0.2">
      <c r="A73" s="493">
        <v>5420</v>
      </c>
      <c r="B73" s="45" t="s">
        <v>87</v>
      </c>
      <c r="C73" s="103">
        <v>50</v>
      </c>
      <c r="D73" s="118">
        <v>398.2</v>
      </c>
      <c r="E73" s="56">
        <f>D73*C73</f>
        <v>19910</v>
      </c>
      <c r="F73" s="41">
        <v>55</v>
      </c>
      <c r="G73" s="42"/>
      <c r="H73" s="43"/>
      <c r="I73" s="43"/>
      <c r="J73" s="59">
        <v>55</v>
      </c>
      <c r="K73" s="456">
        <f>G73+H73+I73+J73</f>
        <v>55</v>
      </c>
      <c r="L73" s="482">
        <f>D73*K73</f>
        <v>21901</v>
      </c>
      <c r="M73" s="64">
        <f>F73-K73</f>
        <v>0</v>
      </c>
      <c r="N73" s="243">
        <f>K73/C73</f>
        <v>1.1000000000000001</v>
      </c>
      <c r="S73" s="468">
        <f t="shared" si="29"/>
        <v>0</v>
      </c>
      <c r="T73" s="468">
        <f t="shared" si="30"/>
        <v>0</v>
      </c>
      <c r="U73" s="468">
        <f t="shared" si="31"/>
        <v>0</v>
      </c>
      <c r="V73" s="468">
        <f t="shared" si="32"/>
        <v>21901</v>
      </c>
    </row>
    <row r="74" spans="1:22" s="6" customFormat="1" ht="20.100000000000001" customHeight="1" x14ac:dyDescent="0.2">
      <c r="A74" s="493">
        <v>5421</v>
      </c>
      <c r="B74" s="38" t="s">
        <v>88</v>
      </c>
      <c r="C74" s="103">
        <v>50</v>
      </c>
      <c r="D74" s="90">
        <v>430.45</v>
      </c>
      <c r="E74" s="56">
        <f>D74*C74</f>
        <v>21522.5</v>
      </c>
      <c r="F74" s="41">
        <v>55</v>
      </c>
      <c r="G74" s="42"/>
      <c r="H74" s="43"/>
      <c r="I74" s="43"/>
      <c r="J74" s="59">
        <v>55</v>
      </c>
      <c r="K74" s="456">
        <f>G74+H74+I74+J74</f>
        <v>55</v>
      </c>
      <c r="L74" s="482">
        <f>D74*K74</f>
        <v>23674.75</v>
      </c>
      <c r="M74" s="64">
        <f>F74-K74</f>
        <v>0</v>
      </c>
      <c r="N74" s="243">
        <f>K74/C74</f>
        <v>1.1000000000000001</v>
      </c>
      <c r="S74" s="468">
        <f t="shared" si="29"/>
        <v>0</v>
      </c>
      <c r="T74" s="468">
        <f t="shared" si="30"/>
        <v>0</v>
      </c>
      <c r="U74" s="468">
        <f t="shared" si="31"/>
        <v>0</v>
      </c>
      <c r="V74" s="468">
        <f t="shared" si="32"/>
        <v>23674.75</v>
      </c>
    </row>
    <row r="75" spans="1:22" s="6" customFormat="1" ht="5.0999999999999996" customHeight="1" x14ac:dyDescent="0.2">
      <c r="A75" s="68"/>
      <c r="B75" s="45"/>
      <c r="C75" s="103"/>
      <c r="D75" s="96"/>
      <c r="E75" s="56"/>
      <c r="F75" s="41"/>
      <c r="G75" s="42"/>
      <c r="H75" s="43"/>
      <c r="I75" s="43"/>
      <c r="J75" s="59"/>
      <c r="K75" s="62"/>
      <c r="L75" s="482"/>
      <c r="M75" s="64"/>
      <c r="N75" s="243"/>
      <c r="S75" s="468">
        <f t="shared" si="29"/>
        <v>0</v>
      </c>
      <c r="T75" s="468">
        <f t="shared" si="30"/>
        <v>0</v>
      </c>
      <c r="U75" s="468">
        <f t="shared" si="31"/>
        <v>0</v>
      </c>
      <c r="V75" s="468">
        <f t="shared" si="32"/>
        <v>0</v>
      </c>
    </row>
    <row r="76" spans="1:22" s="6" customFormat="1" ht="20.100000000000001" customHeight="1" x14ac:dyDescent="0.2">
      <c r="A76" s="68">
        <v>4389</v>
      </c>
      <c r="B76" s="45" t="s">
        <v>135</v>
      </c>
      <c r="C76" s="103"/>
      <c r="D76" s="118">
        <v>328.06</v>
      </c>
      <c r="E76" s="56">
        <f t="shared" ref="E76:E93" si="33">D76*C76</f>
        <v>0</v>
      </c>
      <c r="F76" s="41"/>
      <c r="G76" s="42"/>
      <c r="H76" s="43"/>
      <c r="I76" s="43"/>
      <c r="J76" s="59"/>
      <c r="K76" s="62">
        <f t="shared" ref="K76:K93" si="34">G76+H76+I76+J76</f>
        <v>0</v>
      </c>
      <c r="L76" s="482">
        <f t="shared" ref="L76:L90" si="35">D76*K76</f>
        <v>0</v>
      </c>
      <c r="M76" s="64">
        <f t="shared" ref="M76:M93" si="36">F76-K76</f>
        <v>0</v>
      </c>
      <c r="N76" s="243" t="e">
        <f t="shared" ref="N76:N93" si="37">K76/C76</f>
        <v>#DIV/0!</v>
      </c>
      <c r="S76" s="468">
        <f t="shared" si="29"/>
        <v>0</v>
      </c>
      <c r="T76" s="468">
        <f t="shared" si="30"/>
        <v>0</v>
      </c>
      <c r="U76" s="468">
        <f t="shared" si="31"/>
        <v>0</v>
      </c>
      <c r="V76" s="468">
        <f t="shared" si="32"/>
        <v>0</v>
      </c>
    </row>
    <row r="77" spans="1:22" s="6" customFormat="1" ht="20.100000000000001" customHeight="1" x14ac:dyDescent="0.2">
      <c r="A77" s="68">
        <v>4390</v>
      </c>
      <c r="B77" s="244" t="s">
        <v>137</v>
      </c>
      <c r="C77" s="46"/>
      <c r="D77" s="118">
        <v>358.96</v>
      </c>
      <c r="E77" s="56">
        <f t="shared" si="33"/>
        <v>0</v>
      </c>
      <c r="F77" s="41"/>
      <c r="G77" s="42"/>
      <c r="H77" s="43"/>
      <c r="I77" s="43"/>
      <c r="J77" s="59"/>
      <c r="K77" s="62">
        <f t="shared" si="34"/>
        <v>0</v>
      </c>
      <c r="L77" s="482">
        <f t="shared" si="35"/>
        <v>0</v>
      </c>
      <c r="M77" s="64">
        <f t="shared" si="36"/>
        <v>0</v>
      </c>
      <c r="N77" s="243" t="e">
        <f t="shared" si="37"/>
        <v>#DIV/0!</v>
      </c>
      <c r="S77" s="468">
        <f t="shared" si="29"/>
        <v>0</v>
      </c>
      <c r="T77" s="468">
        <f t="shared" si="30"/>
        <v>0</v>
      </c>
      <c r="U77" s="468">
        <f t="shared" si="31"/>
        <v>0</v>
      </c>
      <c r="V77" s="468">
        <f t="shared" si="32"/>
        <v>0</v>
      </c>
    </row>
    <row r="78" spans="1:22" s="6" customFormat="1" ht="20.100000000000001" customHeight="1" x14ac:dyDescent="0.2">
      <c r="A78" s="68" t="s">
        <v>346</v>
      </c>
      <c r="B78" s="362" t="s">
        <v>347</v>
      </c>
      <c r="C78" s="46"/>
      <c r="D78" s="118">
        <v>433</v>
      </c>
      <c r="E78" s="56">
        <f t="shared" si="33"/>
        <v>0</v>
      </c>
      <c r="F78" s="41"/>
      <c r="G78" s="42"/>
      <c r="H78" s="43"/>
      <c r="I78" s="43"/>
      <c r="J78" s="59"/>
      <c r="K78" s="62">
        <f t="shared" si="34"/>
        <v>0</v>
      </c>
      <c r="L78" s="482">
        <f t="shared" si="35"/>
        <v>0</v>
      </c>
      <c r="M78" s="64">
        <f t="shared" si="36"/>
        <v>0</v>
      </c>
      <c r="N78" s="243" t="e">
        <f t="shared" si="37"/>
        <v>#DIV/0!</v>
      </c>
      <c r="S78" s="468">
        <f t="shared" si="29"/>
        <v>0</v>
      </c>
      <c r="T78" s="468">
        <f t="shared" si="30"/>
        <v>0</v>
      </c>
      <c r="U78" s="468">
        <f t="shared" si="31"/>
        <v>0</v>
      </c>
      <c r="V78" s="468">
        <f t="shared" si="32"/>
        <v>0</v>
      </c>
    </row>
    <row r="79" spans="1:22" s="6" customFormat="1" ht="20.100000000000001" customHeight="1" x14ac:dyDescent="0.2">
      <c r="A79" s="493">
        <v>5461</v>
      </c>
      <c r="B79" s="244" t="s">
        <v>348</v>
      </c>
      <c r="C79" s="46"/>
      <c r="D79" s="118">
        <v>57.2</v>
      </c>
      <c r="E79" s="56">
        <f t="shared" si="33"/>
        <v>0</v>
      </c>
      <c r="F79" s="267">
        <v>73</v>
      </c>
      <c r="G79" s="42"/>
      <c r="H79" s="43"/>
      <c r="I79" s="43"/>
      <c r="J79" s="59">
        <v>73</v>
      </c>
      <c r="K79" s="555">
        <f t="shared" si="34"/>
        <v>73</v>
      </c>
      <c r="L79" s="482">
        <f t="shared" si="35"/>
        <v>4175.6000000000004</v>
      </c>
      <c r="M79" s="64">
        <f t="shared" si="36"/>
        <v>0</v>
      </c>
      <c r="N79" s="243" t="e">
        <f t="shared" si="37"/>
        <v>#DIV/0!</v>
      </c>
      <c r="S79" s="468">
        <f t="shared" si="29"/>
        <v>0</v>
      </c>
      <c r="T79" s="468">
        <f t="shared" si="30"/>
        <v>0</v>
      </c>
      <c r="U79" s="468">
        <f t="shared" si="31"/>
        <v>0</v>
      </c>
      <c r="V79" s="468">
        <f t="shared" si="32"/>
        <v>4175.6000000000004</v>
      </c>
    </row>
    <row r="80" spans="1:22" s="6" customFormat="1" ht="20.100000000000001" customHeight="1" x14ac:dyDescent="0.2">
      <c r="A80" s="493">
        <v>5449</v>
      </c>
      <c r="B80" s="443" t="s">
        <v>604</v>
      </c>
      <c r="C80" s="46"/>
      <c r="D80" s="444">
        <v>109.8</v>
      </c>
      <c r="E80" s="56">
        <f>D80*C80</f>
        <v>0</v>
      </c>
      <c r="F80" s="267">
        <v>294</v>
      </c>
      <c r="G80" s="42"/>
      <c r="H80" s="43"/>
      <c r="I80" s="43"/>
      <c r="J80" s="59">
        <v>294</v>
      </c>
      <c r="K80" s="555">
        <f>G80+H80+I80+J80</f>
        <v>294</v>
      </c>
      <c r="L80" s="482">
        <f>D80*K80</f>
        <v>32281.200000000001</v>
      </c>
      <c r="M80" s="64">
        <f>F80-K80</f>
        <v>0</v>
      </c>
      <c r="N80" s="243" t="e">
        <f>K80/C80</f>
        <v>#DIV/0!</v>
      </c>
      <c r="S80" s="468">
        <f t="shared" si="29"/>
        <v>0</v>
      </c>
      <c r="T80" s="468">
        <f t="shared" si="30"/>
        <v>0</v>
      </c>
      <c r="U80" s="468">
        <f t="shared" si="31"/>
        <v>0</v>
      </c>
      <c r="V80" s="468">
        <f t="shared" si="32"/>
        <v>32281.200000000001</v>
      </c>
    </row>
    <row r="81" spans="1:22" s="6" customFormat="1" ht="20.100000000000001" customHeight="1" x14ac:dyDescent="0.2">
      <c r="A81" s="68" t="s">
        <v>150</v>
      </c>
      <c r="B81" s="244" t="s">
        <v>151</v>
      </c>
      <c r="C81" s="265"/>
      <c r="D81" s="248">
        <v>99.5</v>
      </c>
      <c r="E81" s="56">
        <f t="shared" si="33"/>
        <v>0</v>
      </c>
      <c r="F81" s="267"/>
      <c r="G81" s="42"/>
      <c r="H81" s="43"/>
      <c r="I81" s="43"/>
      <c r="J81" s="59"/>
      <c r="K81" s="62">
        <f>G81+H81+I81+J81</f>
        <v>0</v>
      </c>
      <c r="L81" s="482">
        <f>D81*K81</f>
        <v>0</v>
      </c>
      <c r="M81" s="64">
        <f>F81-K81</f>
        <v>0</v>
      </c>
      <c r="N81" s="243" t="e">
        <f>K81/C81</f>
        <v>#DIV/0!</v>
      </c>
      <c r="S81" s="468">
        <f t="shared" si="29"/>
        <v>0</v>
      </c>
      <c r="T81" s="468">
        <f t="shared" si="30"/>
        <v>0</v>
      </c>
      <c r="U81" s="468">
        <f t="shared" si="31"/>
        <v>0</v>
      </c>
      <c r="V81" s="468">
        <f t="shared" si="32"/>
        <v>0</v>
      </c>
    </row>
    <row r="82" spans="1:22" s="6" customFormat="1" ht="20.100000000000001" customHeight="1" x14ac:dyDescent="0.2">
      <c r="A82" s="68">
        <v>4656</v>
      </c>
      <c r="B82" s="244" t="s">
        <v>152</v>
      </c>
      <c r="C82" s="265"/>
      <c r="D82" s="118">
        <v>99.5</v>
      </c>
      <c r="E82" s="56">
        <f t="shared" si="33"/>
        <v>0</v>
      </c>
      <c r="F82" s="267"/>
      <c r="G82" s="42"/>
      <c r="H82" s="43"/>
      <c r="I82" s="43"/>
      <c r="J82" s="59"/>
      <c r="K82" s="62">
        <f t="shared" si="34"/>
        <v>0</v>
      </c>
      <c r="L82" s="482">
        <f t="shared" si="35"/>
        <v>0</v>
      </c>
      <c r="M82" s="64">
        <f t="shared" si="36"/>
        <v>0</v>
      </c>
      <c r="N82" s="243" t="e">
        <f t="shared" si="37"/>
        <v>#DIV/0!</v>
      </c>
      <c r="S82" s="468">
        <f t="shared" si="29"/>
        <v>0</v>
      </c>
      <c r="T82" s="468">
        <f t="shared" si="30"/>
        <v>0</v>
      </c>
      <c r="U82" s="468">
        <f t="shared" si="31"/>
        <v>0</v>
      </c>
      <c r="V82" s="468">
        <f t="shared" si="32"/>
        <v>0</v>
      </c>
    </row>
    <row r="83" spans="1:22" s="6" customFormat="1" ht="20.100000000000001" customHeight="1" x14ac:dyDescent="0.2">
      <c r="A83" s="68" t="s">
        <v>820</v>
      </c>
      <c r="B83" s="362" t="s">
        <v>295</v>
      </c>
      <c r="C83" s="261">
        <v>2</v>
      </c>
      <c r="D83" s="96">
        <v>1320</v>
      </c>
      <c r="E83" s="56">
        <f>D83*C83</f>
        <v>2640</v>
      </c>
      <c r="F83" s="267">
        <v>2</v>
      </c>
      <c r="G83" s="42"/>
      <c r="H83" s="43"/>
      <c r="I83" s="43"/>
      <c r="J83" s="59">
        <v>2</v>
      </c>
      <c r="K83" s="555">
        <f>G83+H83+I83+J83</f>
        <v>2</v>
      </c>
      <c r="L83" s="482">
        <f>D83*K83</f>
        <v>2640</v>
      </c>
      <c r="M83" s="64">
        <f>F83-K83</f>
        <v>0</v>
      </c>
      <c r="N83" s="243">
        <f>K83/C83</f>
        <v>1</v>
      </c>
      <c r="S83" s="468">
        <f>G83*D83</f>
        <v>0</v>
      </c>
      <c r="T83" s="468">
        <f>H83*D83</f>
        <v>0</v>
      </c>
      <c r="U83" s="468">
        <f>I83*D83</f>
        <v>0</v>
      </c>
      <c r="V83" s="468">
        <f>J83*D83</f>
        <v>2640</v>
      </c>
    </row>
    <row r="84" spans="1:22" s="6" customFormat="1" ht="20.100000000000001" customHeight="1" x14ac:dyDescent="0.2">
      <c r="A84" s="68">
        <v>4717</v>
      </c>
      <c r="B84" s="244" t="s">
        <v>153</v>
      </c>
      <c r="C84" s="265"/>
      <c r="D84" s="248">
        <v>362</v>
      </c>
      <c r="E84" s="56">
        <f>D84*C84</f>
        <v>0</v>
      </c>
      <c r="F84" s="267">
        <v>47</v>
      </c>
      <c r="G84" s="42">
        <v>47</v>
      </c>
      <c r="H84" s="43"/>
      <c r="I84" s="43"/>
      <c r="J84" s="59"/>
      <c r="K84" s="456">
        <f>G84+H84+I84+J84</f>
        <v>47</v>
      </c>
      <c r="L84" s="482">
        <f>D84*K84</f>
        <v>17014</v>
      </c>
      <c r="M84" s="64">
        <f>F84-K84</f>
        <v>0</v>
      </c>
      <c r="N84" s="243" t="e">
        <f>K84/C84</f>
        <v>#DIV/0!</v>
      </c>
      <c r="S84" s="468">
        <f t="shared" si="29"/>
        <v>17014</v>
      </c>
      <c r="T84" s="468">
        <f t="shared" si="30"/>
        <v>0</v>
      </c>
      <c r="U84" s="468">
        <f t="shared" si="31"/>
        <v>0</v>
      </c>
      <c r="V84" s="468">
        <f t="shared" si="32"/>
        <v>0</v>
      </c>
    </row>
    <row r="85" spans="1:22" s="6" customFormat="1" ht="20.100000000000001" customHeight="1" x14ac:dyDescent="0.2">
      <c r="A85" s="68"/>
      <c r="B85" s="244"/>
      <c r="C85" s="265"/>
      <c r="D85" s="248"/>
      <c r="E85" s="56">
        <f t="shared" si="33"/>
        <v>0</v>
      </c>
      <c r="F85" s="267"/>
      <c r="G85" s="42"/>
      <c r="H85" s="43"/>
      <c r="I85" s="43"/>
      <c r="J85" s="59"/>
      <c r="K85" s="62">
        <f t="shared" si="34"/>
        <v>0</v>
      </c>
      <c r="L85" s="482">
        <f t="shared" si="35"/>
        <v>0</v>
      </c>
      <c r="M85" s="64">
        <f t="shared" si="36"/>
        <v>0</v>
      </c>
      <c r="N85" s="243" t="e">
        <f t="shared" si="37"/>
        <v>#DIV/0!</v>
      </c>
      <c r="S85" s="468">
        <f t="shared" si="29"/>
        <v>0</v>
      </c>
      <c r="T85" s="468">
        <f t="shared" si="30"/>
        <v>0</v>
      </c>
      <c r="U85" s="468">
        <f t="shared" si="31"/>
        <v>0</v>
      </c>
      <c r="V85" s="468">
        <f t="shared" si="32"/>
        <v>0</v>
      </c>
    </row>
    <row r="86" spans="1:22" s="6" customFormat="1" ht="20.100000000000001" customHeight="1" x14ac:dyDescent="0.2">
      <c r="A86" s="68"/>
      <c r="B86" s="244"/>
      <c r="C86" s="46"/>
      <c r="D86" s="453"/>
      <c r="E86" s="56">
        <f>D86*C86</f>
        <v>0</v>
      </c>
      <c r="F86" s="267"/>
      <c r="G86" s="42"/>
      <c r="H86" s="43"/>
      <c r="I86" s="43"/>
      <c r="J86" s="59"/>
      <c r="K86" s="62">
        <f>G86+H86+I86+J86</f>
        <v>0</v>
      </c>
      <c r="L86" s="482">
        <f>D86*K86</f>
        <v>0</v>
      </c>
      <c r="M86" s="64">
        <f>F86-K86</f>
        <v>0</v>
      </c>
      <c r="N86" s="243" t="e">
        <f>K86/C86</f>
        <v>#DIV/0!</v>
      </c>
      <c r="S86" s="468">
        <f t="shared" si="29"/>
        <v>0</v>
      </c>
      <c r="T86" s="468">
        <f t="shared" si="30"/>
        <v>0</v>
      </c>
      <c r="U86" s="468">
        <f t="shared" si="31"/>
        <v>0</v>
      </c>
      <c r="V86" s="468">
        <f t="shared" si="32"/>
        <v>0</v>
      </c>
    </row>
    <row r="87" spans="1:22" s="6" customFormat="1" ht="20.100000000000001" customHeight="1" x14ac:dyDescent="0.2">
      <c r="A87" s="68"/>
      <c r="B87" s="244"/>
      <c r="C87" s="46"/>
      <c r="D87" s="453"/>
      <c r="E87" s="56">
        <f>D87*C87</f>
        <v>0</v>
      </c>
      <c r="F87" s="267"/>
      <c r="G87" s="42"/>
      <c r="H87" s="43"/>
      <c r="I87" s="43"/>
      <c r="J87" s="59"/>
      <c r="K87" s="62">
        <f>G87+H87+I87+J87</f>
        <v>0</v>
      </c>
      <c r="L87" s="482">
        <f>D87*K87</f>
        <v>0</v>
      </c>
      <c r="M87" s="64">
        <f>F87-K87</f>
        <v>0</v>
      </c>
      <c r="N87" s="243" t="e">
        <f>K87/C87</f>
        <v>#DIV/0!</v>
      </c>
      <c r="S87" s="468">
        <f t="shared" si="29"/>
        <v>0</v>
      </c>
      <c r="T87" s="468">
        <f t="shared" si="30"/>
        <v>0</v>
      </c>
      <c r="U87" s="468">
        <f t="shared" si="31"/>
        <v>0</v>
      </c>
      <c r="V87" s="468">
        <f t="shared" si="32"/>
        <v>0</v>
      </c>
    </row>
    <row r="88" spans="1:22" s="6" customFormat="1" ht="20.100000000000001" customHeight="1" x14ac:dyDescent="0.2">
      <c r="A88" s="68"/>
      <c r="B88" s="244"/>
      <c r="C88" s="265"/>
      <c r="D88" s="248"/>
      <c r="E88" s="56">
        <f t="shared" si="33"/>
        <v>0</v>
      </c>
      <c r="F88" s="267"/>
      <c r="G88" s="42"/>
      <c r="H88" s="43"/>
      <c r="I88" s="43"/>
      <c r="J88" s="59"/>
      <c r="K88" s="62">
        <f t="shared" si="34"/>
        <v>0</v>
      </c>
      <c r="L88" s="482">
        <f t="shared" ref="L88" si="38">D88*K88</f>
        <v>0</v>
      </c>
      <c r="M88" s="64">
        <f t="shared" ref="M88:M89" si="39">F88-K88</f>
        <v>0</v>
      </c>
      <c r="N88" s="243" t="e">
        <f t="shared" ref="N88:N89" si="40">K88/C88</f>
        <v>#DIV/0!</v>
      </c>
      <c r="S88" s="468">
        <f t="shared" si="29"/>
        <v>0</v>
      </c>
      <c r="T88" s="468">
        <f t="shared" si="30"/>
        <v>0</v>
      </c>
      <c r="U88" s="468">
        <f t="shared" si="31"/>
        <v>0</v>
      </c>
      <c r="V88" s="468">
        <f t="shared" si="32"/>
        <v>0</v>
      </c>
    </row>
    <row r="89" spans="1:22" s="6" customFormat="1" ht="20.100000000000001" customHeight="1" x14ac:dyDescent="0.2">
      <c r="A89" s="68"/>
      <c r="B89" s="244" t="s">
        <v>131</v>
      </c>
      <c r="C89" s="265">
        <v>6</v>
      </c>
      <c r="D89" s="248">
        <v>696.3</v>
      </c>
      <c r="E89" s="56">
        <f t="shared" si="33"/>
        <v>4177.7999999999993</v>
      </c>
      <c r="F89" s="267">
        <v>6</v>
      </c>
      <c r="G89" s="42">
        <v>6</v>
      </c>
      <c r="H89" s="43"/>
      <c r="I89" s="43"/>
      <c r="J89" s="59"/>
      <c r="K89" s="62">
        <f>G89+H89+I89+J89</f>
        <v>6</v>
      </c>
      <c r="L89" s="482">
        <f t="shared" si="35"/>
        <v>4177.7999999999993</v>
      </c>
      <c r="M89" s="64">
        <f t="shared" si="39"/>
        <v>0</v>
      </c>
      <c r="N89" s="243">
        <f t="shared" si="40"/>
        <v>1</v>
      </c>
      <c r="S89" s="468">
        <f t="shared" si="29"/>
        <v>4177.7999999999993</v>
      </c>
      <c r="T89" s="468">
        <f t="shared" si="30"/>
        <v>0</v>
      </c>
      <c r="U89" s="468">
        <f t="shared" si="31"/>
        <v>0</v>
      </c>
      <c r="V89" s="468">
        <f t="shared" si="32"/>
        <v>0</v>
      </c>
    </row>
    <row r="90" spans="1:22" s="6" customFormat="1" ht="20.100000000000001" customHeight="1" x14ac:dyDescent="0.2">
      <c r="A90" s="68"/>
      <c r="B90" s="244" t="s">
        <v>31</v>
      </c>
      <c r="C90" s="265">
        <v>43</v>
      </c>
      <c r="D90" s="248">
        <v>1500</v>
      </c>
      <c r="E90" s="56">
        <f t="shared" si="33"/>
        <v>64500</v>
      </c>
      <c r="F90" s="267">
        <v>43</v>
      </c>
      <c r="G90" s="42">
        <v>4</v>
      </c>
      <c r="H90" s="43">
        <f>6+6</f>
        <v>12</v>
      </c>
      <c r="I90" s="43">
        <v>5</v>
      </c>
      <c r="J90" s="59">
        <f>5+6+5+6</f>
        <v>22</v>
      </c>
      <c r="K90" s="62">
        <f t="shared" si="34"/>
        <v>43</v>
      </c>
      <c r="L90" s="482">
        <f t="shared" si="35"/>
        <v>64500</v>
      </c>
      <c r="M90" s="64">
        <f t="shared" si="36"/>
        <v>0</v>
      </c>
      <c r="N90" s="243">
        <f t="shared" si="37"/>
        <v>1</v>
      </c>
      <c r="S90" s="468">
        <f t="shared" si="29"/>
        <v>6000</v>
      </c>
      <c r="T90" s="468">
        <f t="shared" si="30"/>
        <v>18000</v>
      </c>
      <c r="U90" s="468">
        <f t="shared" si="31"/>
        <v>7500</v>
      </c>
      <c r="V90" s="468">
        <f t="shared" si="32"/>
        <v>33000</v>
      </c>
    </row>
    <row r="91" spans="1:22" s="6" customFormat="1" ht="20.100000000000001" customHeight="1" x14ac:dyDescent="0.2">
      <c r="A91" s="68"/>
      <c r="B91" s="244" t="s">
        <v>29</v>
      </c>
      <c r="C91" s="265">
        <v>9</v>
      </c>
      <c r="D91" s="248">
        <v>600</v>
      </c>
      <c r="E91" s="56">
        <f t="shared" si="33"/>
        <v>5400</v>
      </c>
      <c r="F91" s="267">
        <v>9</v>
      </c>
      <c r="G91" s="42"/>
      <c r="H91" s="43">
        <v>5</v>
      </c>
      <c r="I91" s="43">
        <v>4</v>
      </c>
      <c r="J91" s="59"/>
      <c r="K91" s="62">
        <f t="shared" si="34"/>
        <v>9</v>
      </c>
      <c r="L91" s="482">
        <f>D91*K91</f>
        <v>5400</v>
      </c>
      <c r="M91" s="64">
        <f t="shared" si="36"/>
        <v>0</v>
      </c>
      <c r="N91" s="243">
        <f>K91/C91</f>
        <v>1</v>
      </c>
      <c r="S91" s="468">
        <f t="shared" si="29"/>
        <v>0</v>
      </c>
      <c r="T91" s="468">
        <f t="shared" si="30"/>
        <v>3000</v>
      </c>
      <c r="U91" s="468">
        <f t="shared" si="31"/>
        <v>2400</v>
      </c>
      <c r="V91" s="468">
        <f t="shared" si="32"/>
        <v>0</v>
      </c>
    </row>
    <row r="92" spans="1:22" s="6" customFormat="1" ht="20.100000000000001" customHeight="1" x14ac:dyDescent="0.2">
      <c r="A92" s="68"/>
      <c r="B92" s="244"/>
      <c r="C92" s="265"/>
      <c r="D92" s="248"/>
      <c r="E92" s="56">
        <f t="shared" si="33"/>
        <v>0</v>
      </c>
      <c r="F92" s="267"/>
      <c r="G92" s="42"/>
      <c r="H92" s="43"/>
      <c r="I92" s="43"/>
      <c r="J92" s="59"/>
      <c r="K92" s="62">
        <f t="shared" si="34"/>
        <v>0</v>
      </c>
      <c r="L92" s="482">
        <f>D92*K92</f>
        <v>0</v>
      </c>
      <c r="M92" s="64">
        <f t="shared" si="36"/>
        <v>0</v>
      </c>
      <c r="N92" s="243" t="e">
        <f>K92/C92</f>
        <v>#DIV/0!</v>
      </c>
      <c r="S92" s="468">
        <f t="shared" si="29"/>
        <v>0</v>
      </c>
      <c r="T92" s="468">
        <f t="shared" si="30"/>
        <v>0</v>
      </c>
      <c r="U92" s="468">
        <f t="shared" si="31"/>
        <v>0</v>
      </c>
      <c r="V92" s="468">
        <f t="shared" si="32"/>
        <v>0</v>
      </c>
    </row>
    <row r="93" spans="1:22" s="6" customFormat="1" ht="20.100000000000001" customHeight="1" thickBot="1" x14ac:dyDescent="0.25">
      <c r="A93" s="68"/>
      <c r="B93" s="39" t="s">
        <v>18</v>
      </c>
      <c r="C93" s="104">
        <v>1</v>
      </c>
      <c r="D93" s="94">
        <v>1695</v>
      </c>
      <c r="E93" s="56">
        <f t="shared" si="33"/>
        <v>1695</v>
      </c>
      <c r="F93" s="41">
        <v>1</v>
      </c>
      <c r="G93" s="42"/>
      <c r="H93" s="43"/>
      <c r="I93" s="43"/>
      <c r="J93" s="59">
        <v>1</v>
      </c>
      <c r="K93" s="62">
        <f t="shared" si="34"/>
        <v>1</v>
      </c>
      <c r="L93" s="482">
        <f>D93*K93</f>
        <v>1695</v>
      </c>
      <c r="M93" s="64">
        <f t="shared" si="36"/>
        <v>0</v>
      </c>
      <c r="N93" s="243">
        <f t="shared" si="37"/>
        <v>1</v>
      </c>
      <c r="S93" s="468">
        <f t="shared" si="29"/>
        <v>0</v>
      </c>
      <c r="T93" s="468">
        <f t="shared" si="30"/>
        <v>0</v>
      </c>
      <c r="U93" s="468">
        <f t="shared" si="31"/>
        <v>0</v>
      </c>
      <c r="V93" s="468">
        <f t="shared" si="32"/>
        <v>1695</v>
      </c>
    </row>
    <row r="94" spans="1:22" s="6" customFormat="1" ht="20.100000000000001" customHeight="1" thickBot="1" x14ac:dyDescent="0.25">
      <c r="A94" s="84"/>
      <c r="B94" s="84"/>
      <c r="C94" s="84"/>
      <c r="D94" s="84"/>
      <c r="E94" s="84">
        <f>D94*C94</f>
        <v>0</v>
      </c>
      <c r="F94" s="18">
        <f>G94+H94+I94+J94</f>
        <v>0</v>
      </c>
      <c r="G94" s="20"/>
      <c r="H94" s="20"/>
      <c r="I94" s="20"/>
      <c r="J94" s="20"/>
      <c r="K94" s="18">
        <f>D94*F94</f>
        <v>0</v>
      </c>
      <c r="L94" s="484"/>
      <c r="M94" s="73"/>
      <c r="S94" s="468">
        <f t="shared" si="29"/>
        <v>0</v>
      </c>
      <c r="T94" s="468">
        <f t="shared" si="30"/>
        <v>0</v>
      </c>
      <c r="U94" s="468">
        <f t="shared" si="31"/>
        <v>0</v>
      </c>
      <c r="V94" s="468">
        <f t="shared" si="32"/>
        <v>0</v>
      </c>
    </row>
    <row r="95" spans="1:22" s="6" customFormat="1" ht="20.100000000000001" customHeight="1" thickBot="1" x14ac:dyDescent="0.3">
      <c r="A95" s="12"/>
      <c r="B95" s="574" t="s">
        <v>19</v>
      </c>
      <c r="C95" s="575"/>
      <c r="D95" s="576"/>
      <c r="E95" s="66">
        <f>SUM(E7:E93)</f>
        <v>1974138.2</v>
      </c>
      <c r="F95" s="467"/>
      <c r="G95" s="479">
        <f>S95/E95</f>
        <v>4.8898957529923695E-2</v>
      </c>
      <c r="H95" s="479">
        <f>T95/E95</f>
        <v>0.26719517407646537</v>
      </c>
      <c r="I95" s="479">
        <f>U95/E95</f>
        <v>0.3110019349202604</v>
      </c>
      <c r="J95" s="479">
        <f>V95/E95</f>
        <v>0.57054108471230636</v>
      </c>
      <c r="K95" s="466" t="s">
        <v>28</v>
      </c>
      <c r="L95" s="25">
        <f>SUM(L7:L94)</f>
        <v>2364301.25</v>
      </c>
      <c r="M95" s="470">
        <f>L95/E95</f>
        <v>1.1976371512389559</v>
      </c>
      <c r="S95" s="469">
        <f>SUM(S7:S93)</f>
        <v>96533.3</v>
      </c>
      <c r="T95" s="469">
        <f t="shared" ref="T95:V95" si="41">SUM(T7:T93)</f>
        <v>527480.19999999995</v>
      </c>
      <c r="U95" s="469">
        <f t="shared" si="41"/>
        <v>613960.80000000005</v>
      </c>
      <c r="V95" s="469">
        <f t="shared" si="41"/>
        <v>1126326.95</v>
      </c>
    </row>
    <row r="96" spans="1:22" s="6" customFormat="1" ht="20.100000000000001" customHeight="1" thickBot="1" x14ac:dyDescent="0.3">
      <c r="A96" s="13"/>
      <c r="B96" s="559" t="s">
        <v>20</v>
      </c>
      <c r="C96" s="560"/>
      <c r="D96" s="561"/>
      <c r="E96" s="66">
        <f>'май 2019'!F226</f>
        <v>3721410.54</v>
      </c>
      <c r="F96" s="467"/>
      <c r="G96" s="480">
        <f>'май 2019'!H226</f>
        <v>4.3518552511005682E-3</v>
      </c>
      <c r="H96" s="480">
        <f>'май 2019'!I226</f>
        <v>3.220841095376701E-2</v>
      </c>
      <c r="I96" s="480">
        <f>'май 2019'!J226</f>
        <v>3.8546943009410618E-2</v>
      </c>
      <c r="J96" s="478">
        <f>'май 2019'!K226</f>
        <v>0.20368325178119154</v>
      </c>
      <c r="K96" s="466" t="s">
        <v>28</v>
      </c>
      <c r="L96" s="25">
        <f>'май 2019'!L226</f>
        <v>1400754.04</v>
      </c>
      <c r="M96" s="470">
        <f>L96/E96</f>
        <v>0.37640406102574214</v>
      </c>
    </row>
    <row r="97" spans="1:14" s="6" customFormat="1" ht="20.100000000000001" customHeight="1" thickBot="1" x14ac:dyDescent="0.35">
      <c r="A97" s="10"/>
      <c r="B97" s="565" t="s">
        <v>21</v>
      </c>
      <c r="C97" s="566"/>
      <c r="D97" s="567"/>
      <c r="E97" s="67">
        <f>SUM(E95:E96)</f>
        <v>5695548.7400000002</v>
      </c>
      <c r="F97" s="467"/>
      <c r="G97" s="480">
        <f>(S95+'май 2019'!S226)/E97</f>
        <v>1.9792358058198269E-2</v>
      </c>
      <c r="H97" s="480">
        <f>(T95+'май 2019'!T226)/E97</f>
        <v>0.11365734006518219</v>
      </c>
      <c r="I97" s="480">
        <f>(U95+'май 2019'!U226)/E97</f>
        <v>0.13298276155213801</v>
      </c>
      <c r="J97" s="478">
        <f>(V95+'май 2019'!V226)/E97</f>
        <v>0.33084010619844151</v>
      </c>
      <c r="K97" s="466" t="s">
        <v>28</v>
      </c>
      <c r="L97" s="71">
        <f>SUM(L95:L96)</f>
        <v>3765055.29</v>
      </c>
      <c r="M97" s="471">
        <f>L97/E97</f>
        <v>0.66105224656544681</v>
      </c>
    </row>
    <row r="98" spans="1:14" s="6" customFormat="1" ht="20.100000000000001" customHeight="1" x14ac:dyDescent="0.2">
      <c r="A98" s="10"/>
      <c r="B98" s="10"/>
      <c r="C98" s="10"/>
      <c r="D98" s="10"/>
      <c r="E98" s="10"/>
      <c r="F98" s="13"/>
      <c r="G98" s="13"/>
      <c r="H98" s="13"/>
      <c r="I98" s="13" t="s">
        <v>25</v>
      </c>
      <c r="J98" s="13"/>
      <c r="K98" s="13"/>
      <c r="L98" s="240"/>
      <c r="M98" s="51"/>
      <c r="N98" s="23"/>
    </row>
    <row r="99" spans="1:14" s="6" customFormat="1" ht="20.100000000000001" customHeight="1" thickBot="1" x14ac:dyDescent="0.25">
      <c r="A99" s="10"/>
      <c r="B99" s="10"/>
      <c r="C99" s="14"/>
      <c r="D99" s="10"/>
      <c r="E99" s="10"/>
      <c r="F99" s="14"/>
      <c r="G99" s="14"/>
      <c r="H99" s="14"/>
      <c r="I99" s="26" t="s">
        <v>27</v>
      </c>
      <c r="J99" s="14"/>
      <c r="K99" s="14"/>
      <c r="L99" s="87"/>
      <c r="M99" s="52"/>
      <c r="N99" s="23"/>
    </row>
    <row r="100" spans="1:14" s="6" customFormat="1" ht="20.100000000000001" customHeight="1" thickBot="1" x14ac:dyDescent="0.25">
      <c r="A100" s="10"/>
      <c r="B100" s="10"/>
      <c r="C100" s="10"/>
      <c r="D100" s="10"/>
      <c r="E100" s="10"/>
      <c r="F100" s="13"/>
      <c r="G100" s="13"/>
      <c r="H100" s="13"/>
      <c r="I100" s="31" t="s">
        <v>26</v>
      </c>
      <c r="J100" s="13"/>
      <c r="K100" s="13"/>
      <c r="L100" s="71">
        <f>L97+L98+L99</f>
        <v>3765055.29</v>
      </c>
      <c r="M100" s="63"/>
      <c r="N100" s="23"/>
    </row>
    <row r="101" spans="1:14" s="6" customFormat="1" ht="20.100000000000001" customHeight="1" x14ac:dyDescent="0.2">
      <c r="A101" s="15"/>
      <c r="B101" s="11"/>
      <c r="C101" s="15"/>
      <c r="D101" s="236" t="s">
        <v>24</v>
      </c>
      <c r="E101" s="17"/>
      <c r="F101" s="19"/>
      <c r="G101" s="21"/>
      <c r="H101" s="13"/>
      <c r="I101" s="13"/>
      <c r="J101" s="13"/>
      <c r="K101" s="13"/>
      <c r="L101" s="23"/>
    </row>
    <row r="102" spans="1:14" s="6" customFormat="1" ht="20.100000000000001" customHeight="1" x14ac:dyDescent="0.2">
      <c r="A102" s="10"/>
      <c r="B102" s="10"/>
      <c r="C102" s="10"/>
      <c r="D102" s="10"/>
      <c r="E102" s="10"/>
      <c r="F102" s="13"/>
      <c r="G102" s="13"/>
      <c r="H102" s="13"/>
      <c r="I102" s="13"/>
      <c r="J102" s="13"/>
      <c r="K102" s="13"/>
    </row>
    <row r="103" spans="1:14" s="6" customFormat="1" ht="20.100000000000001" customHeight="1" x14ac:dyDescent="0.2">
      <c r="A103" s="10"/>
      <c r="B103" s="10"/>
      <c r="C103" s="255">
        <v>1000</v>
      </c>
      <c r="D103" s="542" t="s">
        <v>140</v>
      </c>
      <c r="E103" s="251"/>
      <c r="F103" s="13"/>
      <c r="G103" s="13"/>
      <c r="H103" s="13"/>
      <c r="I103" s="13"/>
      <c r="J103" s="13"/>
      <c r="K103" s="13"/>
    </row>
    <row r="104" spans="1:14" s="6" customFormat="1" ht="20.100000000000001" customHeight="1" x14ac:dyDescent="0.2">
      <c r="A104" s="10"/>
      <c r="B104" s="10"/>
      <c r="C104" s="10"/>
      <c r="D104" s="10"/>
      <c r="E104" s="10"/>
      <c r="F104" s="13"/>
      <c r="G104" s="13"/>
      <c r="H104" s="13"/>
      <c r="I104" s="13"/>
      <c r="K104" s="13"/>
      <c r="L104" s="24"/>
    </row>
    <row r="105" spans="1:14" s="6" customFormat="1" ht="20.100000000000001" customHeight="1" x14ac:dyDescent="0.2">
      <c r="A105" s="10"/>
      <c r="B105" s="10"/>
      <c r="C105" s="10"/>
      <c r="D105" s="10"/>
      <c r="E105" s="10"/>
      <c r="F105" s="13"/>
      <c r="G105" s="13"/>
      <c r="H105" s="13"/>
      <c r="I105" s="13"/>
      <c r="J105" s="13"/>
      <c r="K105" s="13"/>
      <c r="L105" s="23"/>
    </row>
    <row r="106" spans="1:14" s="6" customFormat="1" ht="20.100000000000001" customHeight="1" x14ac:dyDescent="0.2">
      <c r="A106" s="10"/>
      <c r="B106" s="10"/>
      <c r="C106" s="10"/>
      <c r="D106" s="10"/>
      <c r="E106" s="10"/>
      <c r="F106" s="13"/>
      <c r="G106" s="13"/>
      <c r="H106" s="13"/>
      <c r="I106" s="13"/>
      <c r="J106" s="13"/>
      <c r="K106" s="13"/>
      <c r="L106" s="23"/>
    </row>
    <row r="107" spans="1:14" s="6" customFormat="1" ht="20.100000000000001" customHeight="1" x14ac:dyDescent="0.2">
      <c r="A107" s="10"/>
      <c r="B107" s="10"/>
      <c r="C107" s="10"/>
      <c r="D107" s="10"/>
      <c r="E107" s="10"/>
      <c r="F107" s="13"/>
      <c r="G107" s="13"/>
      <c r="H107" s="13"/>
      <c r="I107" s="13"/>
      <c r="J107" s="13"/>
      <c r="K107" s="13"/>
      <c r="L107" s="23"/>
    </row>
    <row r="108" spans="1:14" s="6" customFormat="1" ht="15" customHeight="1" x14ac:dyDescent="0.2">
      <c r="A108" s="10"/>
      <c r="B108" s="10"/>
      <c r="C108" s="10"/>
      <c r="D108" s="10"/>
      <c r="E108" s="10"/>
      <c r="F108" s="13"/>
      <c r="G108" s="13"/>
      <c r="H108" s="13"/>
      <c r="I108" s="13"/>
      <c r="J108" s="13"/>
      <c r="K108" s="13"/>
      <c r="L108" s="23"/>
    </row>
    <row r="109" spans="1:14" s="6" customFormat="1" ht="15" customHeight="1" x14ac:dyDescent="0.2">
      <c r="A109" s="10"/>
      <c r="B109" s="10"/>
      <c r="C109" s="10"/>
      <c r="D109" s="10"/>
      <c r="E109" s="10"/>
      <c r="F109" s="13"/>
      <c r="G109" s="13"/>
      <c r="H109" s="13"/>
      <c r="I109" s="13"/>
      <c r="J109" s="13"/>
      <c r="K109" s="13"/>
      <c r="L109" s="13"/>
    </row>
    <row r="110" spans="1:14" s="7" customFormat="1" ht="15" customHeight="1" x14ac:dyDescent="0.2">
      <c r="A110" s="10"/>
      <c r="B110" s="10"/>
      <c r="C110" s="10"/>
      <c r="D110" s="10"/>
      <c r="E110" s="10"/>
      <c r="F110" s="13"/>
      <c r="G110" s="13"/>
      <c r="H110" s="13"/>
      <c r="I110" s="13"/>
      <c r="J110" s="13"/>
      <c r="K110" s="13"/>
      <c r="L110" s="10"/>
    </row>
    <row r="111" spans="1:14" s="8" customFormat="1" ht="15" customHeight="1" x14ac:dyDescent="0.2">
      <c r="A111" s="10"/>
      <c r="B111" s="10"/>
      <c r="C111" s="10"/>
      <c r="D111" s="10"/>
      <c r="E111" s="10"/>
      <c r="F111" s="13"/>
      <c r="G111" s="13"/>
      <c r="H111" s="13"/>
      <c r="I111" s="13"/>
      <c r="J111" s="13"/>
      <c r="K111" s="13"/>
      <c r="L111" s="10"/>
    </row>
    <row r="112" spans="1:14" s="8" customFormat="1" ht="15" customHeight="1" x14ac:dyDescent="0.2">
      <c r="A112" s="10"/>
      <c r="B112" s="10"/>
      <c r="C112" s="10"/>
      <c r="D112" s="10"/>
      <c r="E112" s="10"/>
      <c r="F112" s="13"/>
      <c r="G112" s="13"/>
      <c r="H112" s="13"/>
      <c r="I112" s="13"/>
      <c r="J112" s="13"/>
      <c r="K112" s="13"/>
      <c r="L112" s="9"/>
    </row>
    <row r="113" spans="1:16" ht="15" customHeight="1" x14ac:dyDescent="0.25">
      <c r="A113" s="10"/>
      <c r="B113" s="10"/>
      <c r="C113" s="10"/>
      <c r="D113" s="10"/>
      <c r="E113" s="10"/>
      <c r="F113" s="13"/>
      <c r="G113" s="13"/>
      <c r="H113" s="13"/>
      <c r="I113" s="13"/>
      <c r="J113" s="13"/>
      <c r="K113" s="13"/>
    </row>
    <row r="114" spans="1:16" s="9" customFormat="1" ht="15" customHeight="1" x14ac:dyDescent="0.25">
      <c r="A114" s="10"/>
      <c r="B114" s="10"/>
      <c r="C114" s="10"/>
      <c r="D114" s="10"/>
      <c r="E114" s="10"/>
      <c r="F114" s="13"/>
      <c r="G114" s="13"/>
      <c r="H114" s="13"/>
      <c r="I114" s="13"/>
      <c r="J114" s="13"/>
      <c r="K114" s="13"/>
      <c r="M114" s="4"/>
      <c r="N114" s="4"/>
      <c r="O114" s="5"/>
      <c r="P114" s="5"/>
    </row>
    <row r="115" spans="1:16" s="9" customFormat="1" ht="15" customHeight="1" x14ac:dyDescent="0.25">
      <c r="A115" s="10"/>
      <c r="B115" s="10"/>
      <c r="C115" s="10"/>
      <c r="D115" s="10"/>
      <c r="E115" s="10"/>
      <c r="F115" s="13"/>
      <c r="G115" s="13"/>
      <c r="H115" s="13"/>
      <c r="I115" s="13"/>
      <c r="J115" s="13"/>
      <c r="K115" s="13"/>
      <c r="M115" s="4"/>
      <c r="N115" s="4"/>
      <c r="O115" s="5"/>
      <c r="P115" s="5"/>
    </row>
    <row r="116" spans="1:16" s="9" customFormat="1" ht="15" customHeight="1" x14ac:dyDescent="0.25">
      <c r="A116" s="10"/>
      <c r="B116" s="10"/>
      <c r="C116" s="10"/>
      <c r="D116" s="10"/>
      <c r="E116" s="10"/>
      <c r="F116" s="13"/>
      <c r="G116" s="13"/>
      <c r="H116" s="13"/>
      <c r="I116" s="13"/>
      <c r="J116" s="13"/>
      <c r="K116" s="13"/>
      <c r="M116" s="4"/>
      <c r="N116" s="4"/>
      <c r="O116" s="5"/>
      <c r="P116" s="5"/>
    </row>
    <row r="117" spans="1:16" s="9" customFormat="1" ht="15" customHeight="1" x14ac:dyDescent="0.25">
      <c r="A117" s="10"/>
      <c r="B117" s="10"/>
      <c r="C117" s="10"/>
      <c r="D117" s="10"/>
      <c r="E117" s="10"/>
      <c r="F117" s="13"/>
      <c r="G117" s="13"/>
      <c r="H117" s="13"/>
      <c r="I117" s="13"/>
      <c r="J117" s="13"/>
      <c r="K117" s="13"/>
      <c r="M117" s="4"/>
      <c r="N117" s="4"/>
      <c r="O117" s="5"/>
      <c r="P117" s="5"/>
    </row>
    <row r="118" spans="1:16" s="9" customFormat="1" ht="15" customHeight="1" x14ac:dyDescent="0.25">
      <c r="A118" s="10"/>
      <c r="B118" s="10"/>
      <c r="C118" s="10"/>
      <c r="D118" s="10"/>
      <c r="E118" s="10"/>
      <c r="F118" s="13"/>
      <c r="G118" s="13"/>
      <c r="H118" s="13"/>
      <c r="I118" s="13"/>
      <c r="J118" s="13"/>
      <c r="K118" s="13"/>
      <c r="M118" s="4"/>
      <c r="N118" s="4"/>
      <c r="O118" s="5"/>
      <c r="P118" s="5"/>
    </row>
    <row r="119" spans="1:16" s="9" customFormat="1" ht="15" customHeight="1" x14ac:dyDescent="0.25">
      <c r="A119" s="10"/>
      <c r="B119" s="10"/>
      <c r="C119" s="10"/>
      <c r="D119" s="10"/>
      <c r="E119" s="10"/>
      <c r="F119" s="13"/>
      <c r="G119" s="13"/>
      <c r="H119" s="13"/>
      <c r="I119" s="13"/>
      <c r="J119" s="13"/>
      <c r="K119" s="13"/>
      <c r="M119" s="4"/>
      <c r="N119" s="4"/>
      <c r="O119" s="5"/>
      <c r="P119" s="5"/>
    </row>
    <row r="120" spans="1:16" s="9" customFormat="1" ht="15" customHeight="1" x14ac:dyDescent="0.25">
      <c r="A120" s="10"/>
      <c r="B120" s="10"/>
      <c r="C120" s="10"/>
      <c r="D120" s="10"/>
      <c r="E120" s="10"/>
      <c r="F120" s="13"/>
      <c r="G120" s="13"/>
      <c r="H120" s="13"/>
      <c r="I120" s="13"/>
      <c r="J120" s="13"/>
      <c r="K120" s="13"/>
      <c r="M120" s="4"/>
      <c r="N120" s="4"/>
      <c r="O120" s="5"/>
      <c r="P120" s="5"/>
    </row>
    <row r="121" spans="1:16" s="9" customFormat="1" ht="15" customHeight="1" x14ac:dyDescent="0.25">
      <c r="A121" s="10"/>
      <c r="B121" s="10"/>
      <c r="C121" s="10"/>
      <c r="D121" s="10"/>
      <c r="E121" s="10"/>
      <c r="F121" s="13"/>
      <c r="G121" s="13"/>
      <c r="H121" s="13"/>
      <c r="I121" s="13"/>
      <c r="J121" s="13"/>
      <c r="K121" s="13"/>
      <c r="M121" s="4"/>
      <c r="N121" s="4"/>
      <c r="O121" s="5"/>
      <c r="P121" s="5"/>
    </row>
    <row r="122" spans="1:16" s="9" customFormat="1" ht="15" customHeight="1" x14ac:dyDescent="0.25">
      <c r="A122" s="10"/>
      <c r="B122" s="10"/>
      <c r="C122" s="10"/>
      <c r="D122" s="10"/>
      <c r="E122" s="10"/>
      <c r="F122" s="13"/>
      <c r="G122" s="13"/>
      <c r="H122" s="13"/>
      <c r="I122" s="13"/>
      <c r="J122" s="13"/>
      <c r="K122" s="13"/>
      <c r="M122" s="4"/>
      <c r="N122" s="4"/>
      <c r="O122" s="5"/>
      <c r="P122" s="5"/>
    </row>
    <row r="123" spans="1:16" s="9" customFormat="1" ht="15" customHeight="1" x14ac:dyDescent="0.25">
      <c r="A123" s="10"/>
      <c r="B123" s="10"/>
      <c r="C123" s="10"/>
      <c r="D123" s="10"/>
      <c r="E123" s="10"/>
      <c r="F123" s="13"/>
      <c r="G123" s="13"/>
      <c r="H123" s="13"/>
      <c r="I123" s="13"/>
      <c r="J123" s="13"/>
      <c r="K123" s="13"/>
      <c r="M123" s="4"/>
      <c r="N123" s="4"/>
      <c r="O123" s="5"/>
      <c r="P123" s="5"/>
    </row>
    <row r="124" spans="1:16" s="9" customFormat="1" ht="15" customHeight="1" x14ac:dyDescent="0.25">
      <c r="A124" s="10"/>
      <c r="B124" s="10"/>
      <c r="C124" s="10"/>
      <c r="D124" s="10"/>
      <c r="E124" s="10"/>
      <c r="F124" s="13"/>
      <c r="G124" s="13"/>
      <c r="H124" s="13"/>
      <c r="I124" s="13"/>
      <c r="J124" s="13"/>
      <c r="K124" s="13"/>
      <c r="M124" s="4"/>
      <c r="N124" s="4"/>
      <c r="O124" s="5"/>
      <c r="P124" s="5"/>
    </row>
    <row r="125" spans="1:16" s="9" customFormat="1" ht="15" customHeight="1" x14ac:dyDescent="0.25">
      <c r="A125" s="10"/>
      <c r="B125" s="10"/>
      <c r="C125" s="10"/>
      <c r="D125" s="10"/>
      <c r="E125" s="10"/>
      <c r="F125" s="13"/>
      <c r="G125" s="13"/>
      <c r="H125" s="13"/>
      <c r="I125" s="13"/>
      <c r="J125" s="13"/>
      <c r="K125" s="13"/>
      <c r="M125" s="4"/>
      <c r="N125" s="4"/>
      <c r="O125" s="5"/>
      <c r="P125" s="5"/>
    </row>
    <row r="126" spans="1:16" s="9" customFormat="1" ht="15" customHeight="1" x14ac:dyDescent="0.25">
      <c r="A126" s="10"/>
      <c r="B126" s="10"/>
      <c r="C126" s="10"/>
      <c r="D126" s="10"/>
      <c r="E126" s="10"/>
      <c r="F126" s="13"/>
      <c r="G126" s="13"/>
      <c r="H126" s="13"/>
      <c r="I126" s="13"/>
      <c r="J126" s="13"/>
      <c r="K126" s="13"/>
      <c r="M126" s="4"/>
      <c r="N126" s="4"/>
      <c r="O126" s="5"/>
      <c r="P126" s="5"/>
    </row>
    <row r="127" spans="1:16" s="9" customFormat="1" ht="15" customHeight="1" x14ac:dyDescent="0.25">
      <c r="A127" s="10"/>
      <c r="B127" s="10"/>
      <c r="C127" s="10"/>
      <c r="D127" s="10"/>
      <c r="E127" s="10"/>
      <c r="F127" s="13"/>
      <c r="G127" s="13"/>
      <c r="H127" s="13"/>
      <c r="I127" s="13"/>
      <c r="J127" s="13"/>
      <c r="K127" s="13"/>
      <c r="M127" s="4"/>
      <c r="N127" s="4"/>
      <c r="O127" s="5"/>
      <c r="P127" s="5"/>
    </row>
    <row r="128" spans="1:16" s="9" customFormat="1" ht="15" customHeight="1" x14ac:dyDescent="0.25">
      <c r="A128" s="10"/>
      <c r="B128" s="10"/>
      <c r="C128" s="10"/>
      <c r="D128" s="10"/>
      <c r="E128" s="10"/>
      <c r="F128" s="13"/>
      <c r="G128" s="13"/>
      <c r="H128" s="13"/>
      <c r="I128" s="13"/>
      <c r="J128" s="13"/>
      <c r="K128" s="13"/>
      <c r="M128" s="4"/>
      <c r="N128" s="4"/>
      <c r="O128" s="5"/>
      <c r="P128" s="5"/>
    </row>
    <row r="129" spans="1:16" s="9" customFormat="1" ht="15" customHeight="1" x14ac:dyDescent="0.25">
      <c r="A129" s="10"/>
      <c r="B129" s="10"/>
      <c r="C129" s="10"/>
      <c r="D129" s="10"/>
      <c r="E129" s="10"/>
      <c r="F129" s="13"/>
      <c r="G129" s="13"/>
      <c r="H129" s="13"/>
      <c r="I129" s="13"/>
      <c r="J129" s="13"/>
      <c r="K129" s="13"/>
      <c r="M129" s="4"/>
      <c r="N129" s="4"/>
      <c r="O129" s="5"/>
      <c r="P129" s="5"/>
    </row>
    <row r="130" spans="1:16" s="9" customFormat="1" ht="15" customHeight="1" x14ac:dyDescent="0.25">
      <c r="A130" s="10"/>
      <c r="B130" s="10"/>
      <c r="C130" s="10"/>
      <c r="D130" s="10"/>
      <c r="E130" s="10"/>
      <c r="F130" s="13"/>
      <c r="G130" s="13"/>
      <c r="H130" s="13"/>
      <c r="I130" s="13"/>
      <c r="J130" s="13"/>
      <c r="K130" s="13"/>
      <c r="M130" s="4"/>
      <c r="N130" s="4"/>
      <c r="O130" s="5"/>
      <c r="P130" s="5"/>
    </row>
    <row r="131" spans="1:16" s="9" customFormat="1" ht="15" customHeight="1" x14ac:dyDescent="0.25">
      <c r="A131" s="10"/>
      <c r="B131" s="10"/>
      <c r="C131" s="10"/>
      <c r="D131" s="10"/>
      <c r="E131" s="10"/>
      <c r="F131" s="13"/>
      <c r="G131" s="13"/>
      <c r="H131" s="13"/>
      <c r="I131" s="13"/>
      <c r="J131" s="13"/>
      <c r="K131" s="13"/>
      <c r="M131" s="4"/>
      <c r="N131" s="4"/>
      <c r="O131" s="5"/>
      <c r="P131" s="5"/>
    </row>
    <row r="132" spans="1:16" s="9" customFormat="1" ht="15" customHeight="1" x14ac:dyDescent="0.25">
      <c r="A132" s="10"/>
      <c r="B132" s="10"/>
      <c r="C132" s="10"/>
      <c r="D132" s="10"/>
      <c r="E132" s="10"/>
      <c r="F132" s="13"/>
      <c r="G132" s="13"/>
      <c r="H132" s="13"/>
      <c r="I132" s="13"/>
      <c r="J132" s="13"/>
      <c r="K132" s="13"/>
      <c r="M132" s="4"/>
      <c r="N132" s="4"/>
      <c r="O132" s="5"/>
      <c r="P132" s="5"/>
    </row>
    <row r="133" spans="1:16" s="9" customFormat="1" ht="15" customHeight="1" x14ac:dyDescent="0.25">
      <c r="A133" s="10"/>
      <c r="B133" s="10"/>
      <c r="C133" s="10"/>
      <c r="D133" s="10"/>
      <c r="E133" s="10"/>
      <c r="F133" s="13"/>
      <c r="G133" s="13"/>
      <c r="H133" s="13"/>
      <c r="I133" s="13"/>
      <c r="J133" s="13"/>
      <c r="K133" s="13"/>
      <c r="M133" s="4"/>
      <c r="N133" s="4"/>
      <c r="O133" s="5"/>
      <c r="P133" s="5"/>
    </row>
    <row r="134" spans="1:16" s="9" customFormat="1" ht="15" customHeight="1" x14ac:dyDescent="0.25">
      <c r="A134" s="10"/>
      <c r="B134" s="10"/>
      <c r="C134" s="10"/>
      <c r="D134" s="10"/>
      <c r="E134" s="10"/>
      <c r="F134" s="13"/>
      <c r="G134" s="13"/>
      <c r="H134" s="13"/>
      <c r="I134" s="13"/>
      <c r="J134" s="13"/>
      <c r="K134" s="13"/>
      <c r="M134" s="4"/>
      <c r="N134" s="4"/>
      <c r="O134" s="5"/>
      <c r="P134" s="5"/>
    </row>
    <row r="135" spans="1:16" s="9" customFormat="1" ht="15" customHeight="1" x14ac:dyDescent="0.25">
      <c r="A135" s="10"/>
      <c r="B135" s="10"/>
      <c r="C135" s="10"/>
      <c r="D135" s="10"/>
      <c r="E135" s="10"/>
      <c r="F135" s="13"/>
      <c r="G135" s="13"/>
      <c r="H135" s="13"/>
      <c r="I135" s="13"/>
      <c r="J135" s="13"/>
      <c r="K135" s="13"/>
      <c r="M135" s="4"/>
      <c r="N135" s="4"/>
      <c r="O135" s="5"/>
      <c r="P135" s="5"/>
    </row>
    <row r="136" spans="1:16" s="9" customFormat="1" ht="15" customHeight="1" x14ac:dyDescent="0.25">
      <c r="A136" s="10"/>
      <c r="B136" s="10"/>
      <c r="C136" s="10"/>
      <c r="D136" s="10"/>
      <c r="E136" s="10"/>
      <c r="F136" s="13"/>
      <c r="G136" s="13"/>
      <c r="H136" s="13"/>
      <c r="I136" s="13"/>
      <c r="J136" s="13"/>
      <c r="K136" s="13"/>
      <c r="M136" s="4"/>
      <c r="N136" s="4"/>
      <c r="O136" s="5"/>
      <c r="P136" s="5"/>
    </row>
    <row r="137" spans="1:16" s="9" customFormat="1" ht="15" customHeight="1" x14ac:dyDescent="0.25">
      <c r="A137" s="10"/>
      <c r="B137" s="10"/>
      <c r="C137" s="10"/>
      <c r="D137" s="10"/>
      <c r="E137" s="10"/>
      <c r="F137" s="13"/>
      <c r="G137" s="13"/>
      <c r="H137" s="13"/>
      <c r="I137" s="13"/>
      <c r="J137" s="13"/>
      <c r="K137" s="13"/>
      <c r="M137" s="4"/>
      <c r="N137" s="4"/>
      <c r="O137" s="5"/>
      <c r="P137" s="5"/>
    </row>
    <row r="138" spans="1:16" s="9" customFormat="1" ht="15" customHeight="1" x14ac:dyDescent="0.25">
      <c r="A138" s="10"/>
      <c r="B138" s="10"/>
      <c r="C138" s="10"/>
      <c r="D138" s="10"/>
      <c r="E138" s="10"/>
      <c r="F138" s="13"/>
      <c r="G138" s="13"/>
      <c r="H138" s="13"/>
      <c r="I138" s="13"/>
      <c r="J138" s="13"/>
      <c r="K138" s="13"/>
      <c r="M138" s="4"/>
      <c r="N138" s="4"/>
      <c r="O138" s="5"/>
      <c r="P138" s="5"/>
    </row>
    <row r="139" spans="1:16" s="9" customFormat="1" ht="15" customHeight="1" x14ac:dyDescent="0.25">
      <c r="A139" s="10"/>
      <c r="B139" s="10"/>
      <c r="C139" s="10"/>
      <c r="D139" s="10"/>
      <c r="E139" s="10"/>
      <c r="F139" s="13"/>
      <c r="G139" s="13"/>
      <c r="H139" s="13"/>
      <c r="I139" s="13"/>
      <c r="J139" s="13"/>
      <c r="K139" s="13"/>
      <c r="M139" s="4"/>
      <c r="N139" s="4"/>
      <c r="O139" s="5"/>
      <c r="P139" s="5"/>
    </row>
    <row r="140" spans="1:16" s="9" customFormat="1" ht="15" customHeight="1" x14ac:dyDescent="0.25">
      <c r="A140" s="10"/>
      <c r="B140" s="10"/>
      <c r="C140" s="10"/>
      <c r="D140" s="10"/>
      <c r="E140" s="10"/>
      <c r="F140" s="13"/>
      <c r="G140" s="13"/>
      <c r="H140" s="13"/>
      <c r="I140" s="13"/>
      <c r="J140" s="13"/>
      <c r="K140" s="13"/>
      <c r="M140" s="4"/>
      <c r="N140" s="4"/>
      <c r="O140" s="5"/>
      <c r="P140" s="5"/>
    </row>
    <row r="141" spans="1:16" s="9" customFormat="1" ht="15" customHeight="1" x14ac:dyDescent="0.25">
      <c r="A141" s="10"/>
      <c r="B141" s="10"/>
      <c r="C141" s="10"/>
      <c r="D141" s="10"/>
      <c r="E141" s="10"/>
      <c r="F141" s="13"/>
      <c r="G141" s="13"/>
      <c r="H141" s="13"/>
      <c r="I141" s="13"/>
      <c r="J141" s="13"/>
      <c r="K141" s="13"/>
      <c r="M141" s="4"/>
      <c r="N141" s="4"/>
      <c r="O141" s="5"/>
      <c r="P141" s="5"/>
    </row>
    <row r="142" spans="1:16" s="9" customFormat="1" ht="15" customHeight="1" x14ac:dyDescent="0.25">
      <c r="A142" s="10"/>
      <c r="B142" s="10"/>
      <c r="C142" s="10"/>
      <c r="D142" s="10"/>
      <c r="E142" s="10"/>
      <c r="F142" s="13"/>
      <c r="G142" s="13"/>
      <c r="H142" s="13"/>
      <c r="I142" s="13"/>
      <c r="J142" s="13"/>
      <c r="K142" s="13"/>
      <c r="M142" s="4"/>
      <c r="N142" s="4"/>
      <c r="O142" s="5"/>
      <c r="P142" s="5"/>
    </row>
    <row r="143" spans="1:16" s="9" customFormat="1" ht="15" customHeight="1" x14ac:dyDescent="0.25">
      <c r="A143" s="10"/>
      <c r="B143" s="10"/>
      <c r="C143" s="10"/>
      <c r="D143" s="10"/>
      <c r="E143" s="10"/>
      <c r="F143" s="13"/>
      <c r="G143" s="13"/>
      <c r="H143" s="13"/>
      <c r="I143" s="13"/>
      <c r="J143" s="13"/>
      <c r="K143" s="13"/>
      <c r="M143" s="4"/>
      <c r="N143" s="4"/>
      <c r="O143" s="5"/>
      <c r="P143" s="5"/>
    </row>
    <row r="144" spans="1:16" s="9" customFormat="1" ht="15" customHeight="1" x14ac:dyDescent="0.25">
      <c r="A144" s="10"/>
      <c r="B144" s="10"/>
      <c r="C144" s="10"/>
      <c r="D144" s="10"/>
      <c r="E144" s="10"/>
      <c r="F144" s="13"/>
      <c r="G144" s="13"/>
      <c r="H144" s="13"/>
      <c r="I144" s="13"/>
      <c r="J144" s="13"/>
      <c r="K144" s="13"/>
      <c r="M144" s="4"/>
      <c r="N144" s="4"/>
      <c r="O144" s="5"/>
      <c r="P144" s="5"/>
    </row>
    <row r="145" spans="1:16" s="9" customFormat="1" ht="15" customHeight="1" x14ac:dyDescent="0.25">
      <c r="A145" s="10"/>
      <c r="B145" s="10"/>
      <c r="C145" s="10"/>
      <c r="D145" s="10"/>
      <c r="E145" s="10"/>
      <c r="F145" s="13"/>
      <c r="G145" s="13"/>
      <c r="H145" s="13"/>
      <c r="I145" s="13"/>
      <c r="J145" s="13"/>
      <c r="K145" s="13"/>
      <c r="M145" s="4"/>
      <c r="N145" s="4"/>
      <c r="O145" s="5"/>
      <c r="P145" s="5"/>
    </row>
    <row r="146" spans="1:16" s="9" customFormat="1" ht="15" customHeight="1" x14ac:dyDescent="0.25">
      <c r="A146" s="10"/>
      <c r="B146" s="10"/>
      <c r="C146" s="10"/>
      <c r="D146" s="10"/>
      <c r="E146" s="10"/>
      <c r="F146" s="13"/>
      <c r="G146" s="13"/>
      <c r="H146" s="13"/>
      <c r="I146" s="13"/>
      <c r="J146" s="13"/>
      <c r="K146" s="13"/>
      <c r="M146" s="4"/>
      <c r="N146" s="4"/>
      <c r="O146" s="5"/>
      <c r="P146" s="5"/>
    </row>
    <row r="147" spans="1:16" s="9" customFormat="1" ht="15" customHeight="1" x14ac:dyDescent="0.25">
      <c r="A147" s="10"/>
      <c r="B147" s="10"/>
      <c r="C147" s="10"/>
      <c r="D147" s="10"/>
      <c r="E147" s="10"/>
      <c r="F147" s="13"/>
      <c r="G147" s="13"/>
      <c r="H147" s="13"/>
      <c r="I147" s="13"/>
      <c r="J147" s="13"/>
      <c r="K147" s="13"/>
      <c r="M147" s="4"/>
      <c r="N147" s="4"/>
      <c r="O147" s="5"/>
      <c r="P147" s="5"/>
    </row>
    <row r="148" spans="1:16" s="9" customFormat="1" ht="15" customHeight="1" x14ac:dyDescent="0.25">
      <c r="A148" s="10"/>
      <c r="B148" s="10"/>
      <c r="C148" s="10"/>
      <c r="D148" s="10"/>
      <c r="E148" s="10"/>
      <c r="F148" s="13"/>
      <c r="G148" s="13"/>
      <c r="H148" s="13"/>
      <c r="I148" s="13"/>
      <c r="J148" s="13"/>
      <c r="K148" s="13"/>
      <c r="M148" s="4"/>
      <c r="N148" s="4"/>
      <c r="O148" s="5"/>
      <c r="P148" s="5"/>
    </row>
    <row r="149" spans="1:16" s="9" customFormat="1" ht="15" customHeight="1" x14ac:dyDescent="0.25">
      <c r="A149" s="10"/>
      <c r="B149" s="10"/>
      <c r="C149" s="10"/>
      <c r="D149" s="10"/>
      <c r="E149" s="10"/>
      <c r="F149" s="13"/>
      <c r="G149" s="13"/>
      <c r="H149" s="13"/>
      <c r="I149" s="13"/>
      <c r="J149" s="13"/>
      <c r="K149" s="13"/>
      <c r="M149" s="4"/>
      <c r="N149" s="4"/>
      <c r="O149" s="5"/>
      <c r="P149" s="5"/>
    </row>
    <row r="150" spans="1:16" s="9" customFormat="1" ht="15" customHeight="1" x14ac:dyDescent="0.25">
      <c r="A150" s="10"/>
      <c r="B150" s="10"/>
      <c r="C150" s="10"/>
      <c r="D150" s="10"/>
      <c r="E150" s="10"/>
      <c r="F150" s="13"/>
      <c r="G150" s="13"/>
      <c r="H150" s="13"/>
      <c r="I150" s="13"/>
      <c r="J150" s="13"/>
      <c r="K150" s="13"/>
      <c r="M150" s="4"/>
      <c r="N150" s="4"/>
      <c r="O150" s="5"/>
      <c r="P150" s="5"/>
    </row>
    <row r="151" spans="1:16" s="9" customFormat="1" ht="15" customHeight="1" x14ac:dyDescent="0.25">
      <c r="A151" s="10"/>
      <c r="B151" s="10"/>
      <c r="C151" s="10"/>
      <c r="D151" s="10"/>
      <c r="E151" s="10"/>
      <c r="F151" s="13"/>
      <c r="G151" s="13"/>
      <c r="H151" s="13"/>
      <c r="I151" s="13"/>
      <c r="J151" s="13"/>
      <c r="K151" s="13"/>
      <c r="M151" s="4"/>
      <c r="N151" s="4"/>
      <c r="O151" s="5"/>
      <c r="P151" s="5"/>
    </row>
    <row r="152" spans="1:16" s="9" customFormat="1" ht="15" customHeight="1" x14ac:dyDescent="0.25">
      <c r="A152" s="10"/>
      <c r="B152" s="10"/>
      <c r="C152" s="10"/>
      <c r="D152" s="10"/>
      <c r="E152" s="10"/>
      <c r="F152" s="13"/>
      <c r="G152" s="13"/>
      <c r="H152" s="13"/>
      <c r="I152" s="13"/>
      <c r="J152" s="13"/>
      <c r="K152" s="13"/>
      <c r="M152" s="4"/>
      <c r="N152" s="4"/>
      <c r="O152" s="5"/>
      <c r="P152" s="5"/>
    </row>
    <row r="153" spans="1:16" s="9" customFormat="1" ht="15" customHeight="1" x14ac:dyDescent="0.25">
      <c r="A153" s="10"/>
      <c r="B153" s="10"/>
      <c r="C153" s="10"/>
      <c r="D153" s="10"/>
      <c r="E153" s="10"/>
      <c r="F153" s="13"/>
      <c r="G153" s="13"/>
      <c r="H153" s="13"/>
      <c r="I153" s="13"/>
      <c r="J153" s="13"/>
      <c r="K153" s="13"/>
      <c r="M153" s="4"/>
      <c r="N153" s="4"/>
      <c r="O153" s="5"/>
      <c r="P153" s="5"/>
    </row>
    <row r="154" spans="1:16" s="9" customFormat="1" ht="15" customHeight="1" x14ac:dyDescent="0.25">
      <c r="A154" s="10"/>
      <c r="B154" s="10"/>
      <c r="C154" s="10"/>
      <c r="D154" s="10"/>
      <c r="E154" s="10"/>
      <c r="F154" s="13"/>
      <c r="G154" s="13"/>
      <c r="H154" s="13"/>
      <c r="I154" s="13"/>
      <c r="J154" s="13"/>
      <c r="K154" s="13"/>
      <c r="M154" s="4"/>
      <c r="N154" s="4"/>
      <c r="O154" s="5"/>
      <c r="P154" s="5"/>
    </row>
    <row r="155" spans="1:16" s="9" customFormat="1" ht="15" customHeight="1" x14ac:dyDescent="0.25">
      <c r="A155" s="10"/>
      <c r="B155" s="10"/>
      <c r="C155" s="10"/>
      <c r="D155" s="10"/>
      <c r="E155" s="10"/>
      <c r="F155" s="13"/>
      <c r="G155" s="13"/>
      <c r="H155" s="13"/>
      <c r="I155" s="13"/>
      <c r="J155" s="13"/>
      <c r="K155" s="13"/>
      <c r="M155" s="4"/>
      <c r="N155" s="4"/>
      <c r="O155" s="5"/>
      <c r="P155" s="5"/>
    </row>
    <row r="156" spans="1:16" s="9" customFormat="1" ht="15" customHeight="1" x14ac:dyDescent="0.25">
      <c r="A156" s="10"/>
      <c r="B156" s="10"/>
      <c r="C156" s="10"/>
      <c r="D156" s="10"/>
      <c r="E156" s="10"/>
      <c r="F156" s="13"/>
      <c r="G156" s="13"/>
      <c r="H156" s="13"/>
      <c r="I156" s="13"/>
      <c r="J156" s="13"/>
      <c r="K156" s="13"/>
      <c r="M156" s="4"/>
      <c r="N156" s="4"/>
      <c r="O156" s="5"/>
      <c r="P156" s="5"/>
    </row>
    <row r="157" spans="1:16" s="9" customFormat="1" ht="15" customHeight="1" x14ac:dyDescent="0.25">
      <c r="A157" s="10"/>
      <c r="B157" s="10"/>
      <c r="C157" s="10"/>
      <c r="D157" s="10"/>
      <c r="E157" s="10"/>
      <c r="F157" s="13"/>
      <c r="G157" s="13"/>
      <c r="H157" s="13"/>
      <c r="I157" s="13"/>
      <c r="J157" s="13"/>
      <c r="K157" s="13"/>
      <c r="M157" s="4"/>
      <c r="N157" s="4"/>
      <c r="O157" s="5"/>
      <c r="P157" s="5"/>
    </row>
    <row r="158" spans="1:16" s="9" customFormat="1" ht="15" customHeight="1" x14ac:dyDescent="0.25">
      <c r="A158" s="10"/>
      <c r="B158" s="10"/>
      <c r="C158" s="10"/>
      <c r="D158" s="10"/>
      <c r="E158" s="10"/>
      <c r="F158" s="13"/>
      <c r="G158" s="13"/>
      <c r="H158" s="13"/>
      <c r="I158" s="13"/>
      <c r="J158" s="13"/>
      <c r="K158" s="13"/>
      <c r="M158" s="4"/>
      <c r="N158" s="4"/>
      <c r="O158" s="5"/>
      <c r="P158" s="5"/>
    </row>
    <row r="159" spans="1:16" s="9" customFormat="1" ht="15" customHeight="1" x14ac:dyDescent="0.25">
      <c r="A159" s="10"/>
      <c r="B159" s="10"/>
      <c r="C159" s="10"/>
      <c r="D159" s="10"/>
      <c r="E159" s="10"/>
      <c r="F159" s="13"/>
      <c r="G159" s="13"/>
      <c r="H159" s="13"/>
      <c r="I159" s="13"/>
      <c r="J159" s="13"/>
      <c r="K159" s="13"/>
      <c r="M159" s="4"/>
      <c r="N159" s="4"/>
      <c r="O159" s="5"/>
      <c r="P159" s="5"/>
    </row>
    <row r="160" spans="1:16" s="9" customFormat="1" ht="15" customHeight="1" x14ac:dyDescent="0.25">
      <c r="A160" s="10"/>
      <c r="B160" s="10"/>
      <c r="C160" s="10"/>
      <c r="D160" s="10"/>
      <c r="E160" s="10"/>
      <c r="F160" s="13"/>
      <c r="G160" s="13"/>
      <c r="H160" s="13"/>
      <c r="I160" s="13"/>
      <c r="J160" s="13"/>
      <c r="K160" s="13"/>
      <c r="M160" s="4"/>
      <c r="N160" s="4"/>
      <c r="O160" s="5"/>
      <c r="P160" s="5"/>
    </row>
    <row r="161" spans="1:16" s="9" customFormat="1" ht="15" customHeight="1" x14ac:dyDescent="0.25">
      <c r="A161" s="10"/>
      <c r="B161" s="10"/>
      <c r="C161" s="10"/>
      <c r="D161" s="10"/>
      <c r="E161" s="10"/>
      <c r="F161" s="13"/>
      <c r="G161" s="13"/>
      <c r="H161" s="13"/>
      <c r="I161" s="13"/>
      <c r="J161" s="13"/>
      <c r="K161" s="13"/>
      <c r="M161" s="4"/>
      <c r="N161" s="4"/>
      <c r="O161" s="5"/>
      <c r="P161" s="5"/>
    </row>
    <row r="162" spans="1:16" s="9" customFormat="1" ht="15" customHeight="1" x14ac:dyDescent="0.25">
      <c r="A162" s="10"/>
      <c r="B162" s="10"/>
      <c r="C162" s="10"/>
      <c r="D162" s="10"/>
      <c r="E162" s="10"/>
      <c r="F162" s="13"/>
      <c r="G162" s="13"/>
      <c r="H162" s="13"/>
      <c r="I162" s="13"/>
      <c r="J162" s="13"/>
      <c r="K162" s="13"/>
      <c r="M162" s="4"/>
      <c r="N162" s="4"/>
      <c r="O162" s="5"/>
      <c r="P162" s="5"/>
    </row>
    <row r="163" spans="1:16" s="9" customFormat="1" ht="15" customHeight="1" x14ac:dyDescent="0.25">
      <c r="A163" s="10"/>
      <c r="B163" s="10"/>
      <c r="C163" s="10"/>
      <c r="D163" s="10"/>
      <c r="E163" s="10"/>
      <c r="F163" s="13"/>
      <c r="G163" s="13"/>
      <c r="H163" s="13"/>
      <c r="I163" s="13"/>
      <c r="J163" s="13"/>
      <c r="K163" s="13"/>
      <c r="M163" s="4"/>
      <c r="N163" s="4"/>
      <c r="O163" s="5"/>
      <c r="P163" s="5"/>
    </row>
    <row r="164" spans="1:16" s="9" customFormat="1" ht="15" customHeight="1" x14ac:dyDescent="0.25">
      <c r="A164" s="10"/>
      <c r="B164" s="10"/>
      <c r="C164" s="10"/>
      <c r="D164" s="10"/>
      <c r="E164" s="10"/>
      <c r="F164" s="10"/>
      <c r="G164" s="13"/>
      <c r="H164" s="13"/>
      <c r="I164" s="13"/>
      <c r="J164" s="13"/>
      <c r="K164" s="13"/>
      <c r="M164" s="4"/>
      <c r="N164" s="4"/>
      <c r="O164" s="5"/>
      <c r="P164" s="5"/>
    </row>
    <row r="165" spans="1:16" s="9" customFormat="1" ht="1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M165" s="4"/>
      <c r="N165" s="4"/>
      <c r="O165" s="5"/>
      <c r="P165" s="5"/>
    </row>
    <row r="166" spans="1:16" s="9" customFormat="1" ht="1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M166" s="4"/>
      <c r="N166" s="4"/>
      <c r="O166" s="5"/>
      <c r="P166" s="5"/>
    </row>
    <row r="167" spans="1:16" s="9" customFormat="1" ht="1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M167" s="4"/>
      <c r="N167" s="4"/>
      <c r="O167" s="5"/>
      <c r="P167" s="5"/>
    </row>
    <row r="168" spans="1:16" s="9" customFormat="1" ht="1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M168" s="4"/>
      <c r="N168" s="4"/>
      <c r="O168" s="5"/>
      <c r="P168" s="5"/>
    </row>
    <row r="169" spans="1:16" s="9" customFormat="1" ht="1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M169" s="4"/>
      <c r="N169" s="4"/>
      <c r="O169" s="5"/>
      <c r="P169" s="5"/>
    </row>
    <row r="170" spans="1:16" s="9" customFormat="1" ht="1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M170" s="4"/>
      <c r="N170" s="4"/>
      <c r="O170" s="5"/>
      <c r="P170" s="5"/>
    </row>
    <row r="171" spans="1:16" s="9" customFormat="1" ht="1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M171" s="4"/>
      <c r="N171" s="4"/>
      <c r="O171" s="5"/>
      <c r="P171" s="5"/>
    </row>
    <row r="172" spans="1:16" s="9" customFormat="1" ht="1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M172" s="4"/>
      <c r="N172" s="4"/>
      <c r="O172" s="5"/>
      <c r="P172" s="5"/>
    </row>
    <row r="173" spans="1:16" s="9" customFormat="1" ht="1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M173" s="4"/>
      <c r="N173" s="4"/>
      <c r="O173" s="5"/>
      <c r="P173" s="5"/>
    </row>
    <row r="174" spans="1:16" s="9" customFormat="1" ht="1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M174" s="4"/>
      <c r="N174" s="4"/>
      <c r="O174" s="5"/>
      <c r="P174" s="5"/>
    </row>
    <row r="175" spans="1:16" s="9" customFormat="1" ht="1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M175" s="4"/>
      <c r="N175" s="4"/>
      <c r="O175" s="5"/>
      <c r="P175" s="5"/>
    </row>
    <row r="176" spans="1:16" s="9" customFormat="1" ht="1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M176" s="4"/>
      <c r="N176" s="4"/>
      <c r="O176" s="5"/>
      <c r="P176" s="5"/>
    </row>
    <row r="177" spans="1:16" s="9" customFormat="1" ht="1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M177" s="4"/>
      <c r="N177" s="4"/>
      <c r="O177" s="5"/>
      <c r="P177" s="5"/>
    </row>
    <row r="178" spans="1:16" s="9" customFormat="1" ht="1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M178" s="4"/>
      <c r="N178" s="4"/>
      <c r="O178" s="5"/>
      <c r="P178" s="5"/>
    </row>
    <row r="179" spans="1:16" s="9" customFormat="1" ht="1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M179" s="4"/>
      <c r="N179" s="4"/>
      <c r="O179" s="5"/>
      <c r="P179" s="5"/>
    </row>
    <row r="180" spans="1:16" s="9" customFormat="1" ht="1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M180" s="4"/>
      <c r="N180" s="4"/>
      <c r="O180" s="5"/>
      <c r="P180" s="5"/>
    </row>
    <row r="181" spans="1:16" s="9" customFormat="1" ht="1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M181" s="4"/>
      <c r="N181" s="4"/>
      <c r="O181" s="5"/>
      <c r="P181" s="5"/>
    </row>
    <row r="182" spans="1:16" s="9" customFormat="1" ht="1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M182" s="4"/>
      <c r="N182" s="4"/>
      <c r="O182" s="5"/>
      <c r="P182" s="5"/>
    </row>
    <row r="183" spans="1:16" s="9" customFormat="1" ht="1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M183" s="4"/>
      <c r="N183" s="4"/>
      <c r="O183" s="5"/>
      <c r="P183" s="5"/>
    </row>
    <row r="184" spans="1:16" s="9" customFormat="1" ht="1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M184" s="4"/>
      <c r="N184" s="4"/>
      <c r="O184" s="5"/>
      <c r="P184" s="5"/>
    </row>
    <row r="185" spans="1:16" s="9" customFormat="1" ht="1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M185" s="4"/>
      <c r="N185" s="4"/>
      <c r="O185" s="5"/>
      <c r="P185" s="5"/>
    </row>
    <row r="186" spans="1:16" s="9" customFormat="1" ht="1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M186" s="4"/>
      <c r="N186" s="4"/>
      <c r="O186" s="5"/>
      <c r="P186" s="5"/>
    </row>
    <row r="187" spans="1:16" s="9" customFormat="1" ht="1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M187" s="4"/>
      <c r="N187" s="4"/>
      <c r="O187" s="5"/>
      <c r="P187" s="5"/>
    </row>
    <row r="188" spans="1:16" s="9" customFormat="1" ht="1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M188" s="4"/>
      <c r="N188" s="4"/>
      <c r="O188" s="5"/>
      <c r="P188" s="5"/>
    </row>
    <row r="189" spans="1:16" s="9" customFormat="1" ht="1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M189" s="4"/>
      <c r="N189" s="4"/>
      <c r="O189" s="5"/>
      <c r="P189" s="5"/>
    </row>
    <row r="190" spans="1:16" s="9" customFormat="1" ht="1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M190" s="4"/>
      <c r="N190" s="4"/>
      <c r="O190" s="5"/>
      <c r="P190" s="5"/>
    </row>
    <row r="191" spans="1:16" s="9" customFormat="1" ht="1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M191" s="4"/>
      <c r="N191" s="4"/>
      <c r="O191" s="5"/>
      <c r="P191" s="5"/>
    </row>
    <row r="192" spans="1:16" s="9" customFormat="1" ht="1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M192" s="4"/>
      <c r="N192" s="4"/>
      <c r="O192" s="5"/>
      <c r="P192" s="5"/>
    </row>
    <row r="193" spans="1:16" s="9" customFormat="1" ht="1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M193" s="4"/>
      <c r="N193" s="4"/>
      <c r="O193" s="5"/>
      <c r="P193" s="5"/>
    </row>
    <row r="194" spans="1:16" s="9" customFormat="1" ht="1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M194" s="4"/>
      <c r="N194" s="4"/>
      <c r="O194" s="5"/>
      <c r="P194" s="5"/>
    </row>
    <row r="195" spans="1:16" s="9" customFormat="1" ht="1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M195" s="4"/>
      <c r="N195" s="4"/>
      <c r="O195" s="5"/>
      <c r="P195" s="5"/>
    </row>
    <row r="196" spans="1:16" s="9" customFormat="1" ht="1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M196" s="4"/>
      <c r="N196" s="4"/>
      <c r="O196" s="5"/>
      <c r="P196" s="5"/>
    </row>
    <row r="197" spans="1:16" s="9" customFormat="1" ht="1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M197" s="4"/>
      <c r="N197" s="4"/>
      <c r="O197" s="5"/>
      <c r="P197" s="5"/>
    </row>
    <row r="198" spans="1:16" s="9" customFormat="1" ht="1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M198" s="4"/>
      <c r="N198" s="4"/>
      <c r="O198" s="5"/>
      <c r="P198" s="5"/>
    </row>
    <row r="199" spans="1:16" s="9" customFormat="1" ht="1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M199" s="4"/>
      <c r="N199" s="4"/>
      <c r="O199" s="5"/>
      <c r="P199" s="5"/>
    </row>
    <row r="200" spans="1:16" s="9" customFormat="1" ht="1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M200" s="4"/>
      <c r="N200" s="4"/>
      <c r="O200" s="5"/>
      <c r="P200" s="5"/>
    </row>
    <row r="201" spans="1:16" s="9" customFormat="1" ht="1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M201" s="4"/>
      <c r="N201" s="4"/>
      <c r="O201" s="5"/>
      <c r="P201" s="5"/>
    </row>
    <row r="202" spans="1:16" s="9" customFormat="1" ht="1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M202" s="4"/>
      <c r="N202" s="4"/>
      <c r="O202" s="5"/>
      <c r="P202" s="5"/>
    </row>
    <row r="203" spans="1:16" s="9" customFormat="1" ht="1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M203" s="4"/>
      <c r="N203" s="4"/>
      <c r="O203" s="5"/>
      <c r="P203" s="5"/>
    </row>
    <row r="204" spans="1:16" s="9" customFormat="1" ht="1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M204" s="4"/>
      <c r="N204" s="4"/>
      <c r="O204" s="5"/>
      <c r="P204" s="5"/>
    </row>
    <row r="205" spans="1:16" s="9" customFormat="1" ht="1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4"/>
      <c r="N205" s="4"/>
      <c r="O205" s="5"/>
      <c r="P205" s="5"/>
    </row>
    <row r="206" spans="1:16" s="9" customFormat="1" ht="1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M206" s="4"/>
      <c r="N206" s="4"/>
      <c r="O206" s="5"/>
      <c r="P206" s="5"/>
    </row>
    <row r="207" spans="1:16" s="9" customFormat="1" ht="1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M207" s="4"/>
      <c r="N207" s="4"/>
      <c r="O207" s="5"/>
      <c r="P207" s="5"/>
    </row>
    <row r="208" spans="1:16" s="9" customFormat="1" ht="1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M208" s="4"/>
      <c r="N208" s="4"/>
      <c r="O208" s="5"/>
      <c r="P208" s="5"/>
    </row>
    <row r="209" spans="1:16" s="9" customFormat="1" ht="1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M209" s="4"/>
      <c r="N209" s="4"/>
      <c r="O209" s="5"/>
      <c r="P209" s="5"/>
    </row>
    <row r="210" spans="1:16" s="9" customFormat="1" ht="1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M210" s="4"/>
      <c r="N210" s="4"/>
      <c r="O210" s="5"/>
      <c r="P210" s="5"/>
    </row>
    <row r="211" spans="1:16" s="9" customFormat="1" ht="1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M211" s="4"/>
      <c r="N211" s="4"/>
      <c r="O211" s="5"/>
      <c r="P211" s="5"/>
    </row>
    <row r="212" spans="1:16" s="9" customFormat="1" ht="1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M212" s="4"/>
      <c r="N212" s="4"/>
      <c r="O212" s="5"/>
      <c r="P212" s="5"/>
    </row>
    <row r="213" spans="1:16" s="9" customFormat="1" ht="1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M213" s="4"/>
      <c r="N213" s="4"/>
      <c r="O213" s="5"/>
      <c r="P213" s="5"/>
    </row>
    <row r="214" spans="1:16" s="9" customFormat="1" ht="1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M214" s="4"/>
      <c r="N214" s="4"/>
      <c r="O214" s="5"/>
      <c r="P214" s="5"/>
    </row>
    <row r="215" spans="1:16" s="9" customFormat="1" ht="1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M215" s="4"/>
      <c r="N215" s="4"/>
      <c r="O215" s="5"/>
      <c r="P215" s="5"/>
    </row>
    <row r="216" spans="1:16" s="9" customFormat="1" ht="1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M216" s="4"/>
      <c r="N216" s="4"/>
      <c r="O216" s="5"/>
      <c r="P216" s="5"/>
    </row>
    <row r="217" spans="1:16" s="9" customFormat="1" ht="1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M217" s="4"/>
      <c r="N217" s="4"/>
      <c r="O217" s="5"/>
      <c r="P217" s="5"/>
    </row>
    <row r="218" spans="1:16" s="9" customFormat="1" ht="1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M218" s="4"/>
      <c r="N218" s="4"/>
      <c r="O218" s="5"/>
      <c r="P218" s="5"/>
    </row>
    <row r="219" spans="1:16" s="9" customFormat="1" ht="1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M219" s="4"/>
      <c r="N219" s="4"/>
      <c r="O219" s="5"/>
      <c r="P219" s="5"/>
    </row>
    <row r="220" spans="1:16" s="9" customFormat="1" ht="1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M220" s="4"/>
      <c r="N220" s="4"/>
      <c r="O220" s="5"/>
      <c r="P220" s="5"/>
    </row>
    <row r="221" spans="1:16" s="9" customFormat="1" ht="1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M221" s="4"/>
      <c r="N221" s="4"/>
      <c r="O221" s="5"/>
      <c r="P221" s="5"/>
    </row>
    <row r="222" spans="1:16" s="9" customFormat="1" ht="1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M222" s="4"/>
      <c r="N222" s="4"/>
      <c r="O222" s="5"/>
      <c r="P222" s="5"/>
    </row>
    <row r="223" spans="1:16" s="9" customFormat="1" ht="1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M223" s="4"/>
      <c r="N223" s="4"/>
      <c r="O223" s="5"/>
      <c r="P223" s="5"/>
    </row>
    <row r="224" spans="1:16" s="9" customFormat="1" ht="1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M224" s="4"/>
      <c r="N224" s="4"/>
      <c r="O224" s="5"/>
      <c r="P224" s="5"/>
    </row>
    <row r="225" spans="1:16" s="9" customFormat="1" ht="1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M225" s="4"/>
      <c r="N225" s="4"/>
      <c r="O225" s="5"/>
      <c r="P225" s="5"/>
    </row>
    <row r="226" spans="1:16" s="9" customFormat="1" ht="1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M226" s="4"/>
      <c r="N226" s="4"/>
      <c r="O226" s="5"/>
      <c r="P226" s="5"/>
    </row>
    <row r="227" spans="1:16" s="9" customFormat="1" ht="1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M227" s="4"/>
      <c r="N227" s="4"/>
      <c r="O227" s="5"/>
      <c r="P227" s="5"/>
    </row>
    <row r="228" spans="1:16" s="9" customFormat="1" ht="1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M228" s="4"/>
      <c r="N228" s="4"/>
      <c r="O228" s="5"/>
      <c r="P228" s="5"/>
    </row>
    <row r="229" spans="1:16" s="9" customFormat="1" ht="1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M229" s="4"/>
      <c r="N229" s="4"/>
      <c r="O229" s="5"/>
      <c r="P229" s="5"/>
    </row>
    <row r="230" spans="1:16" s="9" customFormat="1" ht="1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M230" s="4"/>
      <c r="N230" s="4"/>
      <c r="O230" s="5"/>
      <c r="P230" s="5"/>
    </row>
    <row r="231" spans="1:16" s="9" customFormat="1" ht="1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M231" s="4"/>
      <c r="N231" s="4"/>
      <c r="O231" s="5"/>
      <c r="P231" s="5"/>
    </row>
    <row r="232" spans="1:16" s="9" customFormat="1" ht="1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M232" s="4"/>
      <c r="N232" s="4"/>
      <c r="O232" s="5"/>
      <c r="P232" s="5"/>
    </row>
    <row r="233" spans="1:16" s="9" customFormat="1" ht="1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M233" s="4"/>
      <c r="N233" s="4"/>
      <c r="O233" s="5"/>
      <c r="P233" s="5"/>
    </row>
    <row r="234" spans="1:16" s="9" customFormat="1" ht="1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M234" s="4"/>
      <c r="N234" s="4"/>
      <c r="O234" s="5"/>
      <c r="P234" s="5"/>
    </row>
    <row r="235" spans="1:16" s="9" customForma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M235" s="4"/>
      <c r="N235" s="4"/>
      <c r="O235" s="5"/>
      <c r="P235" s="5"/>
    </row>
    <row r="236" spans="1:16" s="9" customForma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M236" s="4"/>
      <c r="N236" s="4"/>
      <c r="O236" s="5"/>
      <c r="P236" s="5"/>
    </row>
    <row r="237" spans="1:16" s="9" customForma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M237" s="4"/>
      <c r="N237" s="4"/>
      <c r="O237" s="5"/>
      <c r="P237" s="5"/>
    </row>
    <row r="238" spans="1:16" s="9" customForma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M238" s="4"/>
      <c r="N238" s="4"/>
      <c r="O238" s="5"/>
      <c r="P238" s="5"/>
    </row>
    <row r="239" spans="1:16" s="9" customForma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M239" s="4"/>
      <c r="N239" s="4"/>
      <c r="O239" s="5"/>
      <c r="P239" s="5"/>
    </row>
    <row r="240" spans="1:16" s="9" customForma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M240" s="4"/>
      <c r="N240" s="4"/>
      <c r="O240" s="5"/>
      <c r="P240" s="5"/>
    </row>
    <row r="241" spans="1:16" s="9" customForma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M241" s="4"/>
      <c r="N241" s="4"/>
      <c r="O241" s="5"/>
      <c r="P241" s="5"/>
    </row>
    <row r="242" spans="1:16" s="9" customForma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M242" s="4"/>
      <c r="N242" s="4"/>
      <c r="O242" s="5"/>
      <c r="P242" s="5"/>
    </row>
    <row r="243" spans="1:16" s="9" customForma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M243" s="4"/>
      <c r="N243" s="4"/>
      <c r="O243" s="5"/>
      <c r="P243" s="5"/>
    </row>
    <row r="244" spans="1:16" s="9" customForma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M244" s="4"/>
      <c r="N244" s="4"/>
      <c r="O244" s="5"/>
      <c r="P244" s="5"/>
    </row>
    <row r="245" spans="1:16" s="9" customForma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M245" s="4"/>
      <c r="N245" s="4"/>
      <c r="O245" s="5"/>
      <c r="P245" s="5"/>
    </row>
    <row r="246" spans="1:16" s="9" customForma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M246" s="4"/>
      <c r="N246" s="4"/>
      <c r="O246" s="5"/>
      <c r="P246" s="5"/>
    </row>
    <row r="247" spans="1:16" s="9" customForma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M247" s="4"/>
      <c r="N247" s="4"/>
      <c r="O247" s="5"/>
      <c r="P247" s="5"/>
    </row>
    <row r="248" spans="1:16" s="9" customForma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M248" s="4"/>
      <c r="N248" s="4"/>
      <c r="O248" s="5"/>
      <c r="P248" s="5"/>
    </row>
    <row r="249" spans="1:16" s="9" customForma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M249" s="4"/>
      <c r="N249" s="4"/>
      <c r="O249" s="5"/>
      <c r="P249" s="5"/>
    </row>
    <row r="250" spans="1:16" s="9" customForma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M250" s="4"/>
      <c r="N250" s="4"/>
      <c r="O250" s="5"/>
      <c r="P250" s="5"/>
    </row>
    <row r="251" spans="1:16" s="9" customForma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M251" s="4"/>
      <c r="N251" s="4"/>
      <c r="O251" s="5"/>
      <c r="P251" s="5"/>
    </row>
    <row r="252" spans="1:16" s="9" customForma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M252" s="4"/>
      <c r="N252" s="4"/>
      <c r="O252" s="5"/>
      <c r="P252" s="5"/>
    </row>
    <row r="253" spans="1:16" s="9" customForma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M253" s="4"/>
      <c r="N253" s="4"/>
      <c r="O253" s="5"/>
      <c r="P253" s="5"/>
    </row>
    <row r="254" spans="1:16" s="9" customForma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M254" s="4"/>
      <c r="N254" s="4"/>
      <c r="O254" s="5"/>
      <c r="P254" s="5"/>
    </row>
    <row r="255" spans="1:16" s="9" customForma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M255" s="4"/>
      <c r="N255" s="4"/>
      <c r="O255" s="5"/>
      <c r="P255" s="5"/>
    </row>
    <row r="256" spans="1:16" s="9" customForma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M256" s="4"/>
      <c r="N256" s="4"/>
      <c r="O256" s="5"/>
      <c r="P256" s="5"/>
    </row>
    <row r="257" spans="1:16" s="9" customForma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M257" s="4"/>
      <c r="N257" s="4"/>
      <c r="O257" s="5"/>
      <c r="P257" s="5"/>
    </row>
    <row r="258" spans="1:16" s="9" customForma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M258" s="4"/>
      <c r="N258" s="4"/>
      <c r="O258" s="5"/>
      <c r="P258" s="5"/>
    </row>
    <row r="259" spans="1:16" s="9" customForma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M259" s="4"/>
      <c r="N259" s="4"/>
      <c r="O259" s="5"/>
      <c r="P259" s="5"/>
    </row>
    <row r="260" spans="1:16" s="9" customForma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M260" s="4"/>
      <c r="N260" s="4"/>
      <c r="O260" s="5"/>
      <c r="P260" s="5"/>
    </row>
    <row r="261" spans="1:16" s="9" customForma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M261" s="4"/>
      <c r="N261" s="4"/>
      <c r="O261" s="5"/>
      <c r="P261" s="5"/>
    </row>
    <row r="262" spans="1:16" s="9" customForma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M262" s="4"/>
      <c r="N262" s="4"/>
      <c r="O262" s="5"/>
      <c r="P262" s="5"/>
    </row>
    <row r="263" spans="1:16" s="9" customForma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M263" s="4"/>
      <c r="N263" s="4"/>
      <c r="O263" s="5"/>
      <c r="P263" s="5"/>
    </row>
    <row r="264" spans="1:16" s="9" customForma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M264" s="4"/>
      <c r="N264" s="4"/>
      <c r="O264" s="5"/>
      <c r="P264" s="5"/>
    </row>
    <row r="265" spans="1:16" s="9" customForma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M265" s="4"/>
      <c r="N265" s="4"/>
      <c r="O265" s="5"/>
      <c r="P265" s="5"/>
    </row>
    <row r="266" spans="1:16" s="9" customForma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M266" s="4"/>
      <c r="N266" s="4"/>
      <c r="O266" s="5"/>
      <c r="P266" s="5"/>
    </row>
    <row r="267" spans="1:16" s="9" customForma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M267" s="4"/>
      <c r="N267" s="4"/>
      <c r="O267" s="5"/>
      <c r="P267" s="5"/>
    </row>
    <row r="268" spans="1:16" s="9" customForma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M268" s="4"/>
      <c r="N268" s="4"/>
      <c r="O268" s="5"/>
      <c r="P268" s="5"/>
    </row>
    <row r="269" spans="1:16" s="9" customForma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M269" s="4"/>
      <c r="N269" s="4"/>
      <c r="O269" s="5"/>
      <c r="P269" s="5"/>
    </row>
    <row r="270" spans="1:16" s="9" customForma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M270" s="4"/>
      <c r="N270" s="4"/>
      <c r="O270" s="5"/>
      <c r="P270" s="5"/>
    </row>
    <row r="271" spans="1:16" s="9" customFormat="1" x14ac:dyDescent="0.25">
      <c r="A271" s="10"/>
      <c r="B271" s="10"/>
      <c r="D271" s="10"/>
      <c r="F271" s="10"/>
      <c r="G271" s="10"/>
      <c r="H271" s="10"/>
      <c r="I271" s="10"/>
      <c r="J271" s="10"/>
      <c r="K271" s="10"/>
      <c r="M271" s="4"/>
      <c r="N271" s="4"/>
      <c r="O271" s="5"/>
      <c r="P271" s="5"/>
    </row>
    <row r="272" spans="1:16" s="9" customFormat="1" x14ac:dyDescent="0.25">
      <c r="A272" s="10"/>
      <c r="B272" s="10"/>
      <c r="D272" s="10"/>
      <c r="F272" s="10"/>
      <c r="G272" s="10"/>
      <c r="H272" s="10"/>
      <c r="I272" s="10"/>
      <c r="J272" s="10"/>
      <c r="K272" s="10"/>
      <c r="M272" s="4"/>
      <c r="N272" s="4"/>
      <c r="O272" s="5"/>
      <c r="P272" s="5"/>
    </row>
    <row r="273" spans="1:16" s="9" customFormat="1" x14ac:dyDescent="0.25">
      <c r="A273" s="10"/>
      <c r="B273" s="10"/>
      <c r="D273" s="10"/>
      <c r="F273" s="10"/>
      <c r="G273" s="10"/>
      <c r="H273" s="10"/>
      <c r="I273" s="10"/>
      <c r="J273" s="10"/>
      <c r="K273" s="10"/>
      <c r="M273" s="4"/>
      <c r="N273" s="4"/>
      <c r="O273" s="5"/>
      <c r="P273" s="5"/>
    </row>
    <row r="274" spans="1:16" s="9" customFormat="1" x14ac:dyDescent="0.25">
      <c r="A274" s="10"/>
      <c r="D274" s="10"/>
      <c r="F274" s="10"/>
      <c r="G274" s="10"/>
      <c r="H274" s="10"/>
      <c r="I274" s="10"/>
      <c r="J274" s="10"/>
      <c r="K274" s="10"/>
      <c r="M274" s="4"/>
      <c r="N274" s="4"/>
      <c r="O274" s="5"/>
      <c r="P274" s="5"/>
    </row>
    <row r="275" spans="1:16" s="9" customFormat="1" x14ac:dyDescent="0.25">
      <c r="A275" s="10"/>
      <c r="F275" s="10"/>
      <c r="G275" s="10"/>
      <c r="H275" s="10"/>
      <c r="I275" s="10"/>
      <c r="J275" s="10"/>
      <c r="K275" s="10"/>
      <c r="M275" s="4"/>
      <c r="N275" s="4"/>
      <c r="O275" s="5"/>
      <c r="P275" s="5"/>
    </row>
    <row r="276" spans="1:16" s="9" customFormat="1" x14ac:dyDescent="0.25">
      <c r="A276" s="10"/>
      <c r="F276" s="10"/>
      <c r="G276" s="10"/>
      <c r="H276" s="10"/>
      <c r="I276" s="10"/>
      <c r="J276" s="10"/>
      <c r="K276" s="10"/>
      <c r="M276" s="4"/>
      <c r="N276" s="4"/>
      <c r="O276" s="5"/>
      <c r="P276" s="5"/>
    </row>
    <row r="277" spans="1:16" s="9" customFormat="1" x14ac:dyDescent="0.25">
      <c r="A277" s="10"/>
      <c r="F277" s="10"/>
      <c r="G277" s="10"/>
      <c r="H277" s="10"/>
      <c r="I277" s="10"/>
      <c r="J277" s="10"/>
      <c r="K277" s="10"/>
      <c r="M277" s="4"/>
      <c r="N277" s="4"/>
      <c r="O277" s="5"/>
      <c r="P277" s="5"/>
    </row>
    <row r="278" spans="1:16" s="9" customFormat="1" x14ac:dyDescent="0.25">
      <c r="A278" s="10"/>
      <c r="F278" s="10"/>
      <c r="G278" s="10"/>
      <c r="H278" s="10"/>
      <c r="I278" s="10"/>
      <c r="J278" s="10"/>
      <c r="K278" s="10"/>
      <c r="M278" s="4"/>
      <c r="N278" s="4"/>
      <c r="O278" s="5"/>
      <c r="P278" s="5"/>
    </row>
    <row r="279" spans="1:16" s="9" customFormat="1" x14ac:dyDescent="0.25">
      <c r="A279" s="10"/>
      <c r="F279" s="10"/>
      <c r="G279" s="10"/>
      <c r="H279" s="10"/>
      <c r="I279" s="10"/>
      <c r="J279" s="10"/>
      <c r="K279" s="10"/>
      <c r="M279" s="4"/>
      <c r="N279" s="4"/>
      <c r="O279" s="5"/>
      <c r="P279" s="5"/>
    </row>
    <row r="280" spans="1:16" s="9" customFormat="1" x14ac:dyDescent="0.25">
      <c r="A280" s="10"/>
      <c r="F280" s="10"/>
      <c r="G280" s="10"/>
      <c r="H280" s="10"/>
      <c r="I280" s="10"/>
      <c r="J280" s="10"/>
      <c r="K280" s="10"/>
      <c r="M280" s="4"/>
      <c r="N280" s="4"/>
      <c r="O280" s="5"/>
      <c r="P280" s="5"/>
    </row>
    <row r="281" spans="1:16" s="9" customFormat="1" x14ac:dyDescent="0.25">
      <c r="A281" s="10"/>
      <c r="F281" s="10"/>
      <c r="G281" s="10"/>
      <c r="H281" s="10"/>
      <c r="I281" s="10"/>
      <c r="J281" s="10"/>
      <c r="K281" s="10"/>
      <c r="M281" s="4"/>
      <c r="N281" s="4"/>
      <c r="O281" s="5"/>
      <c r="P281" s="5"/>
    </row>
    <row r="282" spans="1:16" s="9" customFormat="1" x14ac:dyDescent="0.25">
      <c r="A282" s="10"/>
      <c r="F282" s="10"/>
      <c r="G282" s="10"/>
      <c r="H282" s="10"/>
      <c r="I282" s="10"/>
      <c r="J282" s="10"/>
      <c r="K282" s="10"/>
      <c r="M282" s="4"/>
      <c r="N282" s="4"/>
      <c r="O282" s="5"/>
      <c r="P282" s="5"/>
    </row>
    <row r="283" spans="1:16" s="9" customFormat="1" x14ac:dyDescent="0.25">
      <c r="F283" s="10"/>
      <c r="G283" s="10"/>
      <c r="H283" s="10"/>
      <c r="I283" s="10"/>
      <c r="J283" s="10"/>
      <c r="K283" s="10"/>
      <c r="M283" s="4"/>
      <c r="N283" s="4"/>
      <c r="O283" s="5"/>
      <c r="P283" s="5"/>
    </row>
    <row r="284" spans="1:16" s="9" customFormat="1" x14ac:dyDescent="0.25">
      <c r="G284" s="10"/>
      <c r="H284" s="10"/>
      <c r="I284" s="10"/>
      <c r="J284" s="10"/>
      <c r="K284" s="10"/>
      <c r="M284" s="4"/>
      <c r="N284" s="4"/>
      <c r="O284" s="5"/>
      <c r="P284" s="5"/>
    </row>
    <row r="20069" spans="10:16" s="9" customFormat="1" x14ac:dyDescent="0.25">
      <c r="J20069" s="9">
        <v>0</v>
      </c>
      <c r="M20069" s="4"/>
      <c r="N20069" s="4"/>
      <c r="O20069" s="5"/>
      <c r="P20069" s="5"/>
    </row>
  </sheetData>
  <sheetProtection formatColumns="0"/>
  <customSheetViews>
    <customSheetView guid="{06317133-151B-4DBC-8EB3-9345BA061F91}" scale="60" showPageBreaks="1" fitToPage="1" printArea="1" hiddenColumns="1">
      <pane ySplit="6" topLeftCell="A73" activePane="bottomLeft" state="frozen"/>
      <selection pane="bottomLeft" activeCell="E76" sqref="E76"/>
      <pageMargins left="0.11811023622047245" right="0" top="0.11811023622047245" bottom="0.11811023622047245" header="0" footer="0"/>
      <printOptions horizontalCentered="1"/>
      <pageSetup paperSize="9" scale="63" orientation="portrait" r:id="rId1"/>
      <headerFooter>
        <oddFooter>&amp;L&amp;A&amp;Rлист &amp;P    листов &amp;N</oddFooter>
      </headerFooter>
    </customSheetView>
    <customSheetView guid="{375BA386-B398-4A0E-AF86-4319F1FDDF11}" scale="90" showPageBreaks="1" fitToPage="1" printArea="1" hiddenColumns="1">
      <pane ySplit="6" topLeftCell="A16" activePane="bottomLeft" state="frozen"/>
      <selection pane="bottomLeft" activeCell="H88" sqref="H88"/>
      <pageMargins left="0.11811023622047245" right="0" top="0.11811023622047245" bottom="0.11811023622047245" header="0" footer="0"/>
      <printOptions horizontalCentered="1"/>
      <pageSetup paperSize="9" scale="62" orientation="portrait" r:id="rId2"/>
      <headerFooter>
        <oddFooter>&amp;L&amp;A&amp;Rлист &amp;P    листов &amp;N</oddFooter>
      </headerFooter>
    </customSheetView>
    <customSheetView guid="{45C31AC1-6FB2-488C-94EA-BCF9E79D0043}" scale="90" showPageBreaks="1" fitToPage="1" printArea="1" hiddenColumns="1">
      <pane ySplit="6" topLeftCell="A49" activePane="bottomLeft" state="frozen"/>
      <selection pane="bottomLeft" activeCell="F95" sqref="F95"/>
      <pageMargins left="0.11811023622047245" right="0" top="0.11811023622047245" bottom="0.11811023622047245" header="0" footer="0"/>
      <printOptions horizontalCentered="1"/>
      <pageSetup paperSize="9" scale="62" orientation="portrait" r:id="rId3"/>
      <headerFooter>
        <oddFooter>&amp;L&amp;A&amp;Rлист &amp;P    листов &amp;N</oddFooter>
      </headerFooter>
    </customSheetView>
    <customSheetView guid="{845EA106-2CB5-4F86-BBCF-D0DE18153B1C}" scale="90" showPageBreaks="1" fitToPage="1" printArea="1" hiddenColumns="1">
      <pane ySplit="6" topLeftCell="A46" activePane="bottomLeft" state="frozen"/>
      <selection pane="bottomLeft" activeCell="A71" sqref="A71:XFD71"/>
      <pageMargins left="0.11811023622047245" right="0" top="0.11811023622047245" bottom="0.11811023622047245" header="0" footer="0"/>
      <printOptions horizontalCentered="1"/>
      <pageSetup paperSize="9" scale="62" orientation="portrait" r:id="rId4"/>
      <headerFooter>
        <oddFooter>&amp;L&amp;A&amp;Rлист &amp;P    листов &amp;N</oddFooter>
      </headerFooter>
    </customSheetView>
    <customSheetView guid="{C29DA669-F4F9-44CD-9569-E796ADF74A86}" scale="90" showPageBreaks="1" fitToPage="1" printArea="1" hiddenColumns="1">
      <pane ySplit="6" topLeftCell="A70" activePane="bottomLeft" state="frozen"/>
      <selection pane="bottomLeft" activeCell="F91" sqref="F91"/>
      <pageMargins left="0.11811023622047245" right="0" top="0.11811023622047245" bottom="0.11811023622047245" header="0" footer="0"/>
      <printOptions horizontalCentered="1"/>
      <pageSetup paperSize="9" scale="63" orientation="portrait" r:id="rId5"/>
      <headerFooter>
        <oddFooter>&amp;L&amp;A&amp;Rлист &amp;P    листов &amp;N</oddFooter>
      </headerFooter>
    </customSheetView>
    <customSheetView guid="{A1BD6C0C-B1B9-4F48-A6B1-3BFD273F4CD7}" showPageBreaks="1" fitToPage="1" printArea="1" hiddenColumns="1">
      <pane ySplit="6" topLeftCell="A85" activePane="bottomLeft" state="frozen"/>
      <selection pane="bottomLeft" activeCell="D106" sqref="D106"/>
      <pageMargins left="0.11811023622047245" right="0" top="0.11811023622047245" bottom="0.11811023622047245" header="0" footer="0"/>
      <printOptions horizontalCentered="1"/>
      <pageSetup paperSize="9" orientation="landscape" r:id="rId6"/>
      <headerFooter>
        <oddFooter>&amp;L&amp;A&amp;Rлист &amp;P    листов &amp;N</oddFooter>
      </headerFooter>
    </customSheetView>
    <customSheetView guid="{D42288F7-1871-4EF6-BC87-1B9EF747C744}" scale="60" fitToPage="1" hiddenColumns="1">
      <pane ySplit="6" topLeftCell="A58" activePane="bottomLeft" state="frozen"/>
      <selection pane="bottomLeft" activeCell="E76" sqref="E76"/>
      <pageMargins left="0.11811023622047245" right="0" top="0.11811023622047245" bottom="0.11811023622047245" header="0" footer="0"/>
      <printOptions horizontalCentered="1"/>
      <pageSetup paperSize="9" scale="63" orientation="portrait" r:id="rId7"/>
      <headerFooter>
        <oddFooter>&amp;L&amp;A&amp;Rлист &amp;P    листов &amp;N</oddFooter>
      </headerFooter>
    </customSheetView>
    <customSheetView guid="{8C638750-2D78-446E-B8DA-A6202AF1ED31}" scale="80" showPageBreaks="1" fitToPage="1" printArea="1" hiddenColumns="1">
      <pane ySplit="6" topLeftCell="A76" activePane="bottomLeft" state="frozen"/>
      <selection pane="bottomLeft" activeCell="I91" sqref="I91"/>
      <pageMargins left="0.11811023622047245" right="0" top="0.11811023622047245" bottom="0.11811023622047245" header="0" footer="0"/>
      <printOptions horizontalCentered="1"/>
      <pageSetup paperSize="9" scale="60" orientation="portrait" r:id="rId8"/>
      <headerFooter>
        <oddFooter>&amp;L&amp;A&amp;Rлист &amp;P    листов &amp;N</oddFooter>
      </headerFooter>
    </customSheetView>
  </customSheetViews>
  <mergeCells count="21">
    <mergeCell ref="B96:D96"/>
    <mergeCell ref="B97:D97"/>
    <mergeCell ref="G5:J5"/>
    <mergeCell ref="K5:K6"/>
    <mergeCell ref="L5:L6"/>
    <mergeCell ref="M5:M6"/>
    <mergeCell ref="N5:N6"/>
    <mergeCell ref="B95:D95"/>
    <mergeCell ref="A5:A6"/>
    <mergeCell ref="B5:B6"/>
    <mergeCell ref="C5:C6"/>
    <mergeCell ref="D5:D6"/>
    <mergeCell ref="E5:E6"/>
    <mergeCell ref="F5:F6"/>
    <mergeCell ref="A1:B1"/>
    <mergeCell ref="I1:K1"/>
    <mergeCell ref="A2:B2"/>
    <mergeCell ref="I2:K2"/>
    <mergeCell ref="A3:B3"/>
    <mergeCell ref="C3:E3"/>
    <mergeCell ref="I3:K3"/>
  </mergeCells>
  <printOptions horizontalCentered="1"/>
  <pageMargins left="0.11811023622047245" right="0" top="0.11811023622047245" bottom="0.11811023622047245" header="0" footer="0"/>
  <pageSetup paperSize="9" scale="63" orientation="portrait" r:id="rId9"/>
  <headerFooter>
    <oddFooter>&amp;L&amp;A&amp;Rлист &amp;P    листов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1"/>
  <sheetViews>
    <sheetView zoomScale="80" zoomScaleNormal="90" zoomScaleSheetLayoutView="90" workbookViewId="0">
      <pane ySplit="7" topLeftCell="A95" activePane="bottomLeft" state="frozen"/>
      <selection pane="bottomLeft" activeCell="A112" sqref="A112:E112"/>
    </sheetView>
  </sheetViews>
  <sheetFormatPr defaultColWidth="8.85546875" defaultRowHeight="12.75" x14ac:dyDescent="0.2"/>
  <cols>
    <col min="1" max="1" width="7.28515625" style="496" customWidth="1"/>
    <col min="2" max="2" width="27.85546875" style="496" customWidth="1"/>
    <col min="3" max="3" width="53.28515625" style="496" customWidth="1"/>
    <col min="4" max="4" width="7" style="279" customWidth="1"/>
    <col min="5" max="5" width="14" style="496" customWidth="1"/>
    <col min="6" max="6" width="15.7109375" style="496" customWidth="1"/>
    <col min="7" max="11" width="7.7109375" style="496" customWidth="1"/>
    <col min="12" max="12" width="16.7109375" style="496" customWidth="1"/>
    <col min="13" max="13" width="14.7109375" style="496" customWidth="1"/>
    <col min="14" max="14" width="14.140625" style="496" customWidth="1"/>
    <col min="15" max="15" width="23.5703125" style="282" customWidth="1"/>
    <col min="16" max="17" width="9.140625" style="282" customWidth="1"/>
    <col min="18" max="18" width="8.85546875" style="496"/>
    <col min="19" max="22" width="8.85546875" style="496" hidden="1" customWidth="1"/>
    <col min="23" max="16384" width="8.85546875" style="496"/>
  </cols>
  <sheetData>
    <row r="1" spans="1:22" ht="12" customHeight="1" x14ac:dyDescent="0.2">
      <c r="A1" s="581" t="s">
        <v>0</v>
      </c>
      <c r="B1" s="581"/>
      <c r="C1" s="494"/>
      <c r="I1" s="279"/>
      <c r="J1" s="582" t="s">
        <v>1</v>
      </c>
      <c r="K1" s="582"/>
      <c r="L1" s="582"/>
      <c r="M1" s="582"/>
      <c r="N1" s="495"/>
    </row>
    <row r="2" spans="1:22" ht="12" customHeight="1" x14ac:dyDescent="0.2">
      <c r="A2" s="581" t="s">
        <v>2</v>
      </c>
      <c r="B2" s="581"/>
      <c r="C2" s="494"/>
      <c r="J2" s="583" t="s">
        <v>3</v>
      </c>
      <c r="K2" s="583"/>
      <c r="L2" s="583"/>
      <c r="M2" s="583"/>
    </row>
    <row r="3" spans="1:22" ht="12" customHeight="1" x14ac:dyDescent="0.2">
      <c r="A3" s="581" t="s">
        <v>4</v>
      </c>
      <c r="B3" s="581"/>
      <c r="C3" s="494"/>
      <c r="J3" s="583" t="s">
        <v>127</v>
      </c>
      <c r="K3" s="583"/>
      <c r="L3" s="583"/>
      <c r="M3" s="583"/>
    </row>
    <row r="4" spans="1:22" ht="19.899999999999999" customHeight="1" x14ac:dyDescent="0.3">
      <c r="C4" s="592" t="s">
        <v>159</v>
      </c>
      <c r="D4" s="592"/>
      <c r="E4" s="593" t="s">
        <v>749</v>
      </c>
      <c r="F4" s="593"/>
      <c r="G4" s="593"/>
    </row>
    <row r="5" spans="1:22" ht="3" customHeight="1" thickBot="1" x14ac:dyDescent="0.25">
      <c r="E5" s="496" t="s">
        <v>160</v>
      </c>
    </row>
    <row r="6" spans="1:22" ht="12.75" customHeight="1" thickBot="1" x14ac:dyDescent="0.25">
      <c r="A6" s="584" t="s">
        <v>5</v>
      </c>
      <c r="B6" s="585" t="s">
        <v>161</v>
      </c>
      <c r="C6" s="591" t="s">
        <v>6</v>
      </c>
      <c r="D6" s="585" t="s">
        <v>162</v>
      </c>
      <c r="E6" s="587" t="s">
        <v>8</v>
      </c>
      <c r="F6" s="596" t="s">
        <v>163</v>
      </c>
      <c r="G6" s="587" t="s">
        <v>164</v>
      </c>
      <c r="H6" s="589" t="s">
        <v>11</v>
      </c>
      <c r="I6" s="590"/>
      <c r="J6" s="590"/>
      <c r="K6" s="590"/>
      <c r="L6" s="584" t="s">
        <v>12</v>
      </c>
      <c r="M6" s="591" t="s">
        <v>165</v>
      </c>
      <c r="N6" s="498"/>
      <c r="O6" s="284" t="s">
        <v>166</v>
      </c>
    </row>
    <row r="7" spans="1:22" ht="39.6" customHeight="1" thickBot="1" x14ac:dyDescent="0.25">
      <c r="A7" s="584"/>
      <c r="B7" s="586"/>
      <c r="C7" s="591"/>
      <c r="D7" s="586"/>
      <c r="E7" s="588"/>
      <c r="F7" s="597"/>
      <c r="G7" s="588"/>
      <c r="H7" s="285" t="s">
        <v>167</v>
      </c>
      <c r="I7" s="497" t="s">
        <v>168</v>
      </c>
      <c r="J7" s="497" t="s">
        <v>169</v>
      </c>
      <c r="K7" s="497" t="s">
        <v>170</v>
      </c>
      <c r="L7" s="584"/>
      <c r="M7" s="591"/>
      <c r="N7" s="287" t="s">
        <v>171</v>
      </c>
      <c r="O7" s="288" t="s">
        <v>172</v>
      </c>
      <c r="P7" s="289" t="s">
        <v>173</v>
      </c>
    </row>
    <row r="8" spans="1:22" s="301" customFormat="1" x14ac:dyDescent="0.2">
      <c r="A8" s="290" t="s">
        <v>174</v>
      </c>
      <c r="B8" s="538" t="s">
        <v>175</v>
      </c>
      <c r="C8" s="527" t="s">
        <v>176</v>
      </c>
      <c r="D8" s="293"/>
      <c r="E8" s="313">
        <v>8.5</v>
      </c>
      <c r="F8" s="380">
        <f t="shared" ref="F8:F21" si="0">E8*D8</f>
        <v>0</v>
      </c>
      <c r="G8" s="296"/>
      <c r="H8" s="317"/>
      <c r="I8" s="296"/>
      <c r="J8" s="296"/>
      <c r="K8" s="318"/>
      <c r="L8" s="297">
        <f t="shared" ref="L8:L36" si="1">E8*(H8+I8+J8+K8)</f>
        <v>0</v>
      </c>
      <c r="M8" s="298"/>
      <c r="N8" s="298"/>
      <c r="O8" s="299"/>
      <c r="P8" s="300"/>
      <c r="S8" s="301">
        <f>H8*E8</f>
        <v>0</v>
      </c>
      <c r="T8" s="301">
        <f>I8*E8</f>
        <v>0</v>
      </c>
      <c r="U8" s="301">
        <f>J8*E8</f>
        <v>0</v>
      </c>
      <c r="V8" s="301">
        <f>K8*E8</f>
        <v>0</v>
      </c>
    </row>
    <row r="9" spans="1:22" s="301" customFormat="1" x14ac:dyDescent="0.2">
      <c r="A9" s="290" t="s">
        <v>177</v>
      </c>
      <c r="B9" s="291" t="s">
        <v>175</v>
      </c>
      <c r="C9" s="527" t="s">
        <v>178</v>
      </c>
      <c r="D9" s="293">
        <v>2000</v>
      </c>
      <c r="E9" s="313">
        <v>9</v>
      </c>
      <c r="F9" s="379">
        <f>E9*D9</f>
        <v>18000</v>
      </c>
      <c r="G9" s="296">
        <v>3234</v>
      </c>
      <c r="H9" s="296"/>
      <c r="I9" s="296"/>
      <c r="J9" s="296"/>
      <c r="K9" s="357">
        <v>3234</v>
      </c>
      <c r="L9" s="297">
        <f>E9*(H9+I9+J9+K9)</f>
        <v>29106</v>
      </c>
      <c r="M9" s="298"/>
      <c r="N9" s="298"/>
      <c r="O9" s="315"/>
      <c r="P9" s="300"/>
      <c r="S9" s="301">
        <f t="shared" ref="S9:S38" si="2">H9*E9</f>
        <v>0</v>
      </c>
      <c r="T9" s="301">
        <f t="shared" ref="T9:T38" si="3">I9*E9</f>
        <v>0</v>
      </c>
      <c r="U9" s="301">
        <f t="shared" ref="U9:U38" si="4">J9*E9</f>
        <v>0</v>
      </c>
      <c r="V9" s="301">
        <f t="shared" ref="V9:V38" si="5">K9*E9</f>
        <v>29106</v>
      </c>
    </row>
    <row r="10" spans="1:22" s="301" customFormat="1" x14ac:dyDescent="0.2">
      <c r="A10" s="290" t="s">
        <v>179</v>
      </c>
      <c r="B10" s="291" t="s">
        <v>175</v>
      </c>
      <c r="C10" s="527" t="s">
        <v>180</v>
      </c>
      <c r="D10" s="293"/>
      <c r="E10" s="313">
        <v>13.45</v>
      </c>
      <c r="F10" s="379">
        <f t="shared" si="0"/>
        <v>0</v>
      </c>
      <c r="G10" s="296"/>
      <c r="H10" s="296"/>
      <c r="I10" s="296"/>
      <c r="J10" s="296"/>
      <c r="K10" s="296"/>
      <c r="L10" s="297">
        <f t="shared" si="1"/>
        <v>0</v>
      </c>
      <c r="M10" s="298"/>
      <c r="N10" s="298"/>
      <c r="O10" s="315"/>
      <c r="P10" s="300"/>
      <c r="S10" s="301">
        <f t="shared" si="2"/>
        <v>0</v>
      </c>
      <c r="T10" s="301">
        <f t="shared" si="3"/>
        <v>0</v>
      </c>
      <c r="U10" s="301">
        <f t="shared" si="4"/>
        <v>0</v>
      </c>
      <c r="V10" s="301">
        <f t="shared" si="5"/>
        <v>0</v>
      </c>
    </row>
    <row r="11" spans="1:22" s="301" customFormat="1" x14ac:dyDescent="0.2">
      <c r="A11" s="290" t="s">
        <v>181</v>
      </c>
      <c r="B11" s="291" t="s">
        <v>175</v>
      </c>
      <c r="C11" s="527" t="s">
        <v>182</v>
      </c>
      <c r="D11" s="293">
        <v>1000</v>
      </c>
      <c r="E11" s="313">
        <v>7.8</v>
      </c>
      <c r="F11" s="379">
        <f t="shared" si="0"/>
        <v>7800</v>
      </c>
      <c r="G11" s="296">
        <v>1000</v>
      </c>
      <c r="H11" s="296"/>
      <c r="I11" s="296"/>
      <c r="J11" s="296"/>
      <c r="K11" s="357">
        <v>1000</v>
      </c>
      <c r="L11" s="297">
        <f t="shared" si="1"/>
        <v>7800</v>
      </c>
      <c r="M11" s="298"/>
      <c r="N11" s="298"/>
      <c r="O11" s="315"/>
      <c r="P11" s="300"/>
      <c r="S11" s="301">
        <f t="shared" si="2"/>
        <v>0</v>
      </c>
      <c r="T11" s="301">
        <f t="shared" si="3"/>
        <v>0</v>
      </c>
      <c r="U11" s="301">
        <f t="shared" si="4"/>
        <v>0</v>
      </c>
      <c r="V11" s="301">
        <f t="shared" si="5"/>
        <v>7800</v>
      </c>
    </row>
    <row r="12" spans="1:22" s="301" customFormat="1" x14ac:dyDescent="0.2">
      <c r="A12" s="290" t="s">
        <v>183</v>
      </c>
      <c r="B12" s="291" t="s">
        <v>175</v>
      </c>
      <c r="C12" s="527" t="s">
        <v>184</v>
      </c>
      <c r="D12" s="293"/>
      <c r="E12" s="313">
        <v>58.3</v>
      </c>
      <c r="F12" s="379">
        <f t="shared" si="0"/>
        <v>0</v>
      </c>
      <c r="G12" s="296"/>
      <c r="H12" s="296"/>
      <c r="I12" s="296"/>
      <c r="J12" s="296"/>
      <c r="K12" s="296"/>
      <c r="L12" s="297">
        <f t="shared" si="1"/>
        <v>0</v>
      </c>
      <c r="M12" s="298"/>
      <c r="N12" s="298"/>
      <c r="O12" s="315"/>
      <c r="P12" s="300"/>
      <c r="S12" s="301">
        <f t="shared" si="2"/>
        <v>0</v>
      </c>
      <c r="T12" s="301">
        <f t="shared" si="3"/>
        <v>0</v>
      </c>
      <c r="U12" s="301">
        <f t="shared" si="4"/>
        <v>0</v>
      </c>
      <c r="V12" s="301">
        <f t="shared" si="5"/>
        <v>0</v>
      </c>
    </row>
    <row r="13" spans="1:22" s="301" customFormat="1" x14ac:dyDescent="0.2">
      <c r="A13" s="290">
        <v>2771</v>
      </c>
      <c r="B13" s="291" t="s">
        <v>175</v>
      </c>
      <c r="C13" s="527" t="s">
        <v>185</v>
      </c>
      <c r="D13" s="293">
        <f>294+300</f>
        <v>594</v>
      </c>
      <c r="E13" s="313">
        <v>3.16</v>
      </c>
      <c r="F13" s="379">
        <f>E13*D13</f>
        <v>1877.0400000000002</v>
      </c>
      <c r="G13" s="296">
        <v>594</v>
      </c>
      <c r="H13" s="352">
        <v>294</v>
      </c>
      <c r="I13" s="296"/>
      <c r="J13" s="296"/>
      <c r="K13" s="352">
        <v>300</v>
      </c>
      <c r="L13" s="297">
        <f t="shared" si="1"/>
        <v>1877.0400000000002</v>
      </c>
      <c r="M13" s="298"/>
      <c r="N13" s="298"/>
      <c r="O13" s="315"/>
      <c r="P13" s="300"/>
      <c r="S13" s="301">
        <f t="shared" si="2"/>
        <v>929.04000000000008</v>
      </c>
      <c r="T13" s="301">
        <f t="shared" si="3"/>
        <v>0</v>
      </c>
      <c r="U13" s="301">
        <f t="shared" si="4"/>
        <v>0</v>
      </c>
      <c r="V13" s="301">
        <f t="shared" si="5"/>
        <v>948</v>
      </c>
    </row>
    <row r="14" spans="1:22" s="301" customFormat="1" x14ac:dyDescent="0.2">
      <c r="A14" s="290">
        <v>2772</v>
      </c>
      <c r="B14" s="291" t="s">
        <v>175</v>
      </c>
      <c r="C14" s="527" t="s">
        <v>186</v>
      </c>
      <c r="D14" s="293"/>
      <c r="E14" s="313">
        <v>3.16</v>
      </c>
      <c r="F14" s="379">
        <f t="shared" si="0"/>
        <v>0</v>
      </c>
      <c r="G14" s="296"/>
      <c r="H14" s="296"/>
      <c r="I14" s="296"/>
      <c r="J14" s="296"/>
      <c r="K14" s="296"/>
      <c r="L14" s="297">
        <f t="shared" si="1"/>
        <v>0</v>
      </c>
      <c r="M14" s="298"/>
      <c r="N14" s="298"/>
      <c r="O14" s="315"/>
      <c r="P14" s="300"/>
      <c r="S14" s="301">
        <f t="shared" si="2"/>
        <v>0</v>
      </c>
      <c r="T14" s="301">
        <f t="shared" si="3"/>
        <v>0</v>
      </c>
      <c r="U14" s="301">
        <f t="shared" si="4"/>
        <v>0</v>
      </c>
      <c r="V14" s="301">
        <f t="shared" si="5"/>
        <v>0</v>
      </c>
    </row>
    <row r="15" spans="1:22" s="301" customFormat="1" x14ac:dyDescent="0.2">
      <c r="A15" s="290">
        <v>2773</v>
      </c>
      <c r="B15" s="291" t="s">
        <v>175</v>
      </c>
      <c r="C15" s="527" t="s">
        <v>187</v>
      </c>
      <c r="D15" s="293"/>
      <c r="E15" s="313">
        <v>3.16</v>
      </c>
      <c r="F15" s="379">
        <f t="shared" si="0"/>
        <v>0</v>
      </c>
      <c r="G15" s="296"/>
      <c r="H15" s="296"/>
      <c r="I15" s="296"/>
      <c r="J15" s="296"/>
      <c r="K15" s="296"/>
      <c r="L15" s="297">
        <f t="shared" si="1"/>
        <v>0</v>
      </c>
      <c r="M15" s="298"/>
      <c r="N15" s="298"/>
      <c r="O15" s="315"/>
      <c r="P15" s="300"/>
      <c r="S15" s="301">
        <f t="shared" si="2"/>
        <v>0</v>
      </c>
      <c r="T15" s="301">
        <f t="shared" si="3"/>
        <v>0</v>
      </c>
      <c r="U15" s="301">
        <f t="shared" si="4"/>
        <v>0</v>
      </c>
      <c r="V15" s="301">
        <f t="shared" si="5"/>
        <v>0</v>
      </c>
    </row>
    <row r="16" spans="1:22" s="301" customFormat="1" x14ac:dyDescent="0.2">
      <c r="A16" s="290" t="s">
        <v>188</v>
      </c>
      <c r="B16" s="291" t="s">
        <v>175</v>
      </c>
      <c r="C16" s="527" t="s">
        <v>189</v>
      </c>
      <c r="D16" s="293">
        <f>100+200</f>
        <v>300</v>
      </c>
      <c r="E16" s="313">
        <v>3.16</v>
      </c>
      <c r="F16" s="379">
        <f t="shared" si="0"/>
        <v>948</v>
      </c>
      <c r="G16" s="296">
        <v>300</v>
      </c>
      <c r="H16" s="352">
        <v>100</v>
      </c>
      <c r="I16" s="296"/>
      <c r="J16" s="296"/>
      <c r="K16" s="352">
        <v>200</v>
      </c>
      <c r="L16" s="297">
        <f t="shared" si="1"/>
        <v>948</v>
      </c>
      <c r="M16" s="298"/>
      <c r="N16" s="298"/>
      <c r="O16" s="315"/>
      <c r="P16" s="300"/>
      <c r="S16" s="301">
        <f t="shared" si="2"/>
        <v>316</v>
      </c>
      <c r="T16" s="301">
        <f t="shared" si="3"/>
        <v>0</v>
      </c>
      <c r="U16" s="301">
        <f t="shared" si="4"/>
        <v>0</v>
      </c>
      <c r="V16" s="301">
        <f t="shared" si="5"/>
        <v>632</v>
      </c>
    </row>
    <row r="17" spans="1:22" s="301" customFormat="1" x14ac:dyDescent="0.2">
      <c r="A17" s="290">
        <v>3558</v>
      </c>
      <c r="B17" s="291" t="s">
        <v>175</v>
      </c>
      <c r="C17" s="527" t="s">
        <v>190</v>
      </c>
      <c r="D17" s="293"/>
      <c r="E17" s="313">
        <v>3.16</v>
      </c>
      <c r="F17" s="379">
        <f>E17*D17</f>
        <v>0</v>
      </c>
      <c r="G17" s="296"/>
      <c r="H17" s="296"/>
      <c r="I17" s="296"/>
      <c r="J17" s="296"/>
      <c r="K17" s="296"/>
      <c r="L17" s="297">
        <f t="shared" si="1"/>
        <v>0</v>
      </c>
      <c r="M17" s="298"/>
      <c r="N17" s="298"/>
      <c r="O17" s="315"/>
      <c r="P17" s="300"/>
      <c r="S17" s="301">
        <f t="shared" si="2"/>
        <v>0</v>
      </c>
      <c r="T17" s="301">
        <f t="shared" si="3"/>
        <v>0</v>
      </c>
      <c r="U17" s="301">
        <f t="shared" si="4"/>
        <v>0</v>
      </c>
      <c r="V17" s="301">
        <f t="shared" si="5"/>
        <v>0</v>
      </c>
    </row>
    <row r="18" spans="1:22" s="301" customFormat="1" x14ac:dyDescent="0.2">
      <c r="A18" s="290">
        <v>3238</v>
      </c>
      <c r="B18" s="291" t="s">
        <v>175</v>
      </c>
      <c r="C18" s="527" t="s">
        <v>191</v>
      </c>
      <c r="D18" s="293"/>
      <c r="E18" s="313">
        <v>6.32</v>
      </c>
      <c r="F18" s="379">
        <f t="shared" si="0"/>
        <v>0</v>
      </c>
      <c r="G18" s="296"/>
      <c r="H18" s="296"/>
      <c r="I18" s="296"/>
      <c r="J18" s="296"/>
      <c r="K18" s="296"/>
      <c r="L18" s="297">
        <f t="shared" si="1"/>
        <v>0</v>
      </c>
      <c r="M18" s="298"/>
      <c r="N18" s="298"/>
      <c r="O18" s="315"/>
      <c r="P18" s="300"/>
      <c r="S18" s="301">
        <f t="shared" si="2"/>
        <v>0</v>
      </c>
      <c r="T18" s="301">
        <f t="shared" si="3"/>
        <v>0</v>
      </c>
      <c r="U18" s="301">
        <f t="shared" si="4"/>
        <v>0</v>
      </c>
      <c r="V18" s="301">
        <f t="shared" si="5"/>
        <v>0</v>
      </c>
    </row>
    <row r="19" spans="1:22" s="301" customFormat="1" x14ac:dyDescent="0.2">
      <c r="A19" s="290">
        <v>3239</v>
      </c>
      <c r="B19" s="291" t="s">
        <v>175</v>
      </c>
      <c r="C19" s="527" t="s">
        <v>192</v>
      </c>
      <c r="D19" s="293"/>
      <c r="E19" s="313">
        <v>9.1999999999999993</v>
      </c>
      <c r="F19" s="379">
        <f t="shared" si="0"/>
        <v>0</v>
      </c>
      <c r="G19" s="296"/>
      <c r="H19" s="296"/>
      <c r="I19" s="296"/>
      <c r="J19" s="296"/>
      <c r="K19" s="296"/>
      <c r="L19" s="297">
        <f t="shared" si="1"/>
        <v>0</v>
      </c>
      <c r="M19" s="298"/>
      <c r="N19" s="298"/>
      <c r="O19" s="315"/>
      <c r="P19" s="300"/>
      <c r="S19" s="301">
        <f t="shared" si="2"/>
        <v>0</v>
      </c>
      <c r="T19" s="301">
        <f t="shared" si="3"/>
        <v>0</v>
      </c>
      <c r="U19" s="301">
        <f t="shared" si="4"/>
        <v>0</v>
      </c>
      <c r="V19" s="301">
        <f t="shared" si="5"/>
        <v>0</v>
      </c>
    </row>
    <row r="20" spans="1:22" s="301" customFormat="1" x14ac:dyDescent="0.2">
      <c r="A20" s="290">
        <v>3515</v>
      </c>
      <c r="B20" s="291" t="s">
        <v>175</v>
      </c>
      <c r="C20" s="527" t="s">
        <v>193</v>
      </c>
      <c r="D20" s="293"/>
      <c r="E20" s="313">
        <v>13.22</v>
      </c>
      <c r="F20" s="379">
        <f t="shared" si="0"/>
        <v>0</v>
      </c>
      <c r="G20" s="296"/>
      <c r="H20" s="296"/>
      <c r="I20" s="296"/>
      <c r="J20" s="296"/>
      <c r="K20" s="296"/>
      <c r="L20" s="297">
        <f t="shared" si="1"/>
        <v>0</v>
      </c>
      <c r="M20" s="298"/>
      <c r="N20" s="298"/>
      <c r="O20" s="315"/>
      <c r="P20" s="300"/>
      <c r="S20" s="301">
        <f t="shared" si="2"/>
        <v>0</v>
      </c>
      <c r="T20" s="301">
        <f t="shared" si="3"/>
        <v>0</v>
      </c>
      <c r="U20" s="301">
        <f t="shared" si="4"/>
        <v>0</v>
      </c>
      <c r="V20" s="301">
        <f t="shared" si="5"/>
        <v>0</v>
      </c>
    </row>
    <row r="21" spans="1:22" s="301" customFormat="1" x14ac:dyDescent="0.2">
      <c r="A21" s="455">
        <v>3240</v>
      </c>
      <c r="B21" s="291" t="s">
        <v>175</v>
      </c>
      <c r="C21" s="527" t="s">
        <v>194</v>
      </c>
      <c r="D21" s="293"/>
      <c r="E21" s="313">
        <v>11.05</v>
      </c>
      <c r="F21" s="379">
        <f t="shared" si="0"/>
        <v>0</v>
      </c>
      <c r="G21" s="296"/>
      <c r="H21" s="296"/>
      <c r="I21" s="296"/>
      <c r="J21" s="296"/>
      <c r="K21" s="296"/>
      <c r="L21" s="297">
        <f t="shared" si="1"/>
        <v>0</v>
      </c>
      <c r="M21" s="298"/>
      <c r="N21" s="298"/>
      <c r="O21" s="315"/>
      <c r="P21" s="300"/>
      <c r="S21" s="301">
        <f t="shared" si="2"/>
        <v>0</v>
      </c>
      <c r="T21" s="301">
        <f t="shared" si="3"/>
        <v>0</v>
      </c>
      <c r="U21" s="301">
        <f t="shared" si="4"/>
        <v>0</v>
      </c>
      <c r="V21" s="301">
        <f t="shared" si="5"/>
        <v>0</v>
      </c>
    </row>
    <row r="22" spans="1:22" s="301" customFormat="1" x14ac:dyDescent="0.2">
      <c r="A22" s="290">
        <v>4291</v>
      </c>
      <c r="B22" s="291" t="s">
        <v>175</v>
      </c>
      <c r="C22" s="527" t="s">
        <v>195</v>
      </c>
      <c r="D22" s="293"/>
      <c r="E22" s="313">
        <v>23996.5</v>
      </c>
      <c r="F22" s="379">
        <f t="shared" ref="F22:F33" si="6">E22*D22</f>
        <v>0</v>
      </c>
      <c r="G22" s="296"/>
      <c r="H22" s="296"/>
      <c r="I22" s="296"/>
      <c r="J22" s="296"/>
      <c r="K22" s="296"/>
      <c r="L22" s="297">
        <f t="shared" si="1"/>
        <v>0</v>
      </c>
      <c r="M22" s="298"/>
      <c r="N22" s="298"/>
      <c r="O22" s="315"/>
      <c r="P22" s="300"/>
      <c r="S22" s="301">
        <f t="shared" si="2"/>
        <v>0</v>
      </c>
      <c r="T22" s="301">
        <f t="shared" si="3"/>
        <v>0</v>
      </c>
      <c r="U22" s="301">
        <f t="shared" si="4"/>
        <v>0</v>
      </c>
      <c r="V22" s="301">
        <f t="shared" si="5"/>
        <v>0</v>
      </c>
    </row>
    <row r="23" spans="1:22" s="301" customFormat="1" x14ac:dyDescent="0.2">
      <c r="A23" s="290">
        <v>1690</v>
      </c>
      <c r="B23" s="291" t="s">
        <v>175</v>
      </c>
      <c r="C23" s="527" t="s">
        <v>196</v>
      </c>
      <c r="D23" s="293"/>
      <c r="E23" s="313">
        <v>52</v>
      </c>
      <c r="F23" s="379">
        <f t="shared" si="6"/>
        <v>0</v>
      </c>
      <c r="G23" s="296"/>
      <c r="H23" s="296"/>
      <c r="I23" s="296"/>
      <c r="J23" s="296"/>
      <c r="K23" s="296"/>
      <c r="L23" s="297">
        <f t="shared" si="1"/>
        <v>0</v>
      </c>
      <c r="M23" s="298"/>
      <c r="N23" s="298"/>
      <c r="O23" s="315"/>
      <c r="P23" s="300"/>
      <c r="S23" s="301">
        <f t="shared" si="2"/>
        <v>0</v>
      </c>
      <c r="T23" s="301">
        <f t="shared" si="3"/>
        <v>0</v>
      </c>
      <c r="U23" s="301">
        <f t="shared" si="4"/>
        <v>0</v>
      </c>
      <c r="V23" s="301">
        <f t="shared" si="5"/>
        <v>0</v>
      </c>
    </row>
    <row r="24" spans="1:22" s="301" customFormat="1" x14ac:dyDescent="0.2">
      <c r="A24" s="319"/>
      <c r="B24" s="320"/>
      <c r="C24" s="437"/>
      <c r="D24" s="322"/>
      <c r="E24" s="323"/>
      <c r="F24" s="379">
        <f t="shared" si="6"/>
        <v>0</v>
      </c>
      <c r="G24" s="296"/>
      <c r="H24" s="296"/>
      <c r="I24" s="296"/>
      <c r="J24" s="296"/>
      <c r="K24" s="296"/>
      <c r="L24" s="297">
        <f t="shared" si="1"/>
        <v>0</v>
      </c>
      <c r="M24" s="298"/>
      <c r="N24" s="298"/>
      <c r="O24" s="315"/>
      <c r="P24" s="300"/>
      <c r="S24" s="301">
        <f t="shared" si="2"/>
        <v>0</v>
      </c>
      <c r="T24" s="301">
        <f t="shared" si="3"/>
        <v>0</v>
      </c>
      <c r="U24" s="301">
        <f t="shared" si="4"/>
        <v>0</v>
      </c>
      <c r="V24" s="301">
        <f t="shared" si="5"/>
        <v>0</v>
      </c>
    </row>
    <row r="25" spans="1:22" s="301" customFormat="1" x14ac:dyDescent="0.2">
      <c r="A25" s="350">
        <v>5348</v>
      </c>
      <c r="B25" s="353" t="s">
        <v>199</v>
      </c>
      <c r="C25" s="528" t="s">
        <v>713</v>
      </c>
      <c r="D25" s="355">
        <v>1</v>
      </c>
      <c r="E25" s="361">
        <v>2800</v>
      </c>
      <c r="F25" s="379">
        <f t="shared" si="6"/>
        <v>2800</v>
      </c>
      <c r="G25" s="296">
        <v>1</v>
      </c>
      <c r="H25" s="296"/>
      <c r="I25" s="296"/>
      <c r="J25" s="296"/>
      <c r="K25" s="357">
        <v>1</v>
      </c>
      <c r="L25" s="297">
        <f t="shared" si="1"/>
        <v>2800</v>
      </c>
      <c r="M25" s="298">
        <v>43578</v>
      </c>
      <c r="N25" s="298"/>
      <c r="O25" s="315"/>
      <c r="P25" s="300"/>
      <c r="S25" s="301">
        <f t="shared" si="2"/>
        <v>0</v>
      </c>
      <c r="T25" s="301">
        <f t="shared" si="3"/>
        <v>0</v>
      </c>
      <c r="U25" s="301">
        <f t="shared" si="4"/>
        <v>0</v>
      </c>
      <c r="V25" s="301">
        <f t="shared" si="5"/>
        <v>2800</v>
      </c>
    </row>
    <row r="26" spans="1:22" s="301" customFormat="1" x14ac:dyDescent="0.2">
      <c r="A26" s="359">
        <v>5392</v>
      </c>
      <c r="B26" s="390" t="s">
        <v>199</v>
      </c>
      <c r="C26" s="529" t="s">
        <v>723</v>
      </c>
      <c r="D26" s="422">
        <v>1</v>
      </c>
      <c r="E26" s="361">
        <v>800</v>
      </c>
      <c r="F26" s="379">
        <f t="shared" si="6"/>
        <v>800</v>
      </c>
      <c r="G26" s="296">
        <v>1</v>
      </c>
      <c r="H26" s="296"/>
      <c r="I26" s="296"/>
      <c r="J26" s="296"/>
      <c r="K26" s="357">
        <v>1</v>
      </c>
      <c r="L26" s="297">
        <f t="shared" si="1"/>
        <v>800</v>
      </c>
      <c r="M26" s="298">
        <v>43581</v>
      </c>
      <c r="N26" s="298">
        <v>43581</v>
      </c>
      <c r="O26" s="315"/>
      <c r="P26" s="300"/>
      <c r="S26" s="301">
        <f t="shared" ref="S26:S31" si="7">H26*E26</f>
        <v>0</v>
      </c>
      <c r="T26" s="301">
        <f t="shared" ref="T26:T31" si="8">I26*E26</f>
        <v>0</v>
      </c>
      <c r="U26" s="301">
        <f t="shared" ref="U26:U31" si="9">J26*E26</f>
        <v>0</v>
      </c>
      <c r="V26" s="301">
        <f t="shared" ref="V26:V31" si="10">K26*E26</f>
        <v>800</v>
      </c>
    </row>
    <row r="27" spans="1:22" s="301" customFormat="1" x14ac:dyDescent="0.2">
      <c r="A27" s="350">
        <v>5475</v>
      </c>
      <c r="B27" s="353" t="s">
        <v>199</v>
      </c>
      <c r="C27" s="528" t="s">
        <v>761</v>
      </c>
      <c r="D27" s="355">
        <v>1</v>
      </c>
      <c r="E27" s="361">
        <v>6200</v>
      </c>
      <c r="F27" s="379">
        <f t="shared" si="6"/>
        <v>6200</v>
      </c>
      <c r="G27" s="296">
        <v>1</v>
      </c>
      <c r="H27" s="296"/>
      <c r="I27" s="296"/>
      <c r="J27" s="296"/>
      <c r="K27" s="357">
        <v>1</v>
      </c>
      <c r="L27" s="297">
        <f>E27*(H27+I27+J27+K27)</f>
        <v>6200</v>
      </c>
      <c r="M27" s="298">
        <v>43598</v>
      </c>
      <c r="N27" s="298">
        <v>43605</v>
      </c>
      <c r="O27" s="315"/>
      <c r="P27" s="300"/>
      <c r="S27" s="301">
        <f t="shared" si="7"/>
        <v>0</v>
      </c>
      <c r="T27" s="301">
        <f t="shared" si="8"/>
        <v>0</v>
      </c>
      <c r="U27" s="301">
        <f t="shared" si="9"/>
        <v>0</v>
      </c>
      <c r="V27" s="301">
        <f t="shared" si="10"/>
        <v>6200</v>
      </c>
    </row>
    <row r="28" spans="1:22" s="301" customFormat="1" x14ac:dyDescent="0.2">
      <c r="A28" s="350">
        <v>5476</v>
      </c>
      <c r="B28" s="353" t="s">
        <v>199</v>
      </c>
      <c r="C28" s="528" t="s">
        <v>762</v>
      </c>
      <c r="D28" s="355">
        <v>1</v>
      </c>
      <c r="E28" s="361">
        <v>7430</v>
      </c>
      <c r="F28" s="379">
        <f t="shared" si="6"/>
        <v>7430</v>
      </c>
      <c r="G28" s="296">
        <v>1</v>
      </c>
      <c r="H28" s="296"/>
      <c r="I28" s="296"/>
      <c r="J28" s="296"/>
      <c r="K28" s="357">
        <v>1</v>
      </c>
      <c r="L28" s="297">
        <f>E28*(H28+I28+J28+K28)</f>
        <v>7430</v>
      </c>
      <c r="M28" s="298">
        <v>43598</v>
      </c>
      <c r="N28" s="298">
        <v>43605</v>
      </c>
      <c r="O28" s="315"/>
      <c r="P28" s="300"/>
      <c r="S28" s="301">
        <f t="shared" si="7"/>
        <v>0</v>
      </c>
      <c r="T28" s="301">
        <f t="shared" si="8"/>
        <v>0</v>
      </c>
      <c r="U28" s="301">
        <f t="shared" si="9"/>
        <v>0</v>
      </c>
      <c r="V28" s="301">
        <f t="shared" si="10"/>
        <v>7430</v>
      </c>
    </row>
    <row r="29" spans="1:22" s="301" customFormat="1" x14ac:dyDescent="0.2">
      <c r="A29" s="350"/>
      <c r="B29" s="353"/>
      <c r="C29" s="528"/>
      <c r="D29" s="355"/>
      <c r="E29" s="356"/>
      <c r="F29" s="379">
        <f t="shared" si="6"/>
        <v>0</v>
      </c>
      <c r="G29" s="296"/>
      <c r="H29" s="296"/>
      <c r="I29" s="296"/>
      <c r="J29" s="296"/>
      <c r="K29" s="296"/>
      <c r="L29" s="297">
        <f t="shared" si="1"/>
        <v>0</v>
      </c>
      <c r="M29" s="298"/>
      <c r="N29" s="298"/>
      <c r="O29" s="315"/>
      <c r="P29" s="300"/>
      <c r="S29" s="301">
        <f t="shared" si="7"/>
        <v>0</v>
      </c>
      <c r="T29" s="301">
        <f t="shared" si="8"/>
        <v>0</v>
      </c>
      <c r="U29" s="301">
        <f t="shared" si="9"/>
        <v>0</v>
      </c>
      <c r="V29" s="301">
        <f t="shared" si="10"/>
        <v>0</v>
      </c>
    </row>
    <row r="30" spans="1:22" s="301" customFormat="1" x14ac:dyDescent="0.2">
      <c r="A30" s="290" t="s">
        <v>205</v>
      </c>
      <c r="B30" s="291"/>
      <c r="C30" s="527" t="s">
        <v>206</v>
      </c>
      <c r="D30" s="293"/>
      <c r="E30" s="313">
        <v>1610.17</v>
      </c>
      <c r="F30" s="379">
        <f t="shared" si="6"/>
        <v>0</v>
      </c>
      <c r="G30" s="296"/>
      <c r="H30" s="296"/>
      <c r="I30" s="296"/>
      <c r="J30" s="296"/>
      <c r="K30" s="296"/>
      <c r="L30" s="297">
        <f t="shared" si="1"/>
        <v>0</v>
      </c>
      <c r="M30" s="298"/>
      <c r="N30" s="298"/>
      <c r="O30" s="315"/>
      <c r="P30" s="300"/>
      <c r="S30" s="301">
        <f t="shared" si="7"/>
        <v>0</v>
      </c>
      <c r="T30" s="301">
        <f t="shared" si="8"/>
        <v>0</v>
      </c>
      <c r="U30" s="301">
        <f t="shared" si="9"/>
        <v>0</v>
      </c>
      <c r="V30" s="301">
        <f t="shared" si="10"/>
        <v>0</v>
      </c>
    </row>
    <row r="31" spans="1:22" s="301" customFormat="1" x14ac:dyDescent="0.2">
      <c r="A31" s="290" t="s">
        <v>207</v>
      </c>
      <c r="B31" s="291"/>
      <c r="C31" s="527" t="s">
        <v>206</v>
      </c>
      <c r="D31" s="293"/>
      <c r="E31" s="313">
        <v>1686.44</v>
      </c>
      <c r="F31" s="379">
        <f t="shared" si="6"/>
        <v>0</v>
      </c>
      <c r="G31" s="296">
        <v>23</v>
      </c>
      <c r="H31" s="296"/>
      <c r="I31" s="296"/>
      <c r="J31" s="296"/>
      <c r="K31" s="296"/>
      <c r="L31" s="297">
        <f t="shared" si="1"/>
        <v>0</v>
      </c>
      <c r="M31" s="298"/>
      <c r="N31" s="298"/>
      <c r="O31" s="315"/>
      <c r="P31" s="300"/>
      <c r="S31" s="301">
        <f t="shared" si="7"/>
        <v>0</v>
      </c>
      <c r="T31" s="301">
        <f t="shared" si="8"/>
        <v>0</v>
      </c>
      <c r="U31" s="301">
        <f t="shared" si="9"/>
        <v>0</v>
      </c>
      <c r="V31" s="301">
        <f t="shared" si="10"/>
        <v>0</v>
      </c>
    </row>
    <row r="32" spans="1:22" s="301" customFormat="1" x14ac:dyDescent="0.2">
      <c r="A32" s="290"/>
      <c r="B32" s="291"/>
      <c r="C32" s="527"/>
      <c r="D32" s="293"/>
      <c r="E32" s="313"/>
      <c r="F32" s="379">
        <f t="shared" si="6"/>
        <v>0</v>
      </c>
      <c r="G32" s="296"/>
      <c r="H32" s="296"/>
      <c r="I32" s="296"/>
      <c r="J32" s="296"/>
      <c r="K32" s="296"/>
      <c r="L32" s="297">
        <f t="shared" si="1"/>
        <v>0</v>
      </c>
      <c r="M32" s="298"/>
      <c r="N32" s="298"/>
      <c r="O32" s="315"/>
      <c r="P32" s="300"/>
      <c r="S32" s="301">
        <f t="shared" si="2"/>
        <v>0</v>
      </c>
      <c r="T32" s="301">
        <f t="shared" si="3"/>
        <v>0</v>
      </c>
      <c r="U32" s="301">
        <f t="shared" si="4"/>
        <v>0</v>
      </c>
      <c r="V32" s="301">
        <f t="shared" si="5"/>
        <v>0</v>
      </c>
    </row>
    <row r="33" spans="1:22" s="301" customFormat="1" x14ac:dyDescent="0.2">
      <c r="A33" s="359">
        <v>5081</v>
      </c>
      <c r="B33" s="390" t="s">
        <v>442</v>
      </c>
      <c r="C33" s="529" t="s">
        <v>224</v>
      </c>
      <c r="D33" s="422">
        <v>1000</v>
      </c>
      <c r="E33" s="361">
        <v>1242</v>
      </c>
      <c r="F33" s="379">
        <f t="shared" si="6"/>
        <v>1242000</v>
      </c>
      <c r="G33" s="296"/>
      <c r="H33" s="296"/>
      <c r="I33" s="296"/>
      <c r="J33" s="296"/>
      <c r="K33" s="296"/>
      <c r="L33" s="297">
        <f t="shared" si="1"/>
        <v>0</v>
      </c>
      <c r="M33" s="298">
        <v>43514</v>
      </c>
      <c r="N33" s="298"/>
      <c r="O33" s="394" t="s">
        <v>441</v>
      </c>
      <c r="P33" s="300"/>
      <c r="S33" s="301">
        <f t="shared" si="2"/>
        <v>0</v>
      </c>
      <c r="T33" s="301">
        <f t="shared" si="3"/>
        <v>0</v>
      </c>
      <c r="U33" s="301">
        <f t="shared" si="4"/>
        <v>0</v>
      </c>
      <c r="V33" s="301">
        <f t="shared" si="5"/>
        <v>0</v>
      </c>
    </row>
    <row r="34" spans="1:22" s="301" customFormat="1" x14ac:dyDescent="0.2">
      <c r="A34" s="350">
        <v>5336</v>
      </c>
      <c r="B34" s="353" t="s">
        <v>694</v>
      </c>
      <c r="C34" s="528" t="s">
        <v>685</v>
      </c>
      <c r="D34" s="355">
        <v>5</v>
      </c>
      <c r="E34" s="356">
        <v>44000</v>
      </c>
      <c r="F34" s="379">
        <f t="shared" ref="F34:F47" si="11">E34*D34</f>
        <v>220000</v>
      </c>
      <c r="G34" s="296"/>
      <c r="H34" s="296"/>
      <c r="I34" s="296"/>
      <c r="J34" s="296"/>
      <c r="K34" s="296"/>
      <c r="L34" s="297">
        <f t="shared" si="1"/>
        <v>0</v>
      </c>
      <c r="M34" s="298">
        <v>43573</v>
      </c>
      <c r="N34" s="298">
        <v>43603</v>
      </c>
      <c r="O34" s="459" t="s">
        <v>693</v>
      </c>
      <c r="P34" s="300"/>
      <c r="S34" s="301">
        <f t="shared" si="2"/>
        <v>0</v>
      </c>
      <c r="T34" s="301">
        <f t="shared" si="3"/>
        <v>0</v>
      </c>
      <c r="U34" s="301">
        <f t="shared" si="4"/>
        <v>0</v>
      </c>
      <c r="V34" s="301">
        <f t="shared" si="5"/>
        <v>0</v>
      </c>
    </row>
    <row r="35" spans="1:22" s="301" customFormat="1" x14ac:dyDescent="0.2">
      <c r="A35" s="350">
        <v>5337</v>
      </c>
      <c r="B35" s="353" t="s">
        <v>694</v>
      </c>
      <c r="C35" s="528" t="s">
        <v>686</v>
      </c>
      <c r="D35" s="355">
        <v>20</v>
      </c>
      <c r="E35" s="356">
        <v>510</v>
      </c>
      <c r="F35" s="379">
        <f t="shared" si="11"/>
        <v>10200</v>
      </c>
      <c r="G35" s="296"/>
      <c r="H35" s="296"/>
      <c r="I35" s="296"/>
      <c r="J35" s="296"/>
      <c r="K35" s="296"/>
      <c r="L35" s="297">
        <f t="shared" si="1"/>
        <v>0</v>
      </c>
      <c r="M35" s="298">
        <v>43573</v>
      </c>
      <c r="N35" s="298">
        <v>43603</v>
      </c>
      <c r="O35" s="459" t="s">
        <v>693</v>
      </c>
      <c r="P35" s="300"/>
      <c r="S35" s="301">
        <f t="shared" si="2"/>
        <v>0</v>
      </c>
      <c r="T35" s="301">
        <f t="shared" si="3"/>
        <v>0</v>
      </c>
      <c r="U35" s="301">
        <f t="shared" si="4"/>
        <v>0</v>
      </c>
      <c r="V35" s="301">
        <f t="shared" si="5"/>
        <v>0</v>
      </c>
    </row>
    <row r="36" spans="1:22" s="301" customFormat="1" x14ac:dyDescent="0.2">
      <c r="A36" s="350">
        <v>5338</v>
      </c>
      <c r="B36" s="353" t="s">
        <v>694</v>
      </c>
      <c r="C36" s="528" t="s">
        <v>687</v>
      </c>
      <c r="D36" s="355">
        <v>10</v>
      </c>
      <c r="E36" s="356">
        <v>1800</v>
      </c>
      <c r="F36" s="379">
        <f t="shared" si="11"/>
        <v>18000</v>
      </c>
      <c r="G36" s="296"/>
      <c r="H36" s="296"/>
      <c r="I36" s="296"/>
      <c r="J36" s="296"/>
      <c r="K36" s="296"/>
      <c r="L36" s="297">
        <f t="shared" si="1"/>
        <v>0</v>
      </c>
      <c r="M36" s="298">
        <v>43573</v>
      </c>
      <c r="N36" s="298">
        <v>43603</v>
      </c>
      <c r="O36" s="459" t="s">
        <v>693</v>
      </c>
      <c r="P36" s="300"/>
      <c r="S36" s="301">
        <f t="shared" si="2"/>
        <v>0</v>
      </c>
      <c r="T36" s="301">
        <f t="shared" si="3"/>
        <v>0</v>
      </c>
      <c r="U36" s="301">
        <f t="shared" si="4"/>
        <v>0</v>
      </c>
      <c r="V36" s="301">
        <f t="shared" si="5"/>
        <v>0</v>
      </c>
    </row>
    <row r="37" spans="1:22" s="301" customFormat="1" x14ac:dyDescent="0.2">
      <c r="A37" s="350">
        <v>5339</v>
      </c>
      <c r="B37" s="353" t="s">
        <v>694</v>
      </c>
      <c r="C37" s="528" t="s">
        <v>688</v>
      </c>
      <c r="D37" s="355">
        <v>5</v>
      </c>
      <c r="E37" s="356">
        <v>2000</v>
      </c>
      <c r="F37" s="379">
        <f t="shared" si="11"/>
        <v>10000</v>
      </c>
      <c r="G37" s="296"/>
      <c r="H37" s="296"/>
      <c r="I37" s="296"/>
      <c r="J37" s="296"/>
      <c r="K37" s="296"/>
      <c r="L37" s="297">
        <f t="shared" ref="L37:L74" si="12">E37*(H37+I37+J37+K37)</f>
        <v>0</v>
      </c>
      <c r="M37" s="298">
        <v>43573</v>
      </c>
      <c r="N37" s="298">
        <v>43603</v>
      </c>
      <c r="O37" s="459" t="s">
        <v>693</v>
      </c>
      <c r="P37" s="300"/>
      <c r="S37" s="301">
        <f t="shared" si="2"/>
        <v>0</v>
      </c>
      <c r="T37" s="301">
        <f t="shared" si="3"/>
        <v>0</v>
      </c>
      <c r="U37" s="301">
        <f t="shared" si="4"/>
        <v>0</v>
      </c>
      <c r="V37" s="301">
        <f t="shared" si="5"/>
        <v>0</v>
      </c>
    </row>
    <row r="38" spans="1:22" s="301" customFormat="1" x14ac:dyDescent="0.2">
      <c r="A38" s="350">
        <v>5340</v>
      </c>
      <c r="B38" s="353" t="s">
        <v>694</v>
      </c>
      <c r="C38" s="528" t="s">
        <v>688</v>
      </c>
      <c r="D38" s="355">
        <v>5</v>
      </c>
      <c r="E38" s="356">
        <v>2100</v>
      </c>
      <c r="F38" s="379">
        <f t="shared" si="11"/>
        <v>10500</v>
      </c>
      <c r="G38" s="296"/>
      <c r="H38" s="296"/>
      <c r="I38" s="296"/>
      <c r="J38" s="296"/>
      <c r="K38" s="296"/>
      <c r="L38" s="297">
        <f t="shared" si="12"/>
        <v>0</v>
      </c>
      <c r="M38" s="298">
        <v>43573</v>
      </c>
      <c r="N38" s="298">
        <v>43603</v>
      </c>
      <c r="O38" s="459" t="s">
        <v>693</v>
      </c>
      <c r="P38" s="300"/>
      <c r="S38" s="301">
        <f t="shared" si="2"/>
        <v>0</v>
      </c>
      <c r="T38" s="301">
        <f t="shared" si="3"/>
        <v>0</v>
      </c>
      <c r="U38" s="301">
        <f t="shared" si="4"/>
        <v>0</v>
      </c>
      <c r="V38" s="301">
        <f t="shared" si="5"/>
        <v>0</v>
      </c>
    </row>
    <row r="39" spans="1:22" s="301" customFormat="1" x14ac:dyDescent="0.2">
      <c r="A39" s="350">
        <v>5341</v>
      </c>
      <c r="B39" s="353" t="s">
        <v>694</v>
      </c>
      <c r="C39" s="528" t="s">
        <v>689</v>
      </c>
      <c r="D39" s="355">
        <v>5</v>
      </c>
      <c r="E39" s="356">
        <v>2200</v>
      </c>
      <c r="F39" s="379">
        <f t="shared" si="11"/>
        <v>11000</v>
      </c>
      <c r="G39" s="296"/>
      <c r="H39" s="296"/>
      <c r="I39" s="296"/>
      <c r="J39" s="296"/>
      <c r="K39" s="296"/>
      <c r="L39" s="297">
        <f t="shared" si="12"/>
        <v>0</v>
      </c>
      <c r="M39" s="298">
        <v>43573</v>
      </c>
      <c r="N39" s="298">
        <v>43603</v>
      </c>
      <c r="O39" s="459" t="s">
        <v>693</v>
      </c>
      <c r="P39" s="300"/>
      <c r="S39" s="301">
        <f t="shared" ref="S39:S76" si="13">H39*E39</f>
        <v>0</v>
      </c>
      <c r="T39" s="301">
        <f t="shared" ref="T39:T76" si="14">I39*E39</f>
        <v>0</v>
      </c>
      <c r="U39" s="301">
        <f t="shared" ref="U39:U76" si="15">J39*E39</f>
        <v>0</v>
      </c>
      <c r="V39" s="301">
        <f t="shared" ref="V39:V76" si="16">K39*E39</f>
        <v>0</v>
      </c>
    </row>
    <row r="40" spans="1:22" s="301" customFormat="1" x14ac:dyDescent="0.2">
      <c r="A40" s="319">
        <v>5342</v>
      </c>
      <c r="B40" s="353" t="s">
        <v>696</v>
      </c>
      <c r="C40" s="528" t="s">
        <v>690</v>
      </c>
      <c r="D40" s="355">
        <v>3</v>
      </c>
      <c r="E40" s="356">
        <v>31400</v>
      </c>
      <c r="F40" s="379">
        <f t="shared" si="11"/>
        <v>94200</v>
      </c>
      <c r="G40" s="296">
        <v>3</v>
      </c>
      <c r="H40" s="296"/>
      <c r="I40" s="296"/>
      <c r="J40" s="296"/>
      <c r="K40" s="357">
        <v>3</v>
      </c>
      <c r="L40" s="297">
        <f t="shared" si="12"/>
        <v>94200</v>
      </c>
      <c r="M40" s="298">
        <v>43573</v>
      </c>
      <c r="N40" s="298">
        <v>43603</v>
      </c>
      <c r="O40" s="459" t="s">
        <v>695</v>
      </c>
      <c r="P40" s="300"/>
      <c r="S40" s="301">
        <f t="shared" si="13"/>
        <v>0</v>
      </c>
      <c r="T40" s="301">
        <f t="shared" si="14"/>
        <v>0</v>
      </c>
      <c r="U40" s="301">
        <f t="shared" si="15"/>
        <v>0</v>
      </c>
      <c r="V40" s="301">
        <f t="shared" si="16"/>
        <v>94200</v>
      </c>
    </row>
    <row r="41" spans="1:22" s="301" customFormat="1" x14ac:dyDescent="0.2">
      <c r="A41" s="319">
        <v>5343</v>
      </c>
      <c r="B41" s="353" t="s">
        <v>696</v>
      </c>
      <c r="C41" s="528" t="s">
        <v>686</v>
      </c>
      <c r="D41" s="355">
        <v>12</v>
      </c>
      <c r="E41" s="356">
        <v>200</v>
      </c>
      <c r="F41" s="379">
        <f t="shared" si="11"/>
        <v>2400</v>
      </c>
      <c r="G41" s="296">
        <v>12</v>
      </c>
      <c r="H41" s="296"/>
      <c r="I41" s="296"/>
      <c r="J41" s="296"/>
      <c r="K41" s="357">
        <v>12</v>
      </c>
      <c r="L41" s="297">
        <f t="shared" si="12"/>
        <v>2400</v>
      </c>
      <c r="M41" s="298">
        <v>43573</v>
      </c>
      <c r="N41" s="298">
        <v>43603</v>
      </c>
      <c r="O41" s="459" t="s">
        <v>695</v>
      </c>
      <c r="P41" s="300"/>
      <c r="S41" s="301">
        <f t="shared" si="13"/>
        <v>0</v>
      </c>
      <c r="T41" s="301">
        <f t="shared" si="14"/>
        <v>0</v>
      </c>
      <c r="U41" s="301">
        <f t="shared" si="15"/>
        <v>0</v>
      </c>
      <c r="V41" s="301">
        <f t="shared" si="16"/>
        <v>2400</v>
      </c>
    </row>
    <row r="42" spans="1:22" s="301" customFormat="1" x14ac:dyDescent="0.2">
      <c r="A42" s="319">
        <v>5344</v>
      </c>
      <c r="B42" s="353" t="s">
        <v>696</v>
      </c>
      <c r="C42" s="528" t="s">
        <v>691</v>
      </c>
      <c r="D42" s="355">
        <v>6</v>
      </c>
      <c r="E42" s="356">
        <v>500</v>
      </c>
      <c r="F42" s="379">
        <f t="shared" si="11"/>
        <v>3000</v>
      </c>
      <c r="G42" s="296">
        <v>6</v>
      </c>
      <c r="H42" s="296"/>
      <c r="I42" s="296"/>
      <c r="J42" s="296"/>
      <c r="K42" s="357">
        <v>6</v>
      </c>
      <c r="L42" s="297">
        <f t="shared" si="12"/>
        <v>3000</v>
      </c>
      <c r="M42" s="298">
        <v>43573</v>
      </c>
      <c r="N42" s="298">
        <v>43603</v>
      </c>
      <c r="O42" s="459" t="s">
        <v>695</v>
      </c>
      <c r="P42" s="300"/>
      <c r="S42" s="301">
        <f t="shared" si="13"/>
        <v>0</v>
      </c>
      <c r="T42" s="301">
        <f t="shared" si="14"/>
        <v>0</v>
      </c>
      <c r="U42" s="301">
        <f t="shared" si="15"/>
        <v>0</v>
      </c>
      <c r="V42" s="301">
        <f t="shared" si="16"/>
        <v>3000</v>
      </c>
    </row>
    <row r="43" spans="1:22" s="301" customFormat="1" x14ac:dyDescent="0.2">
      <c r="A43" s="319">
        <v>5345</v>
      </c>
      <c r="B43" s="353" t="s">
        <v>696</v>
      </c>
      <c r="C43" s="528" t="s">
        <v>692</v>
      </c>
      <c r="D43" s="355">
        <v>6</v>
      </c>
      <c r="E43" s="356">
        <v>1450</v>
      </c>
      <c r="F43" s="379">
        <f t="shared" si="11"/>
        <v>8700</v>
      </c>
      <c r="G43" s="296">
        <v>6</v>
      </c>
      <c r="H43" s="296"/>
      <c r="I43" s="296"/>
      <c r="J43" s="296"/>
      <c r="K43" s="357">
        <v>6</v>
      </c>
      <c r="L43" s="297">
        <f t="shared" si="12"/>
        <v>8700</v>
      </c>
      <c r="M43" s="298">
        <v>43573</v>
      </c>
      <c r="N43" s="298">
        <v>43603</v>
      </c>
      <c r="O43" s="459" t="s">
        <v>695</v>
      </c>
      <c r="P43" s="300"/>
      <c r="S43" s="301">
        <f t="shared" si="13"/>
        <v>0</v>
      </c>
      <c r="T43" s="301">
        <f t="shared" si="14"/>
        <v>0</v>
      </c>
      <c r="U43" s="301">
        <f t="shared" si="15"/>
        <v>0</v>
      </c>
      <c r="V43" s="301">
        <f t="shared" si="16"/>
        <v>8700</v>
      </c>
    </row>
    <row r="44" spans="1:22" s="301" customFormat="1" x14ac:dyDescent="0.2">
      <c r="A44" s="319">
        <v>5346</v>
      </c>
      <c r="B44" s="353" t="s">
        <v>696</v>
      </c>
      <c r="C44" s="528" t="s">
        <v>692</v>
      </c>
      <c r="D44" s="355">
        <v>6</v>
      </c>
      <c r="E44" s="356">
        <v>1460</v>
      </c>
      <c r="F44" s="379">
        <f t="shared" si="11"/>
        <v>8760</v>
      </c>
      <c r="G44" s="296">
        <v>6</v>
      </c>
      <c r="H44" s="296"/>
      <c r="I44" s="296"/>
      <c r="J44" s="296"/>
      <c r="K44" s="357">
        <v>6</v>
      </c>
      <c r="L44" s="297">
        <f t="shared" si="12"/>
        <v>8760</v>
      </c>
      <c r="M44" s="298">
        <v>43573</v>
      </c>
      <c r="N44" s="298">
        <v>43603</v>
      </c>
      <c r="O44" s="459" t="s">
        <v>695</v>
      </c>
      <c r="P44" s="300"/>
      <c r="S44" s="301">
        <f t="shared" si="13"/>
        <v>0</v>
      </c>
      <c r="T44" s="301">
        <f t="shared" si="14"/>
        <v>0</v>
      </c>
      <c r="U44" s="301">
        <f t="shared" si="15"/>
        <v>0</v>
      </c>
      <c r="V44" s="301">
        <f t="shared" si="16"/>
        <v>8760</v>
      </c>
    </row>
    <row r="45" spans="1:22" s="301" customFormat="1" x14ac:dyDescent="0.2">
      <c r="A45" s="350">
        <v>5331</v>
      </c>
      <c r="B45" s="353" t="s">
        <v>706</v>
      </c>
      <c r="C45" s="528" t="s">
        <v>702</v>
      </c>
      <c r="D45" s="355">
        <v>1</v>
      </c>
      <c r="E45" s="356">
        <v>275275</v>
      </c>
      <c r="F45" s="379">
        <f t="shared" si="11"/>
        <v>275275</v>
      </c>
      <c r="G45" s="296"/>
      <c r="H45" s="296"/>
      <c r="I45" s="296"/>
      <c r="J45" s="296"/>
      <c r="K45" s="296"/>
      <c r="L45" s="297">
        <f t="shared" si="12"/>
        <v>0</v>
      </c>
      <c r="M45" s="298">
        <v>43577</v>
      </c>
      <c r="N45" s="298">
        <v>43607</v>
      </c>
      <c r="O45" s="459" t="s">
        <v>705</v>
      </c>
      <c r="P45" s="300"/>
      <c r="S45" s="301">
        <f t="shared" si="13"/>
        <v>0</v>
      </c>
      <c r="T45" s="301">
        <f t="shared" si="14"/>
        <v>0</v>
      </c>
      <c r="U45" s="301">
        <f t="shared" si="15"/>
        <v>0</v>
      </c>
      <c r="V45" s="301">
        <f t="shared" si="16"/>
        <v>0</v>
      </c>
    </row>
    <row r="46" spans="1:22" s="301" customFormat="1" x14ac:dyDescent="0.2">
      <c r="A46" s="350">
        <v>5332</v>
      </c>
      <c r="B46" s="353" t="s">
        <v>706</v>
      </c>
      <c r="C46" s="528" t="s">
        <v>703</v>
      </c>
      <c r="D46" s="355">
        <v>1</v>
      </c>
      <c r="E46" s="356">
        <v>42250</v>
      </c>
      <c r="F46" s="379">
        <f t="shared" si="11"/>
        <v>42250</v>
      </c>
      <c r="G46" s="296"/>
      <c r="H46" s="296"/>
      <c r="I46" s="296"/>
      <c r="J46" s="296"/>
      <c r="K46" s="296"/>
      <c r="L46" s="297">
        <f t="shared" ref="L46:L64" si="17">E46*(H46+I46+J46+K46)</f>
        <v>0</v>
      </c>
      <c r="M46" s="298">
        <v>43577</v>
      </c>
      <c r="N46" s="298">
        <v>43607</v>
      </c>
      <c r="O46" s="459" t="s">
        <v>705</v>
      </c>
      <c r="P46" s="300"/>
      <c r="S46" s="301">
        <f t="shared" si="13"/>
        <v>0</v>
      </c>
      <c r="T46" s="301">
        <f t="shared" si="14"/>
        <v>0</v>
      </c>
      <c r="U46" s="301">
        <f t="shared" si="15"/>
        <v>0</v>
      </c>
      <c r="V46" s="301">
        <f t="shared" si="16"/>
        <v>0</v>
      </c>
    </row>
    <row r="47" spans="1:22" s="301" customFormat="1" x14ac:dyDescent="0.2">
      <c r="A47" s="350">
        <v>5333</v>
      </c>
      <c r="B47" s="353" t="s">
        <v>706</v>
      </c>
      <c r="C47" s="528" t="s">
        <v>704</v>
      </c>
      <c r="D47" s="355">
        <v>1</v>
      </c>
      <c r="E47" s="356">
        <v>4225</v>
      </c>
      <c r="F47" s="379">
        <f t="shared" si="11"/>
        <v>4225</v>
      </c>
      <c r="G47" s="296"/>
      <c r="H47" s="296"/>
      <c r="I47" s="296"/>
      <c r="J47" s="296"/>
      <c r="K47" s="296"/>
      <c r="L47" s="297">
        <f t="shared" si="17"/>
        <v>0</v>
      </c>
      <c r="M47" s="298">
        <v>43577</v>
      </c>
      <c r="N47" s="298">
        <v>43607</v>
      </c>
      <c r="O47" s="510" t="s">
        <v>777</v>
      </c>
      <c r="P47" s="300"/>
      <c r="S47" s="301">
        <f t="shared" ref="S47:S70" si="18">H47*E47</f>
        <v>0</v>
      </c>
      <c r="T47" s="301">
        <f t="shared" ref="T47:T70" si="19">I47*E47</f>
        <v>0</v>
      </c>
      <c r="U47" s="301">
        <f t="shared" ref="U47:U70" si="20">J47*E47</f>
        <v>0</v>
      </c>
      <c r="V47" s="301">
        <f t="shared" ref="V47:V70" si="21">K47*E47</f>
        <v>0</v>
      </c>
    </row>
    <row r="48" spans="1:22" s="301" customFormat="1" x14ac:dyDescent="0.2">
      <c r="A48" s="350">
        <v>5393</v>
      </c>
      <c r="B48" s="353" t="s">
        <v>756</v>
      </c>
      <c r="C48" s="528" t="s">
        <v>755</v>
      </c>
      <c r="D48" s="355">
        <v>1</v>
      </c>
      <c r="E48" s="356">
        <v>83580</v>
      </c>
      <c r="F48" s="379">
        <f t="shared" ref="F48:F64" si="22">E48*D48</f>
        <v>83580</v>
      </c>
      <c r="G48" s="296"/>
      <c r="H48" s="296"/>
      <c r="I48" s="296"/>
      <c r="J48" s="296"/>
      <c r="K48" s="296"/>
      <c r="L48" s="297">
        <f t="shared" si="17"/>
        <v>0</v>
      </c>
      <c r="M48" s="298">
        <v>43593</v>
      </c>
      <c r="N48" s="298">
        <v>43615</v>
      </c>
      <c r="O48" s="459" t="s">
        <v>757</v>
      </c>
      <c r="P48" s="300"/>
      <c r="S48" s="301">
        <f t="shared" si="18"/>
        <v>0</v>
      </c>
      <c r="T48" s="301">
        <f t="shared" si="19"/>
        <v>0</v>
      </c>
      <c r="U48" s="301">
        <f t="shared" si="20"/>
        <v>0</v>
      </c>
      <c r="V48" s="301">
        <f t="shared" si="21"/>
        <v>0</v>
      </c>
    </row>
    <row r="49" spans="1:22" s="301" customFormat="1" x14ac:dyDescent="0.2">
      <c r="A49" s="492">
        <v>5305</v>
      </c>
      <c r="B49" s="383" t="s">
        <v>765</v>
      </c>
      <c r="C49" s="530" t="s">
        <v>763</v>
      </c>
      <c r="D49" s="355">
        <v>2</v>
      </c>
      <c r="E49" s="356">
        <v>71610</v>
      </c>
      <c r="F49" s="379">
        <f t="shared" si="22"/>
        <v>143220</v>
      </c>
      <c r="G49" s="296"/>
      <c r="H49" s="296"/>
      <c r="I49" s="296"/>
      <c r="J49" s="296"/>
      <c r="K49" s="296"/>
      <c r="L49" s="297">
        <f t="shared" si="17"/>
        <v>0</v>
      </c>
      <c r="M49" s="298">
        <v>43598</v>
      </c>
      <c r="N49" s="298">
        <v>43605</v>
      </c>
      <c r="O49" s="510" t="s">
        <v>764</v>
      </c>
      <c r="P49" s="300"/>
      <c r="S49" s="301">
        <f t="shared" si="18"/>
        <v>0</v>
      </c>
      <c r="T49" s="301">
        <f t="shared" si="19"/>
        <v>0</v>
      </c>
      <c r="U49" s="301">
        <f t="shared" si="20"/>
        <v>0</v>
      </c>
      <c r="V49" s="301">
        <f t="shared" si="21"/>
        <v>0</v>
      </c>
    </row>
    <row r="50" spans="1:22" s="301" customFormat="1" x14ac:dyDescent="0.2">
      <c r="A50" s="492">
        <v>5399</v>
      </c>
      <c r="B50" s="383" t="s">
        <v>484</v>
      </c>
      <c r="C50" s="530" t="s">
        <v>767</v>
      </c>
      <c r="D50" s="355">
        <v>1</v>
      </c>
      <c r="E50" s="356">
        <v>25000</v>
      </c>
      <c r="F50" s="379">
        <f t="shared" si="22"/>
        <v>25000</v>
      </c>
      <c r="G50" s="296">
        <v>1</v>
      </c>
      <c r="H50" s="296"/>
      <c r="I50" s="296"/>
      <c r="J50" s="296"/>
      <c r="K50" s="296"/>
      <c r="L50" s="297">
        <f t="shared" si="17"/>
        <v>0</v>
      </c>
      <c r="M50" s="298"/>
      <c r="N50" s="298"/>
      <c r="O50" s="510" t="s">
        <v>766</v>
      </c>
      <c r="P50" s="300"/>
      <c r="S50" s="301">
        <f t="shared" si="18"/>
        <v>0</v>
      </c>
      <c r="T50" s="301">
        <f t="shared" si="19"/>
        <v>0</v>
      </c>
      <c r="U50" s="301">
        <f t="shared" si="20"/>
        <v>0</v>
      </c>
      <c r="V50" s="301">
        <f t="shared" si="21"/>
        <v>0</v>
      </c>
    </row>
    <row r="51" spans="1:22" s="301" customFormat="1" x14ac:dyDescent="0.2">
      <c r="A51" s="517">
        <v>5494</v>
      </c>
      <c r="B51" s="506" t="s">
        <v>775</v>
      </c>
      <c r="C51" s="531" t="s">
        <v>768</v>
      </c>
      <c r="D51" s="512">
        <v>1</v>
      </c>
      <c r="E51" s="513">
        <v>28336</v>
      </c>
      <c r="F51" s="379">
        <f t="shared" si="22"/>
        <v>28336</v>
      </c>
      <c r="G51" s="296">
        <v>1</v>
      </c>
      <c r="H51" s="296"/>
      <c r="I51" s="296"/>
      <c r="J51" s="296"/>
      <c r="K51" s="357">
        <v>1</v>
      </c>
      <c r="L51" s="297">
        <f t="shared" si="17"/>
        <v>28336</v>
      </c>
      <c r="M51" s="298">
        <v>43601</v>
      </c>
      <c r="N51" s="298">
        <v>43616</v>
      </c>
      <c r="O51" s="510" t="s">
        <v>774</v>
      </c>
      <c r="P51" s="300"/>
    </row>
    <row r="52" spans="1:22" s="301" customFormat="1" x14ac:dyDescent="0.2">
      <c r="A52" s="517">
        <v>5486</v>
      </c>
      <c r="B52" s="506" t="s">
        <v>776</v>
      </c>
      <c r="C52" s="531" t="s">
        <v>481</v>
      </c>
      <c r="D52" s="512">
        <v>4</v>
      </c>
      <c r="E52" s="356">
        <v>9782.5</v>
      </c>
      <c r="F52" s="379">
        <f t="shared" si="22"/>
        <v>39130</v>
      </c>
      <c r="G52" s="296">
        <v>4</v>
      </c>
      <c r="H52" s="296"/>
      <c r="I52" s="296"/>
      <c r="J52" s="296"/>
      <c r="K52" s="357">
        <v>4</v>
      </c>
      <c r="L52" s="297">
        <f t="shared" si="17"/>
        <v>39130</v>
      </c>
      <c r="M52" s="298">
        <v>43601</v>
      </c>
      <c r="N52" s="298">
        <v>43615</v>
      </c>
      <c r="O52" s="510" t="s">
        <v>782</v>
      </c>
      <c r="P52" s="300"/>
    </row>
    <row r="53" spans="1:22" s="301" customFormat="1" x14ac:dyDescent="0.2">
      <c r="A53" s="517">
        <v>5487</v>
      </c>
      <c r="B53" s="506" t="s">
        <v>776</v>
      </c>
      <c r="C53" s="531" t="s">
        <v>769</v>
      </c>
      <c r="D53" s="512">
        <v>4</v>
      </c>
      <c r="E53" s="356">
        <v>20338.5</v>
      </c>
      <c r="F53" s="379">
        <f t="shared" si="22"/>
        <v>81354</v>
      </c>
      <c r="G53" s="296">
        <v>4</v>
      </c>
      <c r="H53" s="296"/>
      <c r="I53" s="296"/>
      <c r="J53" s="296"/>
      <c r="K53" s="357">
        <v>4</v>
      </c>
      <c r="L53" s="297">
        <f t="shared" si="17"/>
        <v>81354</v>
      </c>
      <c r="M53" s="298">
        <v>43601</v>
      </c>
      <c r="N53" s="298">
        <v>43615</v>
      </c>
      <c r="O53" s="510" t="s">
        <v>782</v>
      </c>
      <c r="P53" s="300"/>
    </row>
    <row r="54" spans="1:22" s="301" customFormat="1" x14ac:dyDescent="0.2">
      <c r="A54" s="517">
        <v>5517</v>
      </c>
      <c r="B54" s="506" t="s">
        <v>802</v>
      </c>
      <c r="C54" s="531" t="s">
        <v>800</v>
      </c>
      <c r="D54" s="512">
        <v>1</v>
      </c>
      <c r="E54" s="356">
        <v>8100</v>
      </c>
      <c r="F54" s="379">
        <f t="shared" si="22"/>
        <v>8100</v>
      </c>
      <c r="G54" s="296">
        <v>1</v>
      </c>
      <c r="H54" s="296"/>
      <c r="I54" s="296"/>
      <c r="J54" s="296"/>
      <c r="K54" s="357">
        <v>1</v>
      </c>
      <c r="L54" s="297">
        <f t="shared" si="17"/>
        <v>8100</v>
      </c>
      <c r="M54" s="298">
        <v>43607</v>
      </c>
      <c r="N54" s="298"/>
      <c r="O54" s="510" t="s">
        <v>803</v>
      </c>
      <c r="P54" s="300"/>
    </row>
    <row r="55" spans="1:22" s="301" customFormat="1" x14ac:dyDescent="0.2">
      <c r="A55" s="517">
        <v>5518</v>
      </c>
      <c r="B55" s="506" t="s">
        <v>802</v>
      </c>
      <c r="C55" s="531" t="s">
        <v>231</v>
      </c>
      <c r="D55" s="512">
        <v>1</v>
      </c>
      <c r="E55" s="356">
        <v>13717.5</v>
      </c>
      <c r="F55" s="379">
        <f t="shared" si="22"/>
        <v>13717.5</v>
      </c>
      <c r="G55" s="296">
        <v>1</v>
      </c>
      <c r="H55" s="296"/>
      <c r="I55" s="296"/>
      <c r="J55" s="296"/>
      <c r="K55" s="357">
        <v>1</v>
      </c>
      <c r="L55" s="297">
        <f t="shared" si="17"/>
        <v>13717.5</v>
      </c>
      <c r="M55" s="298">
        <v>43607</v>
      </c>
      <c r="N55" s="298"/>
      <c r="O55" s="510" t="s">
        <v>803</v>
      </c>
      <c r="P55" s="300"/>
    </row>
    <row r="56" spans="1:22" s="301" customFormat="1" x14ac:dyDescent="0.2">
      <c r="A56" s="517">
        <v>5519</v>
      </c>
      <c r="B56" s="506" t="s">
        <v>802</v>
      </c>
      <c r="C56" s="531" t="s">
        <v>801</v>
      </c>
      <c r="D56" s="512">
        <v>2</v>
      </c>
      <c r="E56" s="356">
        <v>7477.5</v>
      </c>
      <c r="F56" s="379">
        <f t="shared" si="22"/>
        <v>14955</v>
      </c>
      <c r="G56" s="296">
        <v>2</v>
      </c>
      <c r="H56" s="296"/>
      <c r="I56" s="296"/>
      <c r="J56" s="296"/>
      <c r="K56" s="357">
        <v>2</v>
      </c>
      <c r="L56" s="297">
        <f t="shared" si="17"/>
        <v>14955</v>
      </c>
      <c r="M56" s="298">
        <v>43607</v>
      </c>
      <c r="N56" s="298"/>
      <c r="O56" s="510" t="s">
        <v>803</v>
      </c>
      <c r="P56" s="300"/>
    </row>
    <row r="57" spans="1:22" s="301" customFormat="1" x14ac:dyDescent="0.2">
      <c r="A57" s="517">
        <v>5520</v>
      </c>
      <c r="B57" s="506" t="s">
        <v>804</v>
      </c>
      <c r="C57" s="531" t="s">
        <v>576</v>
      </c>
      <c r="D57" s="512">
        <v>6</v>
      </c>
      <c r="E57" s="356">
        <v>10264</v>
      </c>
      <c r="F57" s="379">
        <f t="shared" si="22"/>
        <v>61584</v>
      </c>
      <c r="G57" s="296">
        <v>6</v>
      </c>
      <c r="H57" s="296"/>
      <c r="I57" s="296"/>
      <c r="J57" s="296"/>
      <c r="K57" s="357">
        <v>6</v>
      </c>
      <c r="L57" s="297">
        <f t="shared" si="17"/>
        <v>61584</v>
      </c>
      <c r="M57" s="298">
        <v>43607</v>
      </c>
      <c r="N57" s="298"/>
      <c r="O57" s="510" t="s">
        <v>805</v>
      </c>
      <c r="P57" s="300"/>
    </row>
    <row r="58" spans="1:22" s="301" customFormat="1" x14ac:dyDescent="0.2">
      <c r="A58" s="511">
        <v>5470</v>
      </c>
      <c r="B58" s="506" t="s">
        <v>824</v>
      </c>
      <c r="C58" s="531" t="s">
        <v>821</v>
      </c>
      <c r="D58" s="512">
        <v>2</v>
      </c>
      <c r="E58" s="356">
        <v>5940</v>
      </c>
      <c r="F58" s="379"/>
      <c r="G58" s="296"/>
      <c r="H58" s="296"/>
      <c r="I58" s="296"/>
      <c r="J58" s="296"/>
      <c r="K58" s="296"/>
      <c r="L58" s="297">
        <f t="shared" si="17"/>
        <v>0</v>
      </c>
      <c r="M58" s="298">
        <v>43614</v>
      </c>
      <c r="N58" s="298">
        <v>43635</v>
      </c>
      <c r="O58" s="510" t="s">
        <v>825</v>
      </c>
      <c r="P58" s="300"/>
    </row>
    <row r="59" spans="1:22" s="301" customFormat="1" x14ac:dyDescent="0.2">
      <c r="A59" s="511">
        <v>5471</v>
      </c>
      <c r="B59" s="506" t="s">
        <v>824</v>
      </c>
      <c r="C59" s="531" t="s">
        <v>822</v>
      </c>
      <c r="D59" s="512">
        <v>2</v>
      </c>
      <c r="E59" s="356">
        <v>5852</v>
      </c>
      <c r="F59" s="379"/>
      <c r="G59" s="296"/>
      <c r="H59" s="296"/>
      <c r="I59" s="296"/>
      <c r="J59" s="296"/>
      <c r="K59" s="296"/>
      <c r="L59" s="297">
        <f t="shared" si="17"/>
        <v>0</v>
      </c>
      <c r="M59" s="298">
        <v>43614</v>
      </c>
      <c r="N59" s="298">
        <v>43635</v>
      </c>
      <c r="O59" s="510" t="s">
        <v>825</v>
      </c>
      <c r="P59" s="300"/>
    </row>
    <row r="60" spans="1:22" s="301" customFormat="1" x14ac:dyDescent="0.2">
      <c r="A60" s="511">
        <v>5472</v>
      </c>
      <c r="B60" s="506" t="s">
        <v>824</v>
      </c>
      <c r="C60" s="531" t="s">
        <v>823</v>
      </c>
      <c r="D60" s="512">
        <v>4</v>
      </c>
      <c r="E60" s="356">
        <v>1320</v>
      </c>
      <c r="F60" s="379"/>
      <c r="G60" s="296"/>
      <c r="H60" s="296"/>
      <c r="I60" s="296"/>
      <c r="J60" s="296"/>
      <c r="K60" s="296"/>
      <c r="L60" s="297">
        <f t="shared" si="17"/>
        <v>0</v>
      </c>
      <c r="M60" s="298">
        <v>43614</v>
      </c>
      <c r="N60" s="298">
        <v>43635</v>
      </c>
      <c r="O60" s="510" t="s">
        <v>825</v>
      </c>
      <c r="P60" s="300"/>
    </row>
    <row r="61" spans="1:22" s="301" customFormat="1" x14ac:dyDescent="0.2">
      <c r="A61" s="350"/>
      <c r="B61" s="320"/>
      <c r="C61" s="528"/>
      <c r="D61" s="355"/>
      <c r="E61" s="503"/>
      <c r="F61" s="379">
        <f t="shared" si="22"/>
        <v>0</v>
      </c>
      <c r="G61" s="296"/>
      <c r="H61" s="296"/>
      <c r="I61" s="296"/>
      <c r="J61" s="296"/>
      <c r="K61" s="296"/>
      <c r="L61" s="297">
        <f t="shared" si="17"/>
        <v>0</v>
      </c>
      <c r="M61" s="298"/>
      <c r="N61" s="298"/>
      <c r="O61" s="393"/>
      <c r="P61" s="300"/>
      <c r="S61" s="301">
        <f t="shared" si="18"/>
        <v>0</v>
      </c>
      <c r="T61" s="301">
        <f t="shared" si="19"/>
        <v>0</v>
      </c>
      <c r="U61" s="301">
        <f t="shared" si="20"/>
        <v>0</v>
      </c>
      <c r="V61" s="301">
        <f t="shared" si="21"/>
        <v>0</v>
      </c>
    </row>
    <row r="62" spans="1:22" s="301" customFormat="1" x14ac:dyDescent="0.2">
      <c r="A62" s="290">
        <v>4924</v>
      </c>
      <c r="B62" s="353" t="s">
        <v>284</v>
      </c>
      <c r="C62" s="529" t="s">
        <v>602</v>
      </c>
      <c r="D62" s="293">
        <v>1</v>
      </c>
      <c r="E62" s="361">
        <v>2650</v>
      </c>
      <c r="F62" s="379">
        <f t="shared" si="22"/>
        <v>2650</v>
      </c>
      <c r="G62" s="296"/>
      <c r="H62" s="296"/>
      <c r="I62" s="296"/>
      <c r="J62" s="296"/>
      <c r="K62" s="296"/>
      <c r="L62" s="297">
        <f t="shared" si="17"/>
        <v>0</v>
      </c>
      <c r="M62" s="298">
        <v>43502</v>
      </c>
      <c r="N62" s="298" t="s">
        <v>401</v>
      </c>
      <c r="O62" s="315"/>
      <c r="P62" s="300"/>
      <c r="S62" s="301">
        <f t="shared" si="18"/>
        <v>0</v>
      </c>
      <c r="T62" s="301">
        <f t="shared" si="19"/>
        <v>0</v>
      </c>
      <c r="U62" s="301">
        <f t="shared" si="20"/>
        <v>0</v>
      </c>
      <c r="V62" s="301">
        <f t="shared" si="21"/>
        <v>0</v>
      </c>
    </row>
    <row r="63" spans="1:22" s="301" customFormat="1" x14ac:dyDescent="0.2">
      <c r="A63" s="350">
        <v>5355</v>
      </c>
      <c r="B63" s="353" t="s">
        <v>284</v>
      </c>
      <c r="C63" s="528" t="s">
        <v>711</v>
      </c>
      <c r="D63" s="355">
        <v>2</v>
      </c>
      <c r="E63" s="323">
        <v>1500</v>
      </c>
      <c r="F63" s="379">
        <f t="shared" si="22"/>
        <v>3000</v>
      </c>
      <c r="G63" s="296">
        <v>2</v>
      </c>
      <c r="H63" s="357">
        <v>2</v>
      </c>
      <c r="I63" s="296"/>
      <c r="J63" s="296"/>
      <c r="K63" s="296"/>
      <c r="L63" s="297">
        <f t="shared" si="17"/>
        <v>3000</v>
      </c>
      <c r="M63" s="298" t="s">
        <v>712</v>
      </c>
      <c r="N63" s="298">
        <v>43585</v>
      </c>
      <c r="O63" s="315"/>
      <c r="P63" s="300"/>
      <c r="S63" s="301">
        <f t="shared" si="18"/>
        <v>3000</v>
      </c>
      <c r="T63" s="301">
        <f t="shared" si="19"/>
        <v>0</v>
      </c>
      <c r="U63" s="301">
        <f t="shared" si="20"/>
        <v>0</v>
      </c>
      <c r="V63" s="301">
        <f t="shared" si="21"/>
        <v>0</v>
      </c>
    </row>
    <row r="64" spans="1:22" s="301" customFormat="1" x14ac:dyDescent="0.2">
      <c r="A64" s="350">
        <v>5394</v>
      </c>
      <c r="B64" s="353" t="s">
        <v>284</v>
      </c>
      <c r="C64" s="528" t="s">
        <v>724</v>
      </c>
      <c r="D64" s="355">
        <v>2</v>
      </c>
      <c r="E64" s="356">
        <v>3100</v>
      </c>
      <c r="F64" s="379">
        <f t="shared" si="22"/>
        <v>6200</v>
      </c>
      <c r="G64" s="296"/>
      <c r="H64" s="296"/>
      <c r="I64" s="296"/>
      <c r="J64" s="296"/>
      <c r="K64" s="296"/>
      <c r="L64" s="297">
        <f t="shared" si="17"/>
        <v>0</v>
      </c>
      <c r="M64" s="298"/>
      <c r="N64" s="298"/>
      <c r="O64" s="315"/>
      <c r="P64" s="300"/>
      <c r="S64" s="301">
        <f t="shared" si="18"/>
        <v>0</v>
      </c>
      <c r="T64" s="301">
        <f t="shared" si="19"/>
        <v>0</v>
      </c>
      <c r="U64" s="301">
        <f t="shared" si="20"/>
        <v>0</v>
      </c>
      <c r="V64" s="301">
        <f t="shared" si="21"/>
        <v>0</v>
      </c>
    </row>
    <row r="65" spans="1:22" s="301" customFormat="1" x14ac:dyDescent="0.2">
      <c r="A65" s="319">
        <v>5395</v>
      </c>
      <c r="B65" s="353" t="s">
        <v>284</v>
      </c>
      <c r="C65" s="528" t="s">
        <v>725</v>
      </c>
      <c r="D65" s="355">
        <v>2</v>
      </c>
      <c r="E65" s="356">
        <v>1500</v>
      </c>
      <c r="F65" s="379">
        <f t="shared" ref="F65:F70" si="23">E65*D65</f>
        <v>3000</v>
      </c>
      <c r="G65" s="296">
        <v>2</v>
      </c>
      <c r="H65" s="296"/>
      <c r="I65" s="357">
        <v>2</v>
      </c>
      <c r="J65" s="296"/>
      <c r="K65" s="296"/>
      <c r="L65" s="297">
        <f t="shared" ref="L65:L70" si="24">E65*(H65+I65+J65+K65)</f>
        <v>3000</v>
      </c>
      <c r="M65" s="298"/>
      <c r="N65" s="298"/>
      <c r="O65" s="315"/>
      <c r="P65" s="300"/>
      <c r="S65" s="301">
        <f t="shared" si="18"/>
        <v>0</v>
      </c>
      <c r="T65" s="301">
        <f t="shared" si="19"/>
        <v>3000</v>
      </c>
      <c r="U65" s="301">
        <f t="shared" si="20"/>
        <v>0</v>
      </c>
      <c r="V65" s="301">
        <f t="shared" si="21"/>
        <v>0</v>
      </c>
    </row>
    <row r="66" spans="1:22" s="301" customFormat="1" x14ac:dyDescent="0.2">
      <c r="A66" s="319">
        <v>5396</v>
      </c>
      <c r="B66" s="353" t="s">
        <v>284</v>
      </c>
      <c r="C66" s="528" t="s">
        <v>204</v>
      </c>
      <c r="D66" s="355">
        <v>2</v>
      </c>
      <c r="E66" s="356">
        <v>1980</v>
      </c>
      <c r="F66" s="379">
        <f t="shared" si="23"/>
        <v>3960</v>
      </c>
      <c r="G66" s="296"/>
      <c r="H66" s="296"/>
      <c r="I66" s="296"/>
      <c r="J66" s="296"/>
      <c r="K66" s="296"/>
      <c r="L66" s="297">
        <f t="shared" si="24"/>
        <v>0</v>
      </c>
      <c r="M66" s="298"/>
      <c r="N66" s="298"/>
      <c r="O66" s="315"/>
      <c r="P66" s="300"/>
      <c r="S66" s="301">
        <f t="shared" si="18"/>
        <v>0</v>
      </c>
      <c r="T66" s="301">
        <f t="shared" si="19"/>
        <v>0</v>
      </c>
      <c r="U66" s="301">
        <f t="shared" si="20"/>
        <v>0</v>
      </c>
      <c r="V66" s="301">
        <f t="shared" si="21"/>
        <v>0</v>
      </c>
    </row>
    <row r="67" spans="1:22" s="301" customFormat="1" x14ac:dyDescent="0.2">
      <c r="A67" s="290">
        <v>5466</v>
      </c>
      <c r="B67" s="353" t="s">
        <v>284</v>
      </c>
      <c r="C67" s="529" t="s">
        <v>197</v>
      </c>
      <c r="D67" s="293">
        <v>1</v>
      </c>
      <c r="E67" s="361">
        <v>1320</v>
      </c>
      <c r="F67" s="379">
        <f t="shared" si="23"/>
        <v>1320</v>
      </c>
      <c r="G67" s="296">
        <v>1</v>
      </c>
      <c r="H67" s="296"/>
      <c r="I67" s="352">
        <v>1</v>
      </c>
      <c r="J67" s="296"/>
      <c r="K67" s="296"/>
      <c r="L67" s="297">
        <f t="shared" si="24"/>
        <v>1320</v>
      </c>
      <c r="M67" s="298">
        <v>43591</v>
      </c>
      <c r="N67" s="298">
        <v>43598</v>
      </c>
      <c r="O67" s="315"/>
      <c r="P67" s="300"/>
      <c r="S67" s="301">
        <f t="shared" si="18"/>
        <v>0</v>
      </c>
      <c r="T67" s="301">
        <f t="shared" si="19"/>
        <v>1320</v>
      </c>
      <c r="U67" s="301">
        <f t="shared" si="20"/>
        <v>0</v>
      </c>
      <c r="V67" s="301">
        <f t="shared" si="21"/>
        <v>0</v>
      </c>
    </row>
    <row r="68" spans="1:22" s="301" customFormat="1" x14ac:dyDescent="0.2">
      <c r="A68" s="290">
        <v>5467</v>
      </c>
      <c r="B68" s="353" t="s">
        <v>284</v>
      </c>
      <c r="C68" s="529" t="s">
        <v>750</v>
      </c>
      <c r="D68" s="293">
        <v>2</v>
      </c>
      <c r="E68" s="361">
        <v>700</v>
      </c>
      <c r="F68" s="379">
        <f t="shared" si="23"/>
        <v>1400</v>
      </c>
      <c r="G68" s="296">
        <v>2</v>
      </c>
      <c r="H68" s="296"/>
      <c r="I68" s="352">
        <v>2</v>
      </c>
      <c r="J68" s="296"/>
      <c r="K68" s="296"/>
      <c r="L68" s="297">
        <f t="shared" si="24"/>
        <v>1400</v>
      </c>
      <c r="M68" s="298">
        <v>43591</v>
      </c>
      <c r="N68" s="298">
        <v>43598</v>
      </c>
      <c r="O68" s="315"/>
      <c r="P68" s="300"/>
      <c r="S68" s="301">
        <f t="shared" si="18"/>
        <v>0</v>
      </c>
      <c r="T68" s="301">
        <f t="shared" si="19"/>
        <v>1400</v>
      </c>
      <c r="U68" s="301">
        <f t="shared" si="20"/>
        <v>0</v>
      </c>
      <c r="V68" s="301">
        <f t="shared" si="21"/>
        <v>0</v>
      </c>
    </row>
    <row r="69" spans="1:22" s="301" customFormat="1" x14ac:dyDescent="0.2">
      <c r="A69" s="319"/>
      <c r="B69" s="353"/>
      <c r="C69" s="528"/>
      <c r="D69" s="355"/>
      <c r="E69" s="356"/>
      <c r="F69" s="379">
        <f t="shared" si="23"/>
        <v>0</v>
      </c>
      <c r="G69" s="296"/>
      <c r="H69" s="296"/>
      <c r="I69" s="296"/>
      <c r="J69" s="296"/>
      <c r="K69" s="296"/>
      <c r="L69" s="297">
        <f t="shared" si="24"/>
        <v>0</v>
      </c>
      <c r="M69" s="298"/>
      <c r="N69" s="298"/>
      <c r="O69" s="315"/>
      <c r="P69" s="300"/>
      <c r="S69" s="301">
        <f t="shared" si="18"/>
        <v>0</v>
      </c>
      <c r="T69" s="301">
        <f t="shared" si="19"/>
        <v>0</v>
      </c>
      <c r="U69" s="301">
        <f t="shared" si="20"/>
        <v>0</v>
      </c>
      <c r="V69" s="301">
        <f t="shared" si="21"/>
        <v>0</v>
      </c>
    </row>
    <row r="70" spans="1:22" s="301" customFormat="1" x14ac:dyDescent="0.2">
      <c r="A70" s="319">
        <v>5252</v>
      </c>
      <c r="B70" s="353" t="s">
        <v>477</v>
      </c>
      <c r="C70" s="528" t="s">
        <v>603</v>
      </c>
      <c r="D70" s="355">
        <v>1</v>
      </c>
      <c r="E70" s="356">
        <v>2650</v>
      </c>
      <c r="F70" s="379">
        <f t="shared" si="23"/>
        <v>2650</v>
      </c>
      <c r="G70" s="296">
        <v>1</v>
      </c>
      <c r="H70" s="296"/>
      <c r="I70" s="296"/>
      <c r="J70" s="296"/>
      <c r="K70" s="352">
        <v>1</v>
      </c>
      <c r="L70" s="297">
        <f t="shared" si="24"/>
        <v>2650</v>
      </c>
      <c r="M70" s="298"/>
      <c r="N70" s="298"/>
      <c r="O70" s="315"/>
      <c r="P70" s="300"/>
      <c r="S70" s="301">
        <f t="shared" si="18"/>
        <v>0</v>
      </c>
      <c r="T70" s="301">
        <f t="shared" si="19"/>
        <v>0</v>
      </c>
      <c r="U70" s="301">
        <f t="shared" si="20"/>
        <v>0</v>
      </c>
      <c r="V70" s="301">
        <f t="shared" si="21"/>
        <v>2650</v>
      </c>
    </row>
    <row r="71" spans="1:22" s="301" customFormat="1" x14ac:dyDescent="0.2">
      <c r="A71" s="319"/>
      <c r="B71" s="353"/>
      <c r="C71" s="532"/>
      <c r="D71" s="322"/>
      <c r="E71" s="323"/>
      <c r="F71" s="379">
        <f t="shared" ref="F71:F74" si="25">E71*D71</f>
        <v>0</v>
      </c>
      <c r="G71" s="296"/>
      <c r="H71" s="296"/>
      <c r="I71" s="296"/>
      <c r="J71" s="296"/>
      <c r="K71" s="296"/>
      <c r="L71" s="297">
        <f t="shared" si="12"/>
        <v>0</v>
      </c>
      <c r="M71" s="298"/>
      <c r="N71" s="298"/>
      <c r="O71" s="315"/>
      <c r="P71" s="300"/>
      <c r="S71" s="301">
        <f t="shared" si="13"/>
        <v>0</v>
      </c>
      <c r="T71" s="301">
        <f t="shared" si="14"/>
        <v>0</v>
      </c>
      <c r="U71" s="301">
        <f t="shared" si="15"/>
        <v>0</v>
      </c>
      <c r="V71" s="301">
        <f t="shared" si="16"/>
        <v>0</v>
      </c>
    </row>
    <row r="72" spans="1:22" s="301" customFormat="1" x14ac:dyDescent="0.2">
      <c r="A72" s="319">
        <v>5086</v>
      </c>
      <c r="B72" s="353" t="s">
        <v>486</v>
      </c>
      <c r="C72" s="528" t="s">
        <v>644</v>
      </c>
      <c r="D72" s="355">
        <v>2</v>
      </c>
      <c r="E72" s="356">
        <v>13100</v>
      </c>
      <c r="F72" s="379">
        <f t="shared" si="25"/>
        <v>26200</v>
      </c>
      <c r="G72" s="296">
        <v>2</v>
      </c>
      <c r="H72" s="457"/>
      <c r="I72" s="357">
        <v>2</v>
      </c>
      <c r="J72" s="296"/>
      <c r="K72" s="296"/>
      <c r="L72" s="297">
        <f t="shared" si="12"/>
        <v>26200</v>
      </c>
      <c r="M72" s="298">
        <v>43559</v>
      </c>
      <c r="N72" s="298">
        <v>43581</v>
      </c>
      <c r="O72" s="315"/>
      <c r="P72" s="300"/>
      <c r="S72" s="301">
        <f t="shared" si="13"/>
        <v>0</v>
      </c>
      <c r="T72" s="301">
        <f t="shared" si="14"/>
        <v>26200</v>
      </c>
      <c r="U72" s="301">
        <f t="shared" si="15"/>
        <v>0</v>
      </c>
      <c r="V72" s="301">
        <f t="shared" si="16"/>
        <v>0</v>
      </c>
    </row>
    <row r="73" spans="1:22" s="301" customFormat="1" x14ac:dyDescent="0.2">
      <c r="A73" s="319">
        <v>5087</v>
      </c>
      <c r="B73" s="353" t="s">
        <v>486</v>
      </c>
      <c r="C73" s="528" t="s">
        <v>487</v>
      </c>
      <c r="D73" s="355">
        <v>2</v>
      </c>
      <c r="E73" s="356">
        <v>10600</v>
      </c>
      <c r="F73" s="379">
        <f t="shared" si="25"/>
        <v>21200</v>
      </c>
      <c r="G73" s="296">
        <v>2</v>
      </c>
      <c r="H73" s="457"/>
      <c r="I73" s="357">
        <v>2</v>
      </c>
      <c r="J73" s="296"/>
      <c r="K73" s="296"/>
      <c r="L73" s="297">
        <f t="shared" si="12"/>
        <v>21200</v>
      </c>
      <c r="M73" s="298">
        <v>43559</v>
      </c>
      <c r="N73" s="298">
        <v>43581</v>
      </c>
      <c r="O73" s="315"/>
      <c r="P73" s="300"/>
      <c r="S73" s="301">
        <f t="shared" si="13"/>
        <v>0</v>
      </c>
      <c r="T73" s="301">
        <f t="shared" si="14"/>
        <v>21200</v>
      </c>
      <c r="U73" s="301">
        <f t="shared" si="15"/>
        <v>0</v>
      </c>
      <c r="V73" s="301">
        <f t="shared" si="16"/>
        <v>0</v>
      </c>
    </row>
    <row r="74" spans="1:22" s="301" customFormat="1" x14ac:dyDescent="0.2">
      <c r="A74" s="319"/>
      <c r="B74" s="353"/>
      <c r="C74" s="532"/>
      <c r="D74" s="322"/>
      <c r="E74" s="323"/>
      <c r="F74" s="379">
        <f t="shared" si="25"/>
        <v>0</v>
      </c>
      <c r="G74" s="296"/>
      <c r="H74" s="296"/>
      <c r="I74" s="296"/>
      <c r="J74" s="296"/>
      <c r="K74" s="296"/>
      <c r="L74" s="297">
        <f t="shared" si="12"/>
        <v>0</v>
      </c>
      <c r="M74" s="298"/>
      <c r="N74" s="298"/>
      <c r="O74" s="315"/>
      <c r="P74" s="300"/>
      <c r="S74" s="301">
        <f t="shared" si="13"/>
        <v>0</v>
      </c>
      <c r="T74" s="301">
        <f t="shared" si="14"/>
        <v>0</v>
      </c>
      <c r="U74" s="301">
        <f t="shared" si="15"/>
        <v>0</v>
      </c>
      <c r="V74" s="301">
        <f t="shared" si="16"/>
        <v>0</v>
      </c>
    </row>
    <row r="75" spans="1:22" s="301" customFormat="1" x14ac:dyDescent="0.2">
      <c r="A75" s="319">
        <v>5282</v>
      </c>
      <c r="B75" s="353" t="s">
        <v>605</v>
      </c>
      <c r="C75" s="532" t="s">
        <v>638</v>
      </c>
      <c r="D75" s="322"/>
      <c r="E75" s="323">
        <v>3105.5</v>
      </c>
      <c r="F75" s="379">
        <f t="shared" ref="F75:F76" si="26">E75*D75</f>
        <v>0</v>
      </c>
      <c r="G75" s="296"/>
      <c r="H75" s="296"/>
      <c r="I75" s="296"/>
      <c r="J75" s="296"/>
      <c r="K75" s="296"/>
      <c r="L75" s="297">
        <f t="shared" ref="L75:L97" si="27">E75*(H75+I75+J75+K75)</f>
        <v>0</v>
      </c>
      <c r="M75" s="298"/>
      <c r="N75" s="298"/>
      <c r="O75" s="315"/>
      <c r="P75" s="300"/>
      <c r="S75" s="301">
        <f t="shared" si="13"/>
        <v>0</v>
      </c>
      <c r="T75" s="301">
        <f t="shared" si="14"/>
        <v>0</v>
      </c>
      <c r="U75" s="301">
        <f t="shared" si="15"/>
        <v>0</v>
      </c>
      <c r="V75" s="301">
        <f t="shared" si="16"/>
        <v>0</v>
      </c>
    </row>
    <row r="76" spans="1:22" s="301" customFormat="1" x14ac:dyDescent="0.2">
      <c r="A76" s="319">
        <v>5283</v>
      </c>
      <c r="B76" s="353" t="s">
        <v>605</v>
      </c>
      <c r="C76" s="532" t="s">
        <v>639</v>
      </c>
      <c r="D76" s="322"/>
      <c r="E76" s="323">
        <v>2143</v>
      </c>
      <c r="F76" s="379">
        <f t="shared" si="26"/>
        <v>0</v>
      </c>
      <c r="G76" s="296"/>
      <c r="H76" s="296"/>
      <c r="I76" s="296"/>
      <c r="J76" s="296"/>
      <c r="K76" s="296"/>
      <c r="L76" s="297">
        <f t="shared" si="27"/>
        <v>0</v>
      </c>
      <c r="M76" s="298"/>
      <c r="N76" s="298"/>
      <c r="O76" s="315"/>
      <c r="P76" s="300"/>
      <c r="S76" s="301">
        <f t="shared" si="13"/>
        <v>0</v>
      </c>
      <c r="T76" s="301">
        <f t="shared" si="14"/>
        <v>0</v>
      </c>
      <c r="U76" s="301">
        <f t="shared" si="15"/>
        <v>0</v>
      </c>
      <c r="V76" s="301">
        <f t="shared" si="16"/>
        <v>0</v>
      </c>
    </row>
    <row r="77" spans="1:22" s="301" customFormat="1" x14ac:dyDescent="0.2">
      <c r="A77" s="319">
        <v>5375</v>
      </c>
      <c r="B77" s="353" t="s">
        <v>605</v>
      </c>
      <c r="C77" s="528" t="s">
        <v>606</v>
      </c>
      <c r="D77" s="355">
        <v>2</v>
      </c>
      <c r="E77" s="356">
        <v>6650</v>
      </c>
      <c r="F77" s="379">
        <f t="shared" ref="F77:F80" si="28">E77*D77</f>
        <v>13300</v>
      </c>
      <c r="G77" s="296">
        <v>2</v>
      </c>
      <c r="H77" s="296"/>
      <c r="I77" s="296"/>
      <c r="J77" s="357">
        <v>2</v>
      </c>
      <c r="K77" s="296"/>
      <c r="L77" s="297">
        <f t="shared" si="27"/>
        <v>13300</v>
      </c>
      <c r="M77" s="298">
        <v>43578</v>
      </c>
      <c r="N77" s="298">
        <v>43607</v>
      </c>
      <c r="O77" s="315"/>
      <c r="P77" s="300"/>
      <c r="S77" s="301">
        <f t="shared" ref="S77:S124" si="29">H77*E77</f>
        <v>0</v>
      </c>
      <c r="T77" s="301">
        <f t="shared" ref="T77:T124" si="30">I77*E77</f>
        <v>0</v>
      </c>
      <c r="U77" s="301">
        <f t="shared" ref="U77:U124" si="31">J77*E77</f>
        <v>13300</v>
      </c>
      <c r="V77" s="301">
        <f t="shared" ref="V77:V124" si="32">K77*E77</f>
        <v>0</v>
      </c>
    </row>
    <row r="78" spans="1:22" s="301" customFormat="1" x14ac:dyDescent="0.2">
      <c r="A78" s="319">
        <v>5376</v>
      </c>
      <c r="B78" s="353" t="s">
        <v>605</v>
      </c>
      <c r="C78" s="528" t="s">
        <v>607</v>
      </c>
      <c r="D78" s="355">
        <v>2</v>
      </c>
      <c r="E78" s="356">
        <v>8100</v>
      </c>
      <c r="F78" s="379">
        <f t="shared" si="28"/>
        <v>16200</v>
      </c>
      <c r="G78" s="296">
        <v>2</v>
      </c>
      <c r="H78" s="296"/>
      <c r="I78" s="296"/>
      <c r="J78" s="357">
        <v>2</v>
      </c>
      <c r="K78" s="296"/>
      <c r="L78" s="297">
        <f t="shared" si="27"/>
        <v>16200</v>
      </c>
      <c r="M78" s="298">
        <v>43578</v>
      </c>
      <c r="N78" s="298">
        <v>43607</v>
      </c>
      <c r="O78" s="315"/>
      <c r="P78" s="300"/>
      <c r="S78" s="301">
        <f t="shared" si="29"/>
        <v>0</v>
      </c>
      <c r="T78" s="301">
        <f t="shared" si="30"/>
        <v>0</v>
      </c>
      <c r="U78" s="301">
        <f t="shared" si="31"/>
        <v>16200</v>
      </c>
      <c r="V78" s="301">
        <f t="shared" si="32"/>
        <v>0</v>
      </c>
    </row>
    <row r="79" spans="1:22" s="301" customFormat="1" x14ac:dyDescent="0.2">
      <c r="A79" s="319">
        <v>5377</v>
      </c>
      <c r="B79" s="353" t="s">
        <v>605</v>
      </c>
      <c r="C79" s="528" t="s">
        <v>709</v>
      </c>
      <c r="D79" s="355">
        <v>1</v>
      </c>
      <c r="E79" s="356">
        <v>700</v>
      </c>
      <c r="F79" s="379">
        <f t="shared" si="28"/>
        <v>700</v>
      </c>
      <c r="G79" s="296">
        <v>1</v>
      </c>
      <c r="H79" s="296"/>
      <c r="I79" s="296"/>
      <c r="J79" s="357">
        <v>1</v>
      </c>
      <c r="K79" s="296"/>
      <c r="L79" s="297">
        <f t="shared" si="27"/>
        <v>700</v>
      </c>
      <c r="M79" s="298">
        <v>43578</v>
      </c>
      <c r="N79" s="298">
        <v>43607</v>
      </c>
      <c r="O79" s="315"/>
      <c r="P79" s="300"/>
      <c r="S79" s="301">
        <f t="shared" si="29"/>
        <v>0</v>
      </c>
      <c r="T79" s="301">
        <f t="shared" si="30"/>
        <v>0</v>
      </c>
      <c r="U79" s="301">
        <f t="shared" si="31"/>
        <v>700</v>
      </c>
      <c r="V79" s="301">
        <f t="shared" si="32"/>
        <v>0</v>
      </c>
    </row>
    <row r="80" spans="1:22" s="301" customFormat="1" x14ac:dyDescent="0.2">
      <c r="A80" s="319">
        <v>5378</v>
      </c>
      <c r="B80" s="353" t="s">
        <v>605</v>
      </c>
      <c r="C80" s="528" t="s">
        <v>710</v>
      </c>
      <c r="D80" s="355">
        <v>1</v>
      </c>
      <c r="E80" s="356">
        <v>400</v>
      </c>
      <c r="F80" s="379">
        <f t="shared" si="28"/>
        <v>400</v>
      </c>
      <c r="G80" s="296">
        <v>1</v>
      </c>
      <c r="H80" s="296"/>
      <c r="I80" s="296"/>
      <c r="J80" s="357">
        <v>1</v>
      </c>
      <c r="K80" s="296"/>
      <c r="L80" s="297">
        <f t="shared" ref="L80:L94" si="33">E80*(H80+I80+J80+K80)</f>
        <v>400</v>
      </c>
      <c r="M80" s="298">
        <v>43578</v>
      </c>
      <c r="N80" s="298">
        <v>43607</v>
      </c>
      <c r="O80" s="315"/>
      <c r="P80" s="300"/>
      <c r="S80" s="301">
        <f t="shared" si="29"/>
        <v>0</v>
      </c>
      <c r="T80" s="301">
        <f t="shared" si="30"/>
        <v>0</v>
      </c>
      <c r="U80" s="301">
        <f t="shared" si="31"/>
        <v>400</v>
      </c>
      <c r="V80" s="301">
        <f t="shared" si="32"/>
        <v>0</v>
      </c>
    </row>
    <row r="81" spans="1:22" s="301" customFormat="1" x14ac:dyDescent="0.2">
      <c r="A81" s="319">
        <v>5477</v>
      </c>
      <c r="B81" s="506" t="s">
        <v>605</v>
      </c>
      <c r="C81" s="531" t="s">
        <v>758</v>
      </c>
      <c r="D81" s="355">
        <v>1</v>
      </c>
      <c r="E81" s="409">
        <v>265</v>
      </c>
      <c r="F81" s="379">
        <f t="shared" ref="F81:F94" si="34">E81*D81</f>
        <v>265</v>
      </c>
      <c r="G81" s="296">
        <v>1</v>
      </c>
      <c r="H81" s="296"/>
      <c r="I81" s="296"/>
      <c r="J81" s="296"/>
      <c r="K81" s="352">
        <v>1</v>
      </c>
      <c r="L81" s="297">
        <f t="shared" si="33"/>
        <v>265</v>
      </c>
      <c r="M81" s="298">
        <v>43598</v>
      </c>
      <c r="N81" s="298">
        <v>43600</v>
      </c>
      <c r="O81" s="315"/>
      <c r="P81" s="300"/>
      <c r="S81" s="301">
        <f>H81*E81</f>
        <v>0</v>
      </c>
      <c r="T81" s="301">
        <f>I81*E81</f>
        <v>0</v>
      </c>
      <c r="U81" s="301">
        <f>J81*E81</f>
        <v>0</v>
      </c>
      <c r="V81" s="301">
        <f t="shared" ref="V81:V87" si="35">K81*E81</f>
        <v>265</v>
      </c>
    </row>
    <row r="82" spans="1:22" s="301" customFormat="1" x14ac:dyDescent="0.2">
      <c r="A82" s="319">
        <v>5478</v>
      </c>
      <c r="B82" s="506" t="s">
        <v>605</v>
      </c>
      <c r="C82" s="531" t="s">
        <v>759</v>
      </c>
      <c r="D82" s="355">
        <v>1</v>
      </c>
      <c r="E82" s="409">
        <v>60</v>
      </c>
      <c r="F82" s="379">
        <f t="shared" si="34"/>
        <v>60</v>
      </c>
      <c r="G82" s="296">
        <v>1</v>
      </c>
      <c r="H82" s="296"/>
      <c r="I82" s="296"/>
      <c r="J82" s="296"/>
      <c r="K82" s="352">
        <v>1</v>
      </c>
      <c r="L82" s="297">
        <f t="shared" si="33"/>
        <v>60</v>
      </c>
      <c r="M82" s="298">
        <v>43598</v>
      </c>
      <c r="N82" s="298">
        <v>43600</v>
      </c>
      <c r="O82" s="315"/>
      <c r="P82" s="300"/>
      <c r="S82" s="301">
        <f>H82*E82</f>
        <v>0</v>
      </c>
      <c r="T82" s="301">
        <f>I82*E82</f>
        <v>0</v>
      </c>
      <c r="U82" s="301">
        <f>J82*E82</f>
        <v>0</v>
      </c>
      <c r="V82" s="301">
        <f t="shared" si="35"/>
        <v>60</v>
      </c>
    </row>
    <row r="83" spans="1:22" s="301" customFormat="1" x14ac:dyDescent="0.2">
      <c r="A83" s="319">
        <v>5479</v>
      </c>
      <c r="B83" s="506" t="s">
        <v>605</v>
      </c>
      <c r="C83" s="531" t="s">
        <v>760</v>
      </c>
      <c r="D83" s="355">
        <v>1</v>
      </c>
      <c r="E83" s="409">
        <v>110</v>
      </c>
      <c r="F83" s="379">
        <f t="shared" si="34"/>
        <v>110</v>
      </c>
      <c r="G83" s="296">
        <v>1</v>
      </c>
      <c r="H83" s="296"/>
      <c r="I83" s="296"/>
      <c r="J83" s="296"/>
      <c r="K83" s="352">
        <v>1</v>
      </c>
      <c r="L83" s="297">
        <f t="shared" si="33"/>
        <v>110</v>
      </c>
      <c r="M83" s="298">
        <v>43598</v>
      </c>
      <c r="N83" s="298">
        <v>43600</v>
      </c>
      <c r="O83" s="315"/>
      <c r="P83" s="300"/>
      <c r="S83" s="301">
        <f>H83*E83</f>
        <v>0</v>
      </c>
      <c r="T83" s="301">
        <f>I83*E83</f>
        <v>0</v>
      </c>
      <c r="U83" s="301">
        <f>J83*E83</f>
        <v>0</v>
      </c>
      <c r="V83" s="301">
        <f t="shared" si="35"/>
        <v>110</v>
      </c>
    </row>
    <row r="84" spans="1:22" s="301" customFormat="1" x14ac:dyDescent="0.2">
      <c r="A84" s="517">
        <v>5498</v>
      </c>
      <c r="B84" s="506" t="s">
        <v>605</v>
      </c>
      <c r="C84" s="531" t="s">
        <v>784</v>
      </c>
      <c r="D84" s="512">
        <v>8</v>
      </c>
      <c r="E84" s="513">
        <v>954</v>
      </c>
      <c r="F84" s="379">
        <f t="shared" si="34"/>
        <v>7632</v>
      </c>
      <c r="G84" s="296">
        <v>8</v>
      </c>
      <c r="H84" s="296"/>
      <c r="I84" s="296"/>
      <c r="J84" s="296"/>
      <c r="K84" s="352">
        <v>8</v>
      </c>
      <c r="L84" s="297">
        <f t="shared" si="33"/>
        <v>7632</v>
      </c>
      <c r="M84" s="298">
        <v>43602</v>
      </c>
      <c r="N84" s="298">
        <v>43605</v>
      </c>
      <c r="O84" s="315"/>
      <c r="P84" s="300"/>
      <c r="S84" s="301">
        <f>H84*E84</f>
        <v>0</v>
      </c>
      <c r="T84" s="301">
        <f>I84*E84</f>
        <v>0</v>
      </c>
      <c r="U84" s="301">
        <f>J84*E84</f>
        <v>0</v>
      </c>
      <c r="V84" s="301">
        <f t="shared" si="35"/>
        <v>7632</v>
      </c>
    </row>
    <row r="85" spans="1:22" s="301" customFormat="1" x14ac:dyDescent="0.2">
      <c r="A85" s="517">
        <v>5499</v>
      </c>
      <c r="B85" s="506" t="s">
        <v>605</v>
      </c>
      <c r="C85" s="531" t="s">
        <v>785</v>
      </c>
      <c r="D85" s="512">
        <v>4</v>
      </c>
      <c r="E85" s="513">
        <v>630</v>
      </c>
      <c r="F85" s="379">
        <f t="shared" si="34"/>
        <v>2520</v>
      </c>
      <c r="G85" s="296">
        <v>4</v>
      </c>
      <c r="H85" s="296"/>
      <c r="I85" s="296"/>
      <c r="J85" s="296"/>
      <c r="K85" s="352">
        <v>4</v>
      </c>
      <c r="L85" s="297">
        <f t="shared" ref="L85:L93" si="36">E85*(H85+I85+J85+K85)</f>
        <v>2520</v>
      </c>
      <c r="M85" s="298">
        <v>43602</v>
      </c>
      <c r="N85" s="298">
        <v>43605</v>
      </c>
      <c r="O85" s="315"/>
      <c r="P85" s="300"/>
      <c r="V85" s="301">
        <f t="shared" si="35"/>
        <v>2520</v>
      </c>
    </row>
    <row r="86" spans="1:22" s="301" customFormat="1" x14ac:dyDescent="0.2">
      <c r="A86" s="517">
        <v>5500</v>
      </c>
      <c r="B86" s="506" t="s">
        <v>605</v>
      </c>
      <c r="C86" s="531" t="s">
        <v>786</v>
      </c>
      <c r="D86" s="512">
        <v>4</v>
      </c>
      <c r="E86" s="513">
        <v>288</v>
      </c>
      <c r="F86" s="379">
        <f t="shared" si="34"/>
        <v>1152</v>
      </c>
      <c r="G86" s="296">
        <v>4</v>
      </c>
      <c r="H86" s="296"/>
      <c r="I86" s="296"/>
      <c r="J86" s="296"/>
      <c r="K86" s="352">
        <v>4</v>
      </c>
      <c r="L86" s="297">
        <f t="shared" si="36"/>
        <v>1152</v>
      </c>
      <c r="M86" s="298">
        <v>43602</v>
      </c>
      <c r="N86" s="298">
        <v>43605</v>
      </c>
      <c r="O86" s="315"/>
      <c r="P86" s="300"/>
      <c r="V86" s="301">
        <f t="shared" si="35"/>
        <v>1152</v>
      </c>
    </row>
    <row r="87" spans="1:22" s="301" customFormat="1" x14ac:dyDescent="0.2">
      <c r="A87" s="517">
        <v>5501</v>
      </c>
      <c r="B87" s="506" t="s">
        <v>605</v>
      </c>
      <c r="C87" s="531" t="s">
        <v>787</v>
      </c>
      <c r="D87" s="512">
        <v>8</v>
      </c>
      <c r="E87" s="513">
        <v>198</v>
      </c>
      <c r="F87" s="379">
        <f t="shared" ref="F87:F93" si="37">E87*D87</f>
        <v>1584</v>
      </c>
      <c r="G87" s="296">
        <v>8</v>
      </c>
      <c r="H87" s="296"/>
      <c r="I87" s="296"/>
      <c r="J87" s="296"/>
      <c r="K87" s="352">
        <v>8</v>
      </c>
      <c r="L87" s="297">
        <f t="shared" si="36"/>
        <v>1584</v>
      </c>
      <c r="M87" s="298">
        <v>43602</v>
      </c>
      <c r="N87" s="298">
        <v>43605</v>
      </c>
      <c r="O87" s="315"/>
      <c r="P87" s="300"/>
      <c r="V87" s="301">
        <f t="shared" si="35"/>
        <v>1584</v>
      </c>
    </row>
    <row r="88" spans="1:22" s="301" customFormat="1" x14ac:dyDescent="0.2">
      <c r="A88" s="517">
        <v>5533</v>
      </c>
      <c r="B88" s="506" t="s">
        <v>605</v>
      </c>
      <c r="C88" s="531" t="s">
        <v>807</v>
      </c>
      <c r="D88" s="512">
        <v>2</v>
      </c>
      <c r="E88" s="513">
        <v>110</v>
      </c>
      <c r="F88" s="379">
        <f t="shared" si="37"/>
        <v>220</v>
      </c>
      <c r="G88" s="296">
        <v>2</v>
      </c>
      <c r="H88" s="296"/>
      <c r="I88" s="296"/>
      <c r="J88" s="352">
        <v>2</v>
      </c>
      <c r="K88" s="296"/>
      <c r="L88" s="297">
        <f t="shared" si="36"/>
        <v>220</v>
      </c>
      <c r="M88" s="298">
        <v>43607</v>
      </c>
      <c r="N88" s="298">
        <v>43607</v>
      </c>
      <c r="O88" s="315"/>
      <c r="P88" s="300"/>
    </row>
    <row r="89" spans="1:22" s="301" customFormat="1" x14ac:dyDescent="0.2">
      <c r="A89" s="523">
        <v>5534</v>
      </c>
      <c r="B89" s="506" t="s">
        <v>605</v>
      </c>
      <c r="C89" s="531" t="s">
        <v>808</v>
      </c>
      <c r="D89" s="512">
        <v>1</v>
      </c>
      <c r="E89" s="513">
        <v>3278</v>
      </c>
      <c r="F89" s="379">
        <f t="shared" si="37"/>
        <v>3278</v>
      </c>
      <c r="G89" s="296">
        <v>1</v>
      </c>
      <c r="H89" s="296"/>
      <c r="I89" s="296"/>
      <c r="J89" s="357">
        <v>1</v>
      </c>
      <c r="K89" s="296"/>
      <c r="L89" s="297">
        <f t="shared" si="36"/>
        <v>3278</v>
      </c>
      <c r="M89" s="298">
        <v>43607</v>
      </c>
      <c r="N89" s="298">
        <v>43607</v>
      </c>
      <c r="O89" s="315"/>
      <c r="P89" s="300"/>
    </row>
    <row r="90" spans="1:22" s="301" customFormat="1" x14ac:dyDescent="0.2">
      <c r="A90" s="523">
        <v>5563</v>
      </c>
      <c r="B90" s="506" t="s">
        <v>605</v>
      </c>
      <c r="C90" s="531" t="s">
        <v>807</v>
      </c>
      <c r="D90" s="512">
        <v>2</v>
      </c>
      <c r="E90" s="513">
        <v>110</v>
      </c>
      <c r="F90" s="379">
        <f t="shared" si="37"/>
        <v>220</v>
      </c>
      <c r="G90" s="296">
        <v>2</v>
      </c>
      <c r="H90" s="296"/>
      <c r="I90" s="296"/>
      <c r="J90" s="296"/>
      <c r="K90" s="352">
        <v>2</v>
      </c>
      <c r="L90" s="297">
        <f t="shared" si="36"/>
        <v>220</v>
      </c>
      <c r="M90" s="298">
        <v>43616</v>
      </c>
      <c r="N90" s="298">
        <v>43616</v>
      </c>
      <c r="O90" s="315"/>
      <c r="P90" s="300"/>
    </row>
    <row r="91" spans="1:22" s="301" customFormat="1" x14ac:dyDescent="0.2">
      <c r="A91" s="319"/>
      <c r="B91" s="353"/>
      <c r="C91" s="528"/>
      <c r="D91" s="355"/>
      <c r="E91" s="409"/>
      <c r="F91" s="379">
        <f t="shared" si="37"/>
        <v>0</v>
      </c>
      <c r="G91" s="296"/>
      <c r="H91" s="296"/>
      <c r="I91" s="296"/>
      <c r="J91" s="296"/>
      <c r="K91" s="296"/>
      <c r="L91" s="297">
        <f t="shared" si="36"/>
        <v>0</v>
      </c>
      <c r="M91" s="298"/>
      <c r="N91" s="298"/>
      <c r="O91" s="501"/>
      <c r="P91" s="300"/>
    </row>
    <row r="92" spans="1:22" s="301" customFormat="1" x14ac:dyDescent="0.2">
      <c r="A92" s="350">
        <v>5234</v>
      </c>
      <c r="B92" s="353" t="s">
        <v>649</v>
      </c>
      <c r="C92" s="528" t="s">
        <v>660</v>
      </c>
      <c r="D92" s="355">
        <v>1</v>
      </c>
      <c r="E92" s="356"/>
      <c r="F92" s="379">
        <f t="shared" si="37"/>
        <v>0</v>
      </c>
      <c r="G92" s="296"/>
      <c r="H92" s="296"/>
      <c r="I92" s="296"/>
      <c r="J92" s="296"/>
      <c r="K92" s="296"/>
      <c r="L92" s="297">
        <f t="shared" si="36"/>
        <v>0</v>
      </c>
      <c r="M92" s="298">
        <v>43563</v>
      </c>
      <c r="N92" s="298"/>
      <c r="O92" s="465" t="s">
        <v>667</v>
      </c>
      <c r="P92" s="300"/>
      <c r="S92" s="301">
        <f t="shared" ref="S92:S94" si="38">H92*E92</f>
        <v>0</v>
      </c>
      <c r="T92" s="301">
        <f t="shared" ref="T92:T94" si="39">I92*E92</f>
        <v>0</v>
      </c>
      <c r="U92" s="301">
        <f t="shared" ref="U92:U94" si="40">J92*E92</f>
        <v>0</v>
      </c>
      <c r="V92" s="301">
        <f t="shared" ref="V92:V94" si="41">K92*E92</f>
        <v>0</v>
      </c>
    </row>
    <row r="93" spans="1:22" s="301" customFormat="1" x14ac:dyDescent="0.2">
      <c r="A93" s="319">
        <v>5298</v>
      </c>
      <c r="B93" s="353" t="s">
        <v>649</v>
      </c>
      <c r="C93" s="528" t="s">
        <v>661</v>
      </c>
      <c r="D93" s="355">
        <v>2</v>
      </c>
      <c r="E93" s="356">
        <v>5850</v>
      </c>
      <c r="F93" s="379">
        <f t="shared" si="37"/>
        <v>11700</v>
      </c>
      <c r="G93" s="296">
        <v>2</v>
      </c>
      <c r="H93" s="296"/>
      <c r="I93" s="296"/>
      <c r="J93" s="357">
        <v>2</v>
      </c>
      <c r="K93" s="296"/>
      <c r="L93" s="297">
        <f t="shared" si="36"/>
        <v>11700</v>
      </c>
      <c r="M93" s="298">
        <v>43563</v>
      </c>
      <c r="N93" s="298"/>
      <c r="O93" s="465" t="s">
        <v>697</v>
      </c>
      <c r="P93" s="300"/>
      <c r="S93" s="301">
        <f t="shared" si="38"/>
        <v>0</v>
      </c>
      <c r="T93" s="301">
        <f t="shared" si="39"/>
        <v>0</v>
      </c>
      <c r="U93" s="301">
        <f t="shared" si="40"/>
        <v>11700</v>
      </c>
      <c r="V93" s="301">
        <f t="shared" si="41"/>
        <v>0</v>
      </c>
    </row>
    <row r="94" spans="1:22" s="301" customFormat="1" x14ac:dyDescent="0.2">
      <c r="A94" s="319">
        <v>5299</v>
      </c>
      <c r="B94" s="353" t="s">
        <v>649</v>
      </c>
      <c r="C94" s="528" t="s">
        <v>662</v>
      </c>
      <c r="D94" s="355">
        <v>2</v>
      </c>
      <c r="E94" s="356">
        <v>2950</v>
      </c>
      <c r="F94" s="379">
        <f t="shared" si="34"/>
        <v>5900</v>
      </c>
      <c r="G94" s="296">
        <v>2</v>
      </c>
      <c r="H94" s="296"/>
      <c r="I94" s="296"/>
      <c r="J94" s="357">
        <v>2</v>
      </c>
      <c r="K94" s="296"/>
      <c r="L94" s="297">
        <f t="shared" si="33"/>
        <v>5900</v>
      </c>
      <c r="M94" s="298">
        <v>43563</v>
      </c>
      <c r="N94" s="298"/>
      <c r="O94" s="465" t="s">
        <v>697</v>
      </c>
      <c r="P94" s="300"/>
      <c r="S94" s="301">
        <f t="shared" si="38"/>
        <v>0</v>
      </c>
      <c r="T94" s="301">
        <f t="shared" si="39"/>
        <v>0</v>
      </c>
      <c r="U94" s="301">
        <f t="shared" si="40"/>
        <v>5900</v>
      </c>
      <c r="V94" s="301">
        <f t="shared" si="41"/>
        <v>0</v>
      </c>
    </row>
    <row r="95" spans="1:22" s="301" customFormat="1" x14ac:dyDescent="0.2">
      <c r="A95" s="319">
        <v>5300</v>
      </c>
      <c r="B95" s="353" t="s">
        <v>649</v>
      </c>
      <c r="C95" s="528" t="s">
        <v>663</v>
      </c>
      <c r="D95" s="355">
        <v>2</v>
      </c>
      <c r="E95" s="356">
        <v>1170</v>
      </c>
      <c r="F95" s="379">
        <f t="shared" ref="F95:F96" si="42">E95*D95</f>
        <v>2340</v>
      </c>
      <c r="G95" s="296">
        <v>2</v>
      </c>
      <c r="H95" s="296"/>
      <c r="I95" s="296"/>
      <c r="J95" s="357">
        <v>2</v>
      </c>
      <c r="K95" s="296"/>
      <c r="L95" s="297">
        <f t="shared" si="27"/>
        <v>2340</v>
      </c>
      <c r="M95" s="298">
        <v>43563</v>
      </c>
      <c r="N95" s="298"/>
      <c r="O95" s="465" t="s">
        <v>697</v>
      </c>
      <c r="P95" s="300"/>
      <c r="S95" s="301">
        <f t="shared" si="29"/>
        <v>0</v>
      </c>
      <c r="T95" s="301">
        <f t="shared" si="30"/>
        <v>0</v>
      </c>
      <c r="U95" s="301">
        <f t="shared" si="31"/>
        <v>2340</v>
      </c>
      <c r="V95" s="301">
        <f t="shared" si="32"/>
        <v>0</v>
      </c>
    </row>
    <row r="96" spans="1:22" s="301" customFormat="1" x14ac:dyDescent="0.2">
      <c r="A96" s="319">
        <v>5230</v>
      </c>
      <c r="B96" s="353" t="s">
        <v>649</v>
      </c>
      <c r="C96" s="528" t="s">
        <v>698</v>
      </c>
      <c r="D96" s="322">
        <v>3</v>
      </c>
      <c r="E96" s="356">
        <v>4380</v>
      </c>
      <c r="F96" s="379">
        <f t="shared" si="42"/>
        <v>13140</v>
      </c>
      <c r="G96" s="296">
        <v>3</v>
      </c>
      <c r="H96" s="296"/>
      <c r="I96" s="296"/>
      <c r="J96" s="357">
        <v>3</v>
      </c>
      <c r="K96" s="296"/>
      <c r="L96" s="297">
        <f t="shared" si="27"/>
        <v>13140</v>
      </c>
      <c r="M96" s="298">
        <v>43573</v>
      </c>
      <c r="N96" s="298">
        <v>43581</v>
      </c>
      <c r="O96" s="465" t="s">
        <v>700</v>
      </c>
      <c r="P96" s="300"/>
      <c r="S96" s="301">
        <f t="shared" si="29"/>
        <v>0</v>
      </c>
      <c r="T96" s="301">
        <f t="shared" si="30"/>
        <v>0</v>
      </c>
      <c r="U96" s="301">
        <f t="shared" si="31"/>
        <v>13140</v>
      </c>
      <c r="V96" s="301">
        <f t="shared" si="32"/>
        <v>0</v>
      </c>
    </row>
    <row r="97" spans="1:22" s="301" customFormat="1" x14ac:dyDescent="0.2">
      <c r="A97" s="319">
        <v>5231</v>
      </c>
      <c r="B97" s="353" t="s">
        <v>649</v>
      </c>
      <c r="C97" s="437" t="s">
        <v>699</v>
      </c>
      <c r="D97" s="322">
        <v>3</v>
      </c>
      <c r="E97" s="356">
        <v>4815</v>
      </c>
      <c r="F97" s="379">
        <f t="shared" ref="F97:F108" si="43">E97*D97</f>
        <v>14445</v>
      </c>
      <c r="G97" s="296">
        <v>3</v>
      </c>
      <c r="H97" s="296"/>
      <c r="I97" s="296"/>
      <c r="J97" s="357">
        <v>3</v>
      </c>
      <c r="K97" s="296"/>
      <c r="L97" s="297">
        <f t="shared" si="27"/>
        <v>14445</v>
      </c>
      <c r="M97" s="298">
        <v>43573</v>
      </c>
      <c r="N97" s="298">
        <v>43581</v>
      </c>
      <c r="O97" s="465" t="s">
        <v>700</v>
      </c>
      <c r="P97" s="300"/>
      <c r="S97" s="301">
        <f t="shared" si="29"/>
        <v>0</v>
      </c>
      <c r="T97" s="301">
        <f t="shared" si="30"/>
        <v>0</v>
      </c>
      <c r="U97" s="301">
        <f t="shared" si="31"/>
        <v>14445</v>
      </c>
      <c r="V97" s="301">
        <f t="shared" si="32"/>
        <v>0</v>
      </c>
    </row>
    <row r="98" spans="1:22" s="301" customFormat="1" x14ac:dyDescent="0.2">
      <c r="A98" s="319">
        <v>5232</v>
      </c>
      <c r="B98" s="353" t="s">
        <v>649</v>
      </c>
      <c r="C98" s="528" t="s">
        <v>699</v>
      </c>
      <c r="D98" s="322">
        <v>3</v>
      </c>
      <c r="E98" s="356">
        <v>3830</v>
      </c>
      <c r="F98" s="379">
        <f t="shared" si="43"/>
        <v>11490</v>
      </c>
      <c r="G98" s="296">
        <v>3</v>
      </c>
      <c r="H98" s="296"/>
      <c r="I98" s="296"/>
      <c r="J98" s="357">
        <v>3</v>
      </c>
      <c r="K98" s="296"/>
      <c r="L98" s="297">
        <f t="shared" ref="L98:L99" si="44">E98*(H98+I98+J98+K98)</f>
        <v>11490</v>
      </c>
      <c r="M98" s="298">
        <v>43573</v>
      </c>
      <c r="N98" s="298">
        <v>43581</v>
      </c>
      <c r="O98" s="465" t="s">
        <v>700</v>
      </c>
      <c r="P98" s="300"/>
      <c r="S98" s="301">
        <f t="shared" si="29"/>
        <v>0</v>
      </c>
      <c r="T98" s="301">
        <f t="shared" si="30"/>
        <v>0</v>
      </c>
      <c r="U98" s="301">
        <f t="shared" si="31"/>
        <v>11490</v>
      </c>
      <c r="V98" s="301">
        <f t="shared" si="32"/>
        <v>0</v>
      </c>
    </row>
    <row r="99" spans="1:22" s="301" customFormat="1" x14ac:dyDescent="0.2">
      <c r="A99" s="319">
        <v>5233</v>
      </c>
      <c r="B99" s="353" t="s">
        <v>649</v>
      </c>
      <c r="C99" s="528" t="s">
        <v>699</v>
      </c>
      <c r="D99" s="322">
        <v>3</v>
      </c>
      <c r="E99" s="356">
        <v>2130</v>
      </c>
      <c r="F99" s="379">
        <f t="shared" si="43"/>
        <v>6390</v>
      </c>
      <c r="G99" s="296">
        <v>3</v>
      </c>
      <c r="H99" s="296"/>
      <c r="I99" s="296"/>
      <c r="J99" s="357">
        <v>3</v>
      </c>
      <c r="K99" s="296"/>
      <c r="L99" s="297">
        <f t="shared" si="44"/>
        <v>6390</v>
      </c>
      <c r="M99" s="298">
        <v>43573</v>
      </c>
      <c r="N99" s="298">
        <v>43581</v>
      </c>
      <c r="O99" s="465" t="s">
        <v>700</v>
      </c>
      <c r="P99" s="300"/>
      <c r="S99" s="301">
        <f t="shared" si="29"/>
        <v>0</v>
      </c>
      <c r="T99" s="301">
        <f t="shared" si="30"/>
        <v>0</v>
      </c>
      <c r="U99" s="301">
        <f t="shared" si="31"/>
        <v>6390</v>
      </c>
      <c r="V99" s="301">
        <f t="shared" si="32"/>
        <v>0</v>
      </c>
    </row>
    <row r="100" spans="1:22" s="301" customFormat="1" x14ac:dyDescent="0.2">
      <c r="A100" s="511">
        <v>5506</v>
      </c>
      <c r="B100" s="506" t="s">
        <v>649</v>
      </c>
      <c r="C100" s="531" t="s">
        <v>783</v>
      </c>
      <c r="D100" s="518">
        <v>8</v>
      </c>
      <c r="E100" s="356">
        <v>1800</v>
      </c>
      <c r="F100" s="379">
        <f>E100*D100</f>
        <v>14400</v>
      </c>
      <c r="G100" s="296">
        <v>8</v>
      </c>
      <c r="H100" s="296"/>
      <c r="I100" s="296"/>
      <c r="J100" s="357">
        <v>8</v>
      </c>
      <c r="K100" s="296"/>
      <c r="L100" s="297">
        <f>E100*(H100+I100+J100+K100)</f>
        <v>14400</v>
      </c>
      <c r="M100" s="298"/>
      <c r="N100" s="298"/>
      <c r="O100" s="515"/>
      <c r="P100" s="300"/>
      <c r="S100" s="301">
        <f>H100*E100</f>
        <v>0</v>
      </c>
      <c r="T100" s="301">
        <f>I100*E100</f>
        <v>0</v>
      </c>
      <c r="U100" s="301">
        <f>J100*E100</f>
        <v>14400</v>
      </c>
      <c r="V100" s="301">
        <f>K100*E100</f>
        <v>0</v>
      </c>
    </row>
    <row r="101" spans="1:22" s="301" customFormat="1" x14ac:dyDescent="0.2">
      <c r="A101" s="319">
        <v>5511</v>
      </c>
      <c r="B101" s="506" t="s">
        <v>649</v>
      </c>
      <c r="C101" s="531" t="s">
        <v>272</v>
      </c>
      <c r="D101" s="512">
        <v>1</v>
      </c>
      <c r="E101" s="356">
        <v>28000</v>
      </c>
      <c r="F101" s="379">
        <f>E101*D101</f>
        <v>28000</v>
      </c>
      <c r="G101" s="296">
        <v>1</v>
      </c>
      <c r="H101" s="296"/>
      <c r="I101" s="296"/>
      <c r="J101" s="296"/>
      <c r="K101" s="557">
        <v>1</v>
      </c>
      <c r="L101" s="297">
        <f>E101*(H101+I101+J101+K101)</f>
        <v>28000</v>
      </c>
      <c r="M101" s="298">
        <v>43605</v>
      </c>
      <c r="N101" s="298">
        <v>43616</v>
      </c>
      <c r="O101" s="515"/>
      <c r="P101" s="300"/>
      <c r="S101" s="301">
        <f>H101*E101</f>
        <v>0</v>
      </c>
      <c r="T101" s="301">
        <f>I101*E101</f>
        <v>0</v>
      </c>
      <c r="U101" s="301">
        <f>J101*E101</f>
        <v>0</v>
      </c>
      <c r="V101" s="301">
        <f>K101*E101</f>
        <v>28000</v>
      </c>
    </row>
    <row r="102" spans="1:22" s="301" customFormat="1" x14ac:dyDescent="0.2">
      <c r="A102" s="319">
        <v>5512</v>
      </c>
      <c r="B102" s="506" t="s">
        <v>649</v>
      </c>
      <c r="C102" s="531" t="s">
        <v>798</v>
      </c>
      <c r="D102" s="512">
        <v>1</v>
      </c>
      <c r="E102" s="356">
        <v>55000</v>
      </c>
      <c r="F102" s="379">
        <f>E102*D102</f>
        <v>55000</v>
      </c>
      <c r="G102" s="296">
        <v>1</v>
      </c>
      <c r="H102" s="296"/>
      <c r="I102" s="296"/>
      <c r="J102" s="296"/>
      <c r="K102" s="557">
        <v>1</v>
      </c>
      <c r="L102" s="297">
        <f>E102*(H102+I102+J102+K102)</f>
        <v>55000</v>
      </c>
      <c r="M102" s="298">
        <v>43605</v>
      </c>
      <c r="N102" s="298">
        <v>43616</v>
      </c>
      <c r="O102" s="515"/>
      <c r="P102" s="300"/>
    </row>
    <row r="103" spans="1:22" s="301" customFormat="1" x14ac:dyDescent="0.2">
      <c r="A103" s="319">
        <v>5513</v>
      </c>
      <c r="B103" s="506" t="s">
        <v>649</v>
      </c>
      <c r="C103" s="531" t="s">
        <v>567</v>
      </c>
      <c r="D103" s="512">
        <v>1</v>
      </c>
      <c r="E103" s="356">
        <v>34500</v>
      </c>
      <c r="F103" s="379">
        <f>E103*D103</f>
        <v>34500</v>
      </c>
      <c r="G103" s="296">
        <v>1</v>
      </c>
      <c r="H103" s="296"/>
      <c r="I103" s="296"/>
      <c r="J103" s="296"/>
      <c r="K103" s="557">
        <v>1</v>
      </c>
      <c r="L103" s="297">
        <f>E103*(H103+I103+J103+K103)</f>
        <v>34500</v>
      </c>
      <c r="M103" s="298">
        <v>43605</v>
      </c>
      <c r="N103" s="298">
        <v>43616</v>
      </c>
      <c r="O103" s="515"/>
      <c r="P103" s="300"/>
    </row>
    <row r="104" spans="1:22" s="301" customFormat="1" x14ac:dyDescent="0.2">
      <c r="A104" s="511"/>
      <c r="B104" s="506"/>
      <c r="C104" s="531"/>
      <c r="D104" s="518"/>
      <c r="E104" s="356"/>
      <c r="F104" s="379">
        <f t="shared" si="43"/>
        <v>0</v>
      </c>
      <c r="G104" s="296"/>
      <c r="H104" s="296"/>
      <c r="I104" s="296"/>
      <c r="J104" s="296"/>
      <c r="K104" s="296"/>
      <c r="L104" s="297">
        <f t="shared" ref="L104:L108" si="45">E104*(H104+I104+J104+K104)</f>
        <v>0</v>
      </c>
      <c r="M104" s="298"/>
      <c r="N104" s="298"/>
      <c r="O104" s="515"/>
      <c r="P104" s="300"/>
    </row>
    <row r="105" spans="1:22" s="301" customFormat="1" x14ac:dyDescent="0.2">
      <c r="A105" s="350"/>
      <c r="B105" s="353"/>
      <c r="C105" s="528"/>
      <c r="D105" s="355"/>
      <c r="E105" s="356"/>
      <c r="F105" s="379">
        <f t="shared" si="43"/>
        <v>0</v>
      </c>
      <c r="G105" s="296"/>
      <c r="H105" s="296"/>
      <c r="I105" s="296"/>
      <c r="J105" s="296"/>
      <c r="K105" s="296"/>
      <c r="L105" s="297">
        <f t="shared" si="45"/>
        <v>0</v>
      </c>
      <c r="M105" s="298"/>
      <c r="N105" s="298"/>
      <c r="O105" s="315"/>
      <c r="P105" s="300"/>
      <c r="S105" s="301">
        <f t="shared" si="29"/>
        <v>0</v>
      </c>
      <c r="T105" s="301">
        <f t="shared" si="30"/>
        <v>0</v>
      </c>
      <c r="U105" s="301">
        <f t="shared" si="31"/>
        <v>0</v>
      </c>
      <c r="V105" s="301">
        <f t="shared" si="32"/>
        <v>0</v>
      </c>
    </row>
    <row r="106" spans="1:22" s="301" customFormat="1" x14ac:dyDescent="0.2">
      <c r="A106" s="319">
        <v>5251</v>
      </c>
      <c r="B106" s="353" t="s">
        <v>684</v>
      </c>
      <c r="C106" s="528" t="s">
        <v>678</v>
      </c>
      <c r="D106" s="355">
        <v>1</v>
      </c>
      <c r="E106" s="356">
        <v>20000</v>
      </c>
      <c r="F106" s="379">
        <f t="shared" si="43"/>
        <v>20000</v>
      </c>
      <c r="G106" s="296">
        <v>1</v>
      </c>
      <c r="H106" s="296"/>
      <c r="I106" s="296"/>
      <c r="J106" s="357">
        <v>1</v>
      </c>
      <c r="K106" s="296"/>
      <c r="L106" s="297">
        <f t="shared" si="45"/>
        <v>20000</v>
      </c>
      <c r="M106" s="298"/>
      <c r="N106" s="298"/>
      <c r="O106" s="315"/>
      <c r="P106" s="300"/>
      <c r="S106" s="301">
        <f t="shared" si="29"/>
        <v>0</v>
      </c>
      <c r="T106" s="301">
        <f t="shared" si="30"/>
        <v>0</v>
      </c>
      <c r="U106" s="301">
        <f t="shared" si="31"/>
        <v>20000</v>
      </c>
      <c r="V106" s="301">
        <f t="shared" si="32"/>
        <v>0</v>
      </c>
    </row>
    <row r="107" spans="1:22" s="301" customFormat="1" x14ac:dyDescent="0.2">
      <c r="A107" s="319">
        <v>5463</v>
      </c>
      <c r="B107" s="353" t="s">
        <v>352</v>
      </c>
      <c r="C107" s="528" t="s">
        <v>753</v>
      </c>
      <c r="D107" s="355">
        <v>1</v>
      </c>
      <c r="E107" s="356">
        <v>8500</v>
      </c>
      <c r="F107" s="379">
        <f t="shared" si="43"/>
        <v>8500</v>
      </c>
      <c r="G107" s="296">
        <v>1</v>
      </c>
      <c r="H107" s="296"/>
      <c r="I107" s="296"/>
      <c r="J107" s="357">
        <v>1</v>
      </c>
      <c r="K107" s="296"/>
      <c r="L107" s="297">
        <f t="shared" si="45"/>
        <v>8500</v>
      </c>
      <c r="M107" s="298">
        <v>43591</v>
      </c>
      <c r="N107" s="298">
        <v>43609</v>
      </c>
      <c r="O107" s="315"/>
      <c r="P107" s="300"/>
      <c r="S107" s="301">
        <f>H107*E107</f>
        <v>0</v>
      </c>
      <c r="T107" s="301">
        <f>I107*E107</f>
        <v>0</v>
      </c>
      <c r="U107" s="301">
        <f>J107*E107</f>
        <v>8500</v>
      </c>
      <c r="V107" s="301">
        <f>K107*E107</f>
        <v>0</v>
      </c>
    </row>
    <row r="108" spans="1:22" s="301" customFormat="1" x14ac:dyDescent="0.2">
      <c r="A108" s="350">
        <v>4915</v>
      </c>
      <c r="B108" s="353" t="s">
        <v>352</v>
      </c>
      <c r="C108" s="528" t="s">
        <v>320</v>
      </c>
      <c r="D108" s="355">
        <v>34</v>
      </c>
      <c r="E108" s="409">
        <v>39.17</v>
      </c>
      <c r="F108" s="379">
        <f t="shared" si="43"/>
        <v>1331.78</v>
      </c>
      <c r="G108" s="296">
        <v>34</v>
      </c>
      <c r="H108" s="296"/>
      <c r="I108" s="352">
        <v>34</v>
      </c>
      <c r="J108" s="296"/>
      <c r="K108" s="296"/>
      <c r="L108" s="297">
        <f t="shared" si="45"/>
        <v>1331.78</v>
      </c>
      <c r="M108" s="298"/>
      <c r="N108" s="298"/>
      <c r="O108" s="315"/>
      <c r="P108" s="300"/>
    </row>
    <row r="109" spans="1:22" s="301" customFormat="1" x14ac:dyDescent="0.2">
      <c r="A109" s="505">
        <v>5502</v>
      </c>
      <c r="B109" s="353" t="s">
        <v>352</v>
      </c>
      <c r="C109" s="531" t="s">
        <v>780</v>
      </c>
      <c r="D109" s="355">
        <v>192</v>
      </c>
      <c r="E109" s="409">
        <v>3.16</v>
      </c>
      <c r="F109" s="379">
        <f t="shared" ref="F109:F117" si="46">E109*D109</f>
        <v>606.72</v>
      </c>
      <c r="G109" s="296">
        <v>192</v>
      </c>
      <c r="H109" s="296"/>
      <c r="I109" s="352">
        <v>192</v>
      </c>
      <c r="J109" s="296"/>
      <c r="K109" s="296"/>
      <c r="L109" s="297">
        <f t="shared" ref="L109:L116" si="47">E109*(H109+I109+J109+K109)</f>
        <v>606.72</v>
      </c>
      <c r="M109" s="298"/>
      <c r="N109" s="298"/>
      <c r="O109" s="315"/>
      <c r="P109" s="300"/>
      <c r="S109" s="301">
        <f>H109*E109</f>
        <v>0</v>
      </c>
      <c r="T109" s="301">
        <f>I109*E109</f>
        <v>606.72</v>
      </c>
      <c r="U109" s="301">
        <f>J109*E109</f>
        <v>0</v>
      </c>
      <c r="V109" s="301">
        <f>K109*E109</f>
        <v>0</v>
      </c>
    </row>
    <row r="110" spans="1:22" s="301" customFormat="1" x14ac:dyDescent="0.2">
      <c r="A110" s="505">
        <v>5503</v>
      </c>
      <c r="B110" s="353" t="s">
        <v>352</v>
      </c>
      <c r="C110" s="531" t="s">
        <v>770</v>
      </c>
      <c r="D110" s="355">
        <v>575</v>
      </c>
      <c r="E110" s="409">
        <v>3.16</v>
      </c>
      <c r="F110" s="379">
        <f t="shared" si="46"/>
        <v>1817</v>
      </c>
      <c r="G110" s="296">
        <v>575</v>
      </c>
      <c r="H110" s="296"/>
      <c r="I110" s="352">
        <v>575</v>
      </c>
      <c r="J110" s="296"/>
      <c r="K110" s="296"/>
      <c r="L110" s="297">
        <f t="shared" si="47"/>
        <v>1817</v>
      </c>
      <c r="M110" s="298"/>
      <c r="N110" s="298"/>
      <c r="O110" s="315"/>
      <c r="P110" s="300"/>
      <c r="S110" s="301">
        <f>H110*E110</f>
        <v>0</v>
      </c>
      <c r="T110" s="301">
        <f>I110*E110</f>
        <v>1817</v>
      </c>
      <c r="U110" s="301">
        <f>J110*E110</f>
        <v>0</v>
      </c>
      <c r="V110" s="301">
        <f>K110*E110</f>
        <v>0</v>
      </c>
    </row>
    <row r="111" spans="1:22" s="301" customFormat="1" x14ac:dyDescent="0.2">
      <c r="A111" s="505">
        <v>5504</v>
      </c>
      <c r="B111" s="353" t="s">
        <v>352</v>
      </c>
      <c r="C111" s="531" t="s">
        <v>771</v>
      </c>
      <c r="D111" s="355">
        <v>19</v>
      </c>
      <c r="E111" s="409">
        <v>40</v>
      </c>
      <c r="F111" s="379">
        <f t="shared" si="46"/>
        <v>760</v>
      </c>
      <c r="G111" s="296">
        <v>19</v>
      </c>
      <c r="H111" s="296"/>
      <c r="I111" s="352">
        <v>19</v>
      </c>
      <c r="J111" s="296"/>
      <c r="K111" s="296"/>
      <c r="L111" s="297">
        <f t="shared" si="47"/>
        <v>760</v>
      </c>
      <c r="M111" s="298"/>
      <c r="N111" s="298"/>
      <c r="O111" s="315"/>
      <c r="P111" s="300"/>
      <c r="S111" s="301">
        <f>H111*E111</f>
        <v>0</v>
      </c>
      <c r="T111" s="301">
        <f>I111*E111</f>
        <v>760</v>
      </c>
      <c r="U111" s="301">
        <f>J111*E111</f>
        <v>0</v>
      </c>
      <c r="V111" s="301">
        <f>K111*E111</f>
        <v>0</v>
      </c>
    </row>
    <row r="112" spans="1:22" s="301" customFormat="1" x14ac:dyDescent="0.2">
      <c r="A112" s="522">
        <v>5505</v>
      </c>
      <c r="B112" s="353" t="s">
        <v>352</v>
      </c>
      <c r="C112" s="533" t="s">
        <v>781</v>
      </c>
      <c r="D112" s="355"/>
      <c r="E112" s="356">
        <v>4</v>
      </c>
      <c r="F112" s="379">
        <f t="shared" si="46"/>
        <v>0</v>
      </c>
      <c r="G112" s="296">
        <v>1136</v>
      </c>
      <c r="H112" s="296"/>
      <c r="I112" s="296"/>
      <c r="J112" s="352">
        <v>1136</v>
      </c>
      <c r="K112" s="296"/>
      <c r="L112" s="297">
        <f t="shared" si="47"/>
        <v>4544</v>
      </c>
      <c r="M112" s="298"/>
      <c r="N112" s="298"/>
      <c r="O112" s="315"/>
      <c r="P112" s="300"/>
      <c r="S112" s="301">
        <f>H112*E112</f>
        <v>0</v>
      </c>
      <c r="T112" s="301">
        <f>I112*E112</f>
        <v>0</v>
      </c>
      <c r="U112" s="301">
        <f>J112*E112</f>
        <v>4544</v>
      </c>
      <c r="V112" s="301">
        <f>K112*E112</f>
        <v>0</v>
      </c>
    </row>
    <row r="113" spans="1:22" s="301" customFormat="1" x14ac:dyDescent="0.2">
      <c r="A113" s="516"/>
      <c r="B113" s="353"/>
      <c r="C113" s="534"/>
      <c r="D113" s="355"/>
      <c r="E113" s="409"/>
      <c r="F113" s="379">
        <f t="shared" si="46"/>
        <v>0</v>
      </c>
      <c r="G113" s="296"/>
      <c r="H113" s="296"/>
      <c r="I113" s="296"/>
      <c r="J113" s="296"/>
      <c r="K113" s="296"/>
      <c r="L113" s="297">
        <f t="shared" si="47"/>
        <v>0</v>
      </c>
      <c r="M113" s="298"/>
      <c r="N113" s="298"/>
      <c r="O113" s="315"/>
      <c r="P113" s="300"/>
    </row>
    <row r="114" spans="1:22" s="301" customFormat="1" x14ac:dyDescent="0.2">
      <c r="A114" s="350"/>
      <c r="B114" s="353"/>
      <c r="C114" s="528"/>
      <c r="D114" s="355"/>
      <c r="E114" s="356"/>
      <c r="F114" s="379">
        <f t="shared" si="46"/>
        <v>0</v>
      </c>
      <c r="G114" s="296"/>
      <c r="H114" s="296"/>
      <c r="I114" s="296"/>
      <c r="J114" s="296"/>
      <c r="K114" s="296"/>
      <c r="L114" s="297">
        <f t="shared" si="47"/>
        <v>0</v>
      </c>
      <c r="M114" s="298"/>
      <c r="N114" s="298"/>
      <c r="O114" s="315"/>
      <c r="P114" s="300"/>
    </row>
    <row r="115" spans="1:22" s="301" customFormat="1" x14ac:dyDescent="0.2">
      <c r="A115" s="350">
        <v>5381</v>
      </c>
      <c r="B115" s="353" t="s">
        <v>714</v>
      </c>
      <c r="C115" s="528" t="s">
        <v>715</v>
      </c>
      <c r="D115" s="355">
        <v>10</v>
      </c>
      <c r="E115" s="356">
        <v>373</v>
      </c>
      <c r="F115" s="379">
        <f t="shared" si="46"/>
        <v>3730</v>
      </c>
      <c r="G115" s="296">
        <v>10</v>
      </c>
      <c r="H115" s="296"/>
      <c r="I115" s="357">
        <v>10</v>
      </c>
      <c r="J115" s="296"/>
      <c r="K115" s="296"/>
      <c r="L115" s="297">
        <f t="shared" si="47"/>
        <v>3730</v>
      </c>
      <c r="M115" s="298">
        <v>43579</v>
      </c>
      <c r="N115" s="298">
        <v>43602</v>
      </c>
      <c r="O115" s="315"/>
      <c r="P115" s="300"/>
      <c r="S115" s="301">
        <f t="shared" si="29"/>
        <v>0</v>
      </c>
      <c r="T115" s="301">
        <f t="shared" si="30"/>
        <v>3730</v>
      </c>
      <c r="U115" s="301">
        <f t="shared" si="31"/>
        <v>0</v>
      </c>
      <c r="V115" s="301">
        <f t="shared" si="32"/>
        <v>0</v>
      </c>
    </row>
    <row r="116" spans="1:22" s="301" customFormat="1" x14ac:dyDescent="0.2">
      <c r="A116" s="350">
        <v>5382</v>
      </c>
      <c r="B116" s="353" t="s">
        <v>714</v>
      </c>
      <c r="C116" s="528" t="s">
        <v>716</v>
      </c>
      <c r="D116" s="355">
        <v>10</v>
      </c>
      <c r="E116" s="356">
        <v>604</v>
      </c>
      <c r="F116" s="379">
        <f t="shared" si="46"/>
        <v>6040</v>
      </c>
      <c r="G116" s="296">
        <v>10</v>
      </c>
      <c r="H116" s="296"/>
      <c r="I116" s="357">
        <v>10</v>
      </c>
      <c r="J116" s="296"/>
      <c r="K116" s="296"/>
      <c r="L116" s="297">
        <f t="shared" si="47"/>
        <v>6040</v>
      </c>
      <c r="M116" s="298">
        <v>43579</v>
      </c>
      <c r="N116" s="298">
        <v>43602</v>
      </c>
      <c r="O116" s="315"/>
      <c r="P116" s="300"/>
      <c r="S116" s="301">
        <f t="shared" si="29"/>
        <v>0</v>
      </c>
      <c r="T116" s="301">
        <f t="shared" si="30"/>
        <v>6040</v>
      </c>
      <c r="U116" s="301">
        <f t="shared" si="31"/>
        <v>0</v>
      </c>
      <c r="V116" s="301">
        <f t="shared" si="32"/>
        <v>0</v>
      </c>
    </row>
    <row r="117" spans="1:22" s="301" customFormat="1" x14ac:dyDescent="0.2">
      <c r="A117" s="350">
        <v>5383</v>
      </c>
      <c r="B117" s="353" t="s">
        <v>714</v>
      </c>
      <c r="C117" s="528" t="s">
        <v>717</v>
      </c>
      <c r="D117" s="355">
        <v>30</v>
      </c>
      <c r="E117" s="356">
        <v>80</v>
      </c>
      <c r="F117" s="379">
        <f t="shared" si="46"/>
        <v>2400</v>
      </c>
      <c r="G117" s="296">
        <v>30</v>
      </c>
      <c r="H117" s="296"/>
      <c r="I117" s="357">
        <v>30</v>
      </c>
      <c r="J117" s="296"/>
      <c r="K117" s="296"/>
      <c r="L117" s="297">
        <f t="shared" ref="L117:L148" si="48">E117*(H117+I117+J117+K117)</f>
        <v>2400</v>
      </c>
      <c r="M117" s="298">
        <v>43579</v>
      </c>
      <c r="N117" s="298">
        <v>43602</v>
      </c>
      <c r="O117" s="315"/>
      <c r="P117" s="300"/>
      <c r="S117" s="301">
        <f t="shared" si="29"/>
        <v>0</v>
      </c>
      <c r="T117" s="301">
        <f t="shared" si="30"/>
        <v>2400</v>
      </c>
      <c r="U117" s="301">
        <f t="shared" si="31"/>
        <v>0</v>
      </c>
      <c r="V117" s="301">
        <f t="shared" si="32"/>
        <v>0</v>
      </c>
    </row>
    <row r="118" spans="1:22" s="301" customFormat="1" x14ac:dyDescent="0.2">
      <c r="A118" s="350"/>
      <c r="B118" s="353"/>
      <c r="C118" s="528"/>
      <c r="D118" s="355"/>
      <c r="E118" s="356"/>
      <c r="F118" s="379">
        <f t="shared" ref="F118:F124" si="49">E118*D118</f>
        <v>0</v>
      </c>
      <c r="G118" s="296"/>
      <c r="H118" s="296"/>
      <c r="I118" s="296"/>
      <c r="J118" s="296"/>
      <c r="K118" s="296"/>
      <c r="L118" s="297">
        <f t="shared" si="48"/>
        <v>0</v>
      </c>
      <c r="M118" s="298"/>
      <c r="N118" s="298"/>
      <c r="O118" s="315"/>
      <c r="P118" s="300"/>
      <c r="S118" s="301">
        <f t="shared" si="29"/>
        <v>0</v>
      </c>
      <c r="T118" s="301">
        <f t="shared" si="30"/>
        <v>0</v>
      </c>
      <c r="U118" s="301">
        <f t="shared" si="31"/>
        <v>0</v>
      </c>
      <c r="V118" s="301">
        <f t="shared" si="32"/>
        <v>0</v>
      </c>
    </row>
    <row r="119" spans="1:22" s="301" customFormat="1" x14ac:dyDescent="0.2">
      <c r="A119" s="350">
        <v>5391</v>
      </c>
      <c r="B119" s="353" t="s">
        <v>452</v>
      </c>
      <c r="C119" s="528" t="s">
        <v>719</v>
      </c>
      <c r="D119" s="355">
        <v>1</v>
      </c>
      <c r="E119" s="356">
        <v>1300</v>
      </c>
      <c r="F119" s="379">
        <f>E119*D119</f>
        <v>1300</v>
      </c>
      <c r="G119" s="296">
        <v>1</v>
      </c>
      <c r="H119" s="296"/>
      <c r="I119" s="296"/>
      <c r="J119" s="296"/>
      <c r="K119" s="296"/>
      <c r="L119" s="297">
        <f>E119*(H119+I119+J119+K119)</f>
        <v>0</v>
      </c>
      <c r="M119" s="298"/>
      <c r="N119" s="298"/>
      <c r="O119" s="315"/>
      <c r="P119" s="300"/>
      <c r="S119" s="301">
        <f>H119*E119</f>
        <v>0</v>
      </c>
      <c r="T119" s="301">
        <f>I119*E119</f>
        <v>0</v>
      </c>
      <c r="U119" s="301">
        <f>J119*E119</f>
        <v>0</v>
      </c>
      <c r="V119" s="301">
        <f>K119*E119</f>
        <v>0</v>
      </c>
    </row>
    <row r="120" spans="1:22" s="301" customFormat="1" x14ac:dyDescent="0.2">
      <c r="A120" s="350"/>
      <c r="B120" s="353"/>
      <c r="C120" s="528"/>
      <c r="D120" s="355"/>
      <c r="E120" s="356"/>
      <c r="F120" s="379">
        <f>E120*D120</f>
        <v>0</v>
      </c>
      <c r="G120" s="296"/>
      <c r="H120" s="296"/>
      <c r="I120" s="296"/>
      <c r="J120" s="296"/>
      <c r="K120" s="296"/>
      <c r="L120" s="297">
        <f>E120*(H120+I120+J120+K120)</f>
        <v>0</v>
      </c>
      <c r="M120" s="298"/>
      <c r="N120" s="298"/>
      <c r="O120" s="315"/>
      <c r="P120" s="300"/>
      <c r="S120" s="301">
        <f t="shared" si="29"/>
        <v>0</v>
      </c>
      <c r="T120" s="301">
        <f t="shared" si="30"/>
        <v>0</v>
      </c>
      <c r="U120" s="301">
        <f t="shared" si="31"/>
        <v>0</v>
      </c>
      <c r="V120" s="301">
        <f t="shared" si="32"/>
        <v>0</v>
      </c>
    </row>
    <row r="121" spans="1:22" s="301" customFormat="1" x14ac:dyDescent="0.2">
      <c r="A121" s="350">
        <v>5273</v>
      </c>
      <c r="B121" s="353" t="s">
        <v>593</v>
      </c>
      <c r="C121" s="528" t="s">
        <v>721</v>
      </c>
      <c r="D121" s="355">
        <v>5</v>
      </c>
      <c r="E121" s="356">
        <v>1200</v>
      </c>
      <c r="F121" s="379">
        <f>E121*D121</f>
        <v>6000</v>
      </c>
      <c r="G121" s="296">
        <v>5</v>
      </c>
      <c r="H121" s="296"/>
      <c r="I121" s="296"/>
      <c r="J121" s="296"/>
      <c r="K121" s="357">
        <v>5</v>
      </c>
      <c r="L121" s="297">
        <f t="shared" si="48"/>
        <v>6000</v>
      </c>
      <c r="M121" s="298">
        <v>43581</v>
      </c>
      <c r="N121" s="298">
        <v>43602</v>
      </c>
      <c r="O121" s="315"/>
      <c r="P121" s="300"/>
      <c r="S121" s="301">
        <f t="shared" si="29"/>
        <v>0</v>
      </c>
      <c r="T121" s="301">
        <f t="shared" si="30"/>
        <v>0</v>
      </c>
      <c r="U121" s="301">
        <f t="shared" si="31"/>
        <v>0</v>
      </c>
      <c r="V121" s="301">
        <f t="shared" si="32"/>
        <v>6000</v>
      </c>
    </row>
    <row r="122" spans="1:22" s="301" customFormat="1" x14ac:dyDescent="0.2">
      <c r="A122" s="350"/>
      <c r="B122" s="353"/>
      <c r="C122" s="528"/>
      <c r="D122" s="355"/>
      <c r="E122" s="356"/>
      <c r="F122" s="379">
        <f t="shared" si="49"/>
        <v>0</v>
      </c>
      <c r="G122" s="296"/>
      <c r="H122" s="296"/>
      <c r="I122" s="296"/>
      <c r="J122" s="296"/>
      <c r="K122" s="296"/>
      <c r="L122" s="297">
        <f t="shared" si="48"/>
        <v>0</v>
      </c>
      <c r="M122" s="298"/>
      <c r="N122" s="298"/>
      <c r="O122" s="315"/>
      <c r="P122" s="300"/>
      <c r="S122" s="301">
        <f t="shared" si="29"/>
        <v>0</v>
      </c>
      <c r="T122" s="301">
        <f t="shared" si="30"/>
        <v>0</v>
      </c>
      <c r="U122" s="301">
        <f t="shared" si="31"/>
        <v>0</v>
      </c>
      <c r="V122" s="301">
        <f t="shared" si="32"/>
        <v>0</v>
      </c>
    </row>
    <row r="123" spans="1:22" s="301" customFormat="1" x14ac:dyDescent="0.2">
      <c r="A123" s="350">
        <v>5351</v>
      </c>
      <c r="B123" s="353" t="s">
        <v>728</v>
      </c>
      <c r="C123" s="528" t="s">
        <v>727</v>
      </c>
      <c r="D123" s="355">
        <v>15</v>
      </c>
      <c r="E123" s="356">
        <v>1400</v>
      </c>
      <c r="F123" s="379">
        <f>E123*D123</f>
        <v>21000</v>
      </c>
      <c r="G123" s="296">
        <v>5</v>
      </c>
      <c r="H123" s="296"/>
      <c r="I123" s="352">
        <v>5</v>
      </c>
      <c r="J123" s="296"/>
      <c r="K123" s="296"/>
      <c r="L123" s="297">
        <f>E123*(H123+I123+J123+K123)</f>
        <v>7000</v>
      </c>
      <c r="M123" s="298"/>
      <c r="N123" s="298"/>
      <c r="O123" s="315"/>
      <c r="P123" s="300"/>
      <c r="S123" s="301">
        <f>H123*E123</f>
        <v>0</v>
      </c>
      <c r="T123" s="301">
        <f>I123*E123</f>
        <v>7000</v>
      </c>
      <c r="U123" s="301">
        <f>J123*E123</f>
        <v>0</v>
      </c>
      <c r="V123" s="301">
        <f>K123*E123</f>
        <v>0</v>
      </c>
    </row>
    <row r="124" spans="1:22" s="301" customFormat="1" x14ac:dyDescent="0.2">
      <c r="A124" s="350"/>
      <c r="B124" s="353"/>
      <c r="C124" s="528"/>
      <c r="D124" s="355"/>
      <c r="E124" s="356"/>
      <c r="F124" s="379">
        <f t="shared" si="49"/>
        <v>0</v>
      </c>
      <c r="G124" s="296"/>
      <c r="H124" s="296"/>
      <c r="I124" s="296"/>
      <c r="J124" s="296"/>
      <c r="K124" s="296"/>
      <c r="L124" s="297">
        <f t="shared" si="48"/>
        <v>0</v>
      </c>
      <c r="M124" s="298"/>
      <c r="N124" s="298"/>
      <c r="O124" s="315"/>
      <c r="P124" s="300"/>
      <c r="S124" s="301">
        <f t="shared" si="29"/>
        <v>0</v>
      </c>
      <c r="T124" s="301">
        <f t="shared" si="30"/>
        <v>0</v>
      </c>
      <c r="U124" s="301">
        <f t="shared" si="31"/>
        <v>0</v>
      </c>
      <c r="V124" s="301">
        <f t="shared" si="32"/>
        <v>0</v>
      </c>
    </row>
    <row r="125" spans="1:22" s="301" customFormat="1" x14ac:dyDescent="0.2">
      <c r="A125" s="350">
        <v>4960</v>
      </c>
      <c r="B125" s="353" t="s">
        <v>477</v>
      </c>
      <c r="C125" s="528" t="s">
        <v>729</v>
      </c>
      <c r="D125" s="355">
        <v>5</v>
      </c>
      <c r="E125" s="356">
        <v>1380</v>
      </c>
      <c r="F125" s="379">
        <f t="shared" ref="F125:F135" si="50">E125*D125</f>
        <v>6900</v>
      </c>
      <c r="G125" s="296"/>
      <c r="H125" s="296"/>
      <c r="I125" s="296"/>
      <c r="J125" s="296"/>
      <c r="K125" s="296"/>
      <c r="L125" s="297">
        <f t="shared" si="48"/>
        <v>0</v>
      </c>
      <c r="M125" s="298">
        <v>43581</v>
      </c>
      <c r="N125" s="298">
        <v>43615</v>
      </c>
      <c r="O125" s="315"/>
      <c r="P125" s="300"/>
      <c r="S125" s="301">
        <f t="shared" ref="S125:S171" si="51">H125*E125</f>
        <v>0</v>
      </c>
      <c r="T125" s="301">
        <f t="shared" ref="T125:T171" si="52">I125*E125</f>
        <v>0</v>
      </c>
      <c r="U125" s="301">
        <f t="shared" ref="U125:U171" si="53">J125*E125</f>
        <v>0</v>
      </c>
      <c r="V125" s="301">
        <f t="shared" ref="V125:V171" si="54">K125*E125</f>
        <v>0</v>
      </c>
    </row>
    <row r="126" spans="1:22" s="301" customFormat="1" x14ac:dyDescent="0.2">
      <c r="A126" s="350">
        <v>4961</v>
      </c>
      <c r="B126" s="353" t="s">
        <v>477</v>
      </c>
      <c r="C126" s="528" t="s">
        <v>730</v>
      </c>
      <c r="D126" s="355">
        <v>6</v>
      </c>
      <c r="E126" s="356">
        <v>1380</v>
      </c>
      <c r="F126" s="379">
        <f t="shared" si="50"/>
        <v>8280</v>
      </c>
      <c r="G126" s="296"/>
      <c r="H126" s="296"/>
      <c r="I126" s="296"/>
      <c r="J126" s="296"/>
      <c r="K126" s="296"/>
      <c r="L126" s="297">
        <f t="shared" si="48"/>
        <v>0</v>
      </c>
      <c r="M126" s="298">
        <v>43581</v>
      </c>
      <c r="N126" s="298">
        <v>43615</v>
      </c>
      <c r="O126" s="315"/>
      <c r="P126" s="300"/>
      <c r="S126" s="301">
        <f t="shared" si="51"/>
        <v>0</v>
      </c>
      <c r="T126" s="301">
        <f t="shared" si="52"/>
        <v>0</v>
      </c>
      <c r="U126" s="301">
        <f t="shared" si="53"/>
        <v>0</v>
      </c>
      <c r="V126" s="301">
        <f t="shared" si="54"/>
        <v>0</v>
      </c>
    </row>
    <row r="127" spans="1:22" s="301" customFormat="1" x14ac:dyDescent="0.2">
      <c r="A127" s="350">
        <v>4962</v>
      </c>
      <c r="B127" s="353" t="s">
        <v>477</v>
      </c>
      <c r="C127" s="528" t="s">
        <v>731</v>
      </c>
      <c r="D127" s="355">
        <v>6</v>
      </c>
      <c r="E127" s="356">
        <v>1210</v>
      </c>
      <c r="F127" s="379">
        <f t="shared" si="50"/>
        <v>7260</v>
      </c>
      <c r="G127" s="296"/>
      <c r="H127" s="296"/>
      <c r="I127" s="296"/>
      <c r="J127" s="296"/>
      <c r="K127" s="296"/>
      <c r="L127" s="297">
        <f t="shared" si="48"/>
        <v>0</v>
      </c>
      <c r="M127" s="298">
        <v>43581</v>
      </c>
      <c r="N127" s="298">
        <v>43615</v>
      </c>
      <c r="O127" s="315"/>
      <c r="P127" s="300"/>
      <c r="S127" s="301">
        <f t="shared" si="51"/>
        <v>0</v>
      </c>
      <c r="T127" s="301">
        <f t="shared" si="52"/>
        <v>0</v>
      </c>
      <c r="U127" s="301">
        <f t="shared" si="53"/>
        <v>0</v>
      </c>
      <c r="V127" s="301">
        <f t="shared" si="54"/>
        <v>0</v>
      </c>
    </row>
    <row r="128" spans="1:22" s="301" customFormat="1" x14ac:dyDescent="0.2">
      <c r="A128" s="319">
        <v>4963</v>
      </c>
      <c r="B128" s="353" t="s">
        <v>477</v>
      </c>
      <c r="C128" s="528" t="s">
        <v>732</v>
      </c>
      <c r="D128" s="355">
        <v>24</v>
      </c>
      <c r="E128" s="356">
        <v>2000</v>
      </c>
      <c r="F128" s="379">
        <f t="shared" si="50"/>
        <v>48000</v>
      </c>
      <c r="G128" s="296">
        <v>24</v>
      </c>
      <c r="H128" s="296"/>
      <c r="I128" s="296"/>
      <c r="J128" s="296"/>
      <c r="K128" s="357">
        <v>24</v>
      </c>
      <c r="L128" s="297">
        <f t="shared" si="48"/>
        <v>48000</v>
      </c>
      <c r="M128" s="298">
        <v>43581</v>
      </c>
      <c r="N128" s="298">
        <v>43615</v>
      </c>
      <c r="O128" s="315"/>
      <c r="P128" s="300"/>
      <c r="S128" s="301">
        <f t="shared" si="51"/>
        <v>0</v>
      </c>
      <c r="T128" s="301">
        <f t="shared" si="52"/>
        <v>0</v>
      </c>
      <c r="U128" s="301">
        <f t="shared" si="53"/>
        <v>0</v>
      </c>
      <c r="V128" s="301">
        <f t="shared" si="54"/>
        <v>48000</v>
      </c>
    </row>
    <row r="129" spans="1:22" s="301" customFormat="1" x14ac:dyDescent="0.2">
      <c r="A129" s="319">
        <v>4964</v>
      </c>
      <c r="B129" s="353" t="s">
        <v>477</v>
      </c>
      <c r="C129" s="528" t="s">
        <v>733</v>
      </c>
      <c r="D129" s="355">
        <v>8</v>
      </c>
      <c r="E129" s="356">
        <v>3500</v>
      </c>
      <c r="F129" s="379">
        <f t="shared" si="50"/>
        <v>28000</v>
      </c>
      <c r="G129" s="296"/>
      <c r="H129" s="296"/>
      <c r="I129" s="296"/>
      <c r="J129" s="296"/>
      <c r="K129" s="296"/>
      <c r="L129" s="297">
        <f t="shared" si="48"/>
        <v>0</v>
      </c>
      <c r="M129" s="298">
        <v>43581</v>
      </c>
      <c r="N129" s="298">
        <v>43615</v>
      </c>
      <c r="O129" s="315"/>
      <c r="P129" s="300"/>
      <c r="S129" s="301">
        <f t="shared" si="51"/>
        <v>0</v>
      </c>
      <c r="T129" s="301">
        <f t="shared" si="52"/>
        <v>0</v>
      </c>
      <c r="U129" s="301">
        <f t="shared" si="53"/>
        <v>0</v>
      </c>
      <c r="V129" s="301">
        <f t="shared" si="54"/>
        <v>0</v>
      </c>
    </row>
    <row r="130" spans="1:22" s="301" customFormat="1" x14ac:dyDescent="0.2">
      <c r="A130" s="319">
        <v>4965</v>
      </c>
      <c r="B130" s="353" t="s">
        <v>477</v>
      </c>
      <c r="C130" s="528" t="s">
        <v>734</v>
      </c>
      <c r="D130" s="355">
        <v>24</v>
      </c>
      <c r="E130" s="356">
        <v>3300</v>
      </c>
      <c r="F130" s="379">
        <f t="shared" si="50"/>
        <v>79200</v>
      </c>
      <c r="G130" s="296">
        <v>24</v>
      </c>
      <c r="H130" s="296"/>
      <c r="I130" s="296"/>
      <c r="J130" s="296"/>
      <c r="K130" s="357">
        <v>24</v>
      </c>
      <c r="L130" s="297">
        <f t="shared" si="48"/>
        <v>79200</v>
      </c>
      <c r="M130" s="298">
        <v>43581</v>
      </c>
      <c r="N130" s="298">
        <v>43615</v>
      </c>
      <c r="O130" s="315"/>
      <c r="P130" s="300"/>
      <c r="S130" s="301">
        <f t="shared" si="51"/>
        <v>0</v>
      </c>
      <c r="T130" s="301">
        <f t="shared" si="52"/>
        <v>0</v>
      </c>
      <c r="U130" s="301">
        <f t="shared" si="53"/>
        <v>0</v>
      </c>
      <c r="V130" s="301">
        <f t="shared" si="54"/>
        <v>79200</v>
      </c>
    </row>
    <row r="131" spans="1:22" s="301" customFormat="1" x14ac:dyDescent="0.2">
      <c r="A131" s="319">
        <v>4966</v>
      </c>
      <c r="B131" s="353" t="s">
        <v>475</v>
      </c>
      <c r="C131" s="528" t="s">
        <v>735</v>
      </c>
      <c r="D131" s="355">
        <v>12</v>
      </c>
      <c r="E131" s="356">
        <v>870</v>
      </c>
      <c r="F131" s="379">
        <f t="shared" si="50"/>
        <v>10440</v>
      </c>
      <c r="G131" s="296">
        <v>12</v>
      </c>
      <c r="H131" s="296"/>
      <c r="I131" s="296"/>
      <c r="J131" s="296"/>
      <c r="K131" s="357">
        <v>12</v>
      </c>
      <c r="L131" s="297">
        <f t="shared" si="48"/>
        <v>10440</v>
      </c>
      <c r="M131" s="298">
        <v>43581</v>
      </c>
      <c r="N131" s="298">
        <v>43615</v>
      </c>
      <c r="O131" s="315"/>
      <c r="P131" s="300"/>
      <c r="S131" s="301">
        <f t="shared" si="51"/>
        <v>0</v>
      </c>
      <c r="T131" s="301">
        <f t="shared" si="52"/>
        <v>0</v>
      </c>
      <c r="U131" s="301">
        <f t="shared" si="53"/>
        <v>0</v>
      </c>
      <c r="V131" s="301">
        <f t="shared" si="54"/>
        <v>10440</v>
      </c>
    </row>
    <row r="132" spans="1:22" s="301" customFormat="1" x14ac:dyDescent="0.2">
      <c r="A132" s="319">
        <v>4967</v>
      </c>
      <c r="B132" s="353" t="s">
        <v>475</v>
      </c>
      <c r="C132" s="528" t="s">
        <v>736</v>
      </c>
      <c r="D132" s="355">
        <v>12</v>
      </c>
      <c r="E132" s="356">
        <v>1560</v>
      </c>
      <c r="F132" s="379">
        <f t="shared" si="50"/>
        <v>18720</v>
      </c>
      <c r="G132" s="296">
        <v>12</v>
      </c>
      <c r="H132" s="296"/>
      <c r="I132" s="296"/>
      <c r="J132" s="296"/>
      <c r="K132" s="357">
        <v>12</v>
      </c>
      <c r="L132" s="297">
        <f t="shared" ref="L132:L147" si="55">E132*(H132+I132+J132+K132)</f>
        <v>18720</v>
      </c>
      <c r="M132" s="298">
        <v>43581</v>
      </c>
      <c r="N132" s="298">
        <v>43615</v>
      </c>
      <c r="O132" s="315"/>
      <c r="P132" s="300"/>
      <c r="S132" s="301">
        <f t="shared" si="51"/>
        <v>0</v>
      </c>
      <c r="T132" s="301">
        <f t="shared" si="52"/>
        <v>0</v>
      </c>
      <c r="U132" s="301">
        <f t="shared" si="53"/>
        <v>0</v>
      </c>
      <c r="V132" s="301">
        <f t="shared" si="54"/>
        <v>18720</v>
      </c>
    </row>
    <row r="133" spans="1:22" s="301" customFormat="1" x14ac:dyDescent="0.2">
      <c r="A133" s="319">
        <v>4968</v>
      </c>
      <c r="B133" s="353" t="s">
        <v>477</v>
      </c>
      <c r="C133" s="528" t="s">
        <v>737</v>
      </c>
      <c r="D133" s="355">
        <v>8</v>
      </c>
      <c r="E133" s="356">
        <v>1100</v>
      </c>
      <c r="F133" s="379">
        <f t="shared" si="50"/>
        <v>8800</v>
      </c>
      <c r="G133" s="296">
        <v>8</v>
      </c>
      <c r="H133" s="296"/>
      <c r="I133" s="296"/>
      <c r="J133" s="296"/>
      <c r="K133" s="357">
        <v>8</v>
      </c>
      <c r="L133" s="297">
        <f t="shared" si="55"/>
        <v>8800</v>
      </c>
      <c r="M133" s="298">
        <v>43581</v>
      </c>
      <c r="N133" s="298">
        <v>43615</v>
      </c>
      <c r="O133" s="315"/>
      <c r="P133" s="300"/>
      <c r="S133" s="301">
        <f t="shared" si="51"/>
        <v>0</v>
      </c>
      <c r="T133" s="301">
        <f t="shared" si="52"/>
        <v>0</v>
      </c>
      <c r="U133" s="301">
        <f t="shared" si="53"/>
        <v>0</v>
      </c>
      <c r="V133" s="301">
        <f t="shared" si="54"/>
        <v>8800</v>
      </c>
    </row>
    <row r="134" spans="1:22" s="301" customFormat="1" x14ac:dyDescent="0.2">
      <c r="A134" s="350">
        <v>4969</v>
      </c>
      <c r="B134" s="353" t="s">
        <v>477</v>
      </c>
      <c r="C134" s="528" t="s">
        <v>738</v>
      </c>
      <c r="D134" s="355">
        <v>8</v>
      </c>
      <c r="E134" s="356">
        <v>800</v>
      </c>
      <c r="F134" s="379">
        <f t="shared" si="50"/>
        <v>6400</v>
      </c>
      <c r="G134" s="296"/>
      <c r="H134" s="296"/>
      <c r="I134" s="296"/>
      <c r="J134" s="296"/>
      <c r="K134" s="296"/>
      <c r="L134" s="297">
        <f t="shared" si="55"/>
        <v>0</v>
      </c>
      <c r="M134" s="298">
        <v>43581</v>
      </c>
      <c r="N134" s="298">
        <v>43615</v>
      </c>
      <c r="O134" s="315"/>
      <c r="P134" s="300"/>
      <c r="S134" s="301">
        <f t="shared" si="51"/>
        <v>0</v>
      </c>
      <c r="T134" s="301">
        <f t="shared" si="52"/>
        <v>0</v>
      </c>
      <c r="U134" s="301">
        <f t="shared" si="53"/>
        <v>0</v>
      </c>
      <c r="V134" s="301">
        <f t="shared" si="54"/>
        <v>0</v>
      </c>
    </row>
    <row r="135" spans="1:22" s="301" customFormat="1" x14ac:dyDescent="0.2">
      <c r="A135" s="350">
        <v>4970</v>
      </c>
      <c r="B135" s="353" t="s">
        <v>477</v>
      </c>
      <c r="C135" s="528" t="s">
        <v>739</v>
      </c>
      <c r="D135" s="355">
        <v>4</v>
      </c>
      <c r="E135" s="356">
        <v>1100</v>
      </c>
      <c r="F135" s="379">
        <f t="shared" si="50"/>
        <v>4400</v>
      </c>
      <c r="G135" s="296"/>
      <c r="H135" s="296"/>
      <c r="I135" s="296"/>
      <c r="J135" s="296"/>
      <c r="K135" s="296"/>
      <c r="L135" s="297">
        <f t="shared" si="55"/>
        <v>0</v>
      </c>
      <c r="M135" s="298">
        <v>43581</v>
      </c>
      <c r="N135" s="298">
        <v>43615</v>
      </c>
      <c r="O135" s="315"/>
      <c r="P135" s="300"/>
      <c r="S135" s="301">
        <f t="shared" si="51"/>
        <v>0</v>
      </c>
      <c r="T135" s="301">
        <f t="shared" si="52"/>
        <v>0</v>
      </c>
      <c r="U135" s="301">
        <f t="shared" si="53"/>
        <v>0</v>
      </c>
      <c r="V135" s="301">
        <f t="shared" si="54"/>
        <v>0</v>
      </c>
    </row>
    <row r="136" spans="1:22" s="301" customFormat="1" x14ac:dyDescent="0.2">
      <c r="A136" s="350">
        <v>4971</v>
      </c>
      <c r="B136" s="353" t="s">
        <v>477</v>
      </c>
      <c r="C136" s="528" t="s">
        <v>740</v>
      </c>
      <c r="D136" s="355">
        <v>8</v>
      </c>
      <c r="E136" s="356">
        <v>1600</v>
      </c>
      <c r="F136" s="379">
        <f t="shared" ref="F136:F146" si="56">E136*D136</f>
        <v>12800</v>
      </c>
      <c r="G136" s="296"/>
      <c r="H136" s="296"/>
      <c r="I136" s="296"/>
      <c r="J136" s="296"/>
      <c r="K136" s="296"/>
      <c r="L136" s="297">
        <f t="shared" si="55"/>
        <v>0</v>
      </c>
      <c r="M136" s="298">
        <v>43581</v>
      </c>
      <c r="N136" s="298">
        <v>43615</v>
      </c>
      <c r="O136" s="315"/>
      <c r="P136" s="300"/>
      <c r="S136" s="301">
        <f t="shared" si="51"/>
        <v>0</v>
      </c>
      <c r="T136" s="301">
        <f t="shared" si="52"/>
        <v>0</v>
      </c>
      <c r="U136" s="301">
        <f t="shared" si="53"/>
        <v>0</v>
      </c>
      <c r="V136" s="301">
        <f t="shared" si="54"/>
        <v>0</v>
      </c>
    </row>
    <row r="137" spans="1:22" s="301" customFormat="1" x14ac:dyDescent="0.2">
      <c r="A137" s="350">
        <v>4972</v>
      </c>
      <c r="B137" s="353" t="s">
        <v>477</v>
      </c>
      <c r="C137" s="528" t="s">
        <v>741</v>
      </c>
      <c r="D137" s="355">
        <v>4</v>
      </c>
      <c r="E137" s="356">
        <v>4700</v>
      </c>
      <c r="F137" s="379">
        <f t="shared" si="56"/>
        <v>18800</v>
      </c>
      <c r="G137" s="296"/>
      <c r="H137" s="296"/>
      <c r="I137" s="296"/>
      <c r="J137" s="296"/>
      <c r="K137" s="296"/>
      <c r="L137" s="297">
        <f t="shared" si="55"/>
        <v>0</v>
      </c>
      <c r="M137" s="298">
        <v>43581</v>
      </c>
      <c r="N137" s="298">
        <v>43615</v>
      </c>
      <c r="O137" s="315"/>
      <c r="P137" s="300"/>
      <c r="S137" s="301">
        <f t="shared" si="51"/>
        <v>0</v>
      </c>
      <c r="T137" s="301">
        <f t="shared" si="52"/>
        <v>0</v>
      </c>
      <c r="U137" s="301">
        <f t="shared" si="53"/>
        <v>0</v>
      </c>
      <c r="V137" s="301">
        <f t="shared" si="54"/>
        <v>0</v>
      </c>
    </row>
    <row r="138" spans="1:22" s="301" customFormat="1" x14ac:dyDescent="0.2">
      <c r="A138" s="350">
        <v>5508</v>
      </c>
      <c r="B138" s="353" t="s">
        <v>477</v>
      </c>
      <c r="C138" s="528" t="s">
        <v>797</v>
      </c>
      <c r="D138" s="355">
        <v>10</v>
      </c>
      <c r="E138" s="356">
        <v>630</v>
      </c>
      <c r="F138" s="379">
        <f t="shared" si="56"/>
        <v>6300</v>
      </c>
      <c r="G138" s="296"/>
      <c r="H138" s="296"/>
      <c r="I138" s="296"/>
      <c r="J138" s="296"/>
      <c r="K138" s="296"/>
      <c r="L138" s="297">
        <f t="shared" si="55"/>
        <v>0</v>
      </c>
      <c r="M138" s="298">
        <v>43605</v>
      </c>
      <c r="N138" s="298">
        <v>43614</v>
      </c>
      <c r="O138" s="315"/>
      <c r="P138" s="300"/>
      <c r="S138" s="301">
        <f>H138*E138</f>
        <v>0</v>
      </c>
      <c r="T138" s="301">
        <f>I138*E138</f>
        <v>0</v>
      </c>
      <c r="U138" s="301">
        <f>J138*E138</f>
        <v>0</v>
      </c>
      <c r="V138" s="301">
        <f>K138*E138</f>
        <v>0</v>
      </c>
    </row>
    <row r="139" spans="1:22" s="301" customFormat="1" x14ac:dyDescent="0.2">
      <c r="A139" s="511">
        <v>5507</v>
      </c>
      <c r="B139" s="506" t="s">
        <v>477</v>
      </c>
      <c r="C139" s="531" t="s">
        <v>806</v>
      </c>
      <c r="D139" s="512">
        <v>1</v>
      </c>
      <c r="E139" s="356">
        <v>10560</v>
      </c>
      <c r="F139" s="379">
        <f t="shared" si="56"/>
        <v>10560</v>
      </c>
      <c r="G139" s="296"/>
      <c r="H139" s="296"/>
      <c r="I139" s="296"/>
      <c r="J139" s="296"/>
      <c r="K139" s="296"/>
      <c r="L139" s="297">
        <f t="shared" si="55"/>
        <v>0</v>
      </c>
      <c r="M139" s="298">
        <v>43607</v>
      </c>
      <c r="N139" s="298">
        <v>43615</v>
      </c>
      <c r="O139" s="315"/>
      <c r="P139" s="300"/>
      <c r="S139" s="301">
        <f>H139*E139</f>
        <v>0</v>
      </c>
      <c r="T139" s="301">
        <f>I139*E139</f>
        <v>0</v>
      </c>
      <c r="U139" s="301">
        <f>J139*E139</f>
        <v>0</v>
      </c>
      <c r="V139" s="301">
        <f>K139*E139</f>
        <v>0</v>
      </c>
    </row>
    <row r="140" spans="1:22" s="301" customFormat="1" x14ac:dyDescent="0.2">
      <c r="A140" s="511"/>
      <c r="B140" s="506"/>
      <c r="C140" s="529"/>
      <c r="D140" s="512"/>
      <c r="E140" s="361"/>
      <c r="F140" s="379"/>
      <c r="G140" s="296"/>
      <c r="H140" s="296"/>
      <c r="I140" s="296"/>
      <c r="J140" s="296"/>
      <c r="K140" s="296"/>
      <c r="L140" s="297">
        <f t="shared" si="55"/>
        <v>0</v>
      </c>
      <c r="M140" s="298"/>
      <c r="N140" s="298"/>
      <c r="O140" s="315"/>
      <c r="P140" s="300"/>
    </row>
    <row r="141" spans="1:22" s="301" customFormat="1" x14ac:dyDescent="0.2">
      <c r="A141" s="511"/>
      <c r="B141" s="506"/>
      <c r="C141" s="531"/>
      <c r="D141" s="512"/>
      <c r="E141" s="361"/>
      <c r="F141" s="379"/>
      <c r="G141" s="296"/>
      <c r="H141" s="296"/>
      <c r="I141" s="296"/>
      <c r="J141" s="296"/>
      <c r="K141" s="296"/>
      <c r="L141" s="297">
        <f t="shared" si="55"/>
        <v>0</v>
      </c>
      <c r="M141" s="298"/>
      <c r="N141" s="298"/>
      <c r="O141" s="315"/>
      <c r="P141" s="300"/>
    </row>
    <row r="142" spans="1:22" s="301" customFormat="1" x14ac:dyDescent="0.2">
      <c r="A142" s="511"/>
      <c r="B142" s="506"/>
      <c r="C142" s="531"/>
      <c r="D142" s="512"/>
      <c r="E142" s="356"/>
      <c r="F142" s="379"/>
      <c r="G142" s="296"/>
      <c r="H142" s="296"/>
      <c r="I142" s="296"/>
      <c r="J142" s="296"/>
      <c r="K142" s="296"/>
      <c r="L142" s="297">
        <f t="shared" si="55"/>
        <v>0</v>
      </c>
      <c r="M142" s="298"/>
      <c r="N142" s="298"/>
      <c r="O142" s="315"/>
      <c r="P142" s="300"/>
    </row>
    <row r="143" spans="1:22" s="301" customFormat="1" x14ac:dyDescent="0.2">
      <c r="A143" s="350"/>
      <c r="B143" s="353"/>
      <c r="C143" s="528"/>
      <c r="D143" s="355"/>
      <c r="E143" s="356"/>
      <c r="F143" s="379"/>
      <c r="G143" s="296"/>
      <c r="H143" s="296"/>
      <c r="I143" s="296"/>
      <c r="J143" s="296"/>
      <c r="K143" s="296"/>
      <c r="L143" s="297">
        <f t="shared" si="55"/>
        <v>0</v>
      </c>
      <c r="M143" s="298"/>
      <c r="N143" s="298"/>
      <c r="O143" s="315"/>
      <c r="P143" s="300"/>
    </row>
    <row r="144" spans="1:22" s="301" customFormat="1" x14ac:dyDescent="0.2">
      <c r="A144" s="350">
        <v>5462</v>
      </c>
      <c r="B144" s="353" t="s">
        <v>742</v>
      </c>
      <c r="C144" s="528" t="s">
        <v>743</v>
      </c>
      <c r="D144" s="355">
        <v>12</v>
      </c>
      <c r="E144" s="356">
        <v>85</v>
      </c>
      <c r="F144" s="379">
        <f t="shared" si="56"/>
        <v>1020</v>
      </c>
      <c r="G144" s="296">
        <v>12</v>
      </c>
      <c r="H144" s="296"/>
      <c r="I144" s="352">
        <v>12</v>
      </c>
      <c r="J144" s="296"/>
      <c r="K144" s="296"/>
      <c r="L144" s="297">
        <f t="shared" si="55"/>
        <v>1020</v>
      </c>
      <c r="M144" s="298">
        <v>43584</v>
      </c>
      <c r="N144" s="298">
        <v>43585</v>
      </c>
      <c r="O144" s="315"/>
      <c r="P144" s="300"/>
      <c r="S144" s="301">
        <f t="shared" si="51"/>
        <v>0</v>
      </c>
      <c r="T144" s="301">
        <f t="shared" si="52"/>
        <v>1020</v>
      </c>
      <c r="U144" s="301">
        <f t="shared" si="53"/>
        <v>0</v>
      </c>
      <c r="V144" s="301">
        <f t="shared" si="54"/>
        <v>0</v>
      </c>
    </row>
    <row r="145" spans="1:22" s="301" customFormat="1" x14ac:dyDescent="0.2">
      <c r="A145" s="500"/>
      <c r="B145" s="353"/>
      <c r="C145" s="528"/>
      <c r="D145" s="355"/>
      <c r="E145" s="356"/>
      <c r="F145" s="379">
        <f t="shared" si="56"/>
        <v>0</v>
      </c>
      <c r="G145" s="296"/>
      <c r="H145" s="296"/>
      <c r="I145" s="296"/>
      <c r="J145" s="296"/>
      <c r="K145" s="296"/>
      <c r="L145" s="297">
        <f t="shared" si="55"/>
        <v>0</v>
      </c>
      <c r="M145" s="298"/>
      <c r="N145" s="298"/>
      <c r="O145" s="315"/>
      <c r="P145" s="300"/>
      <c r="S145" s="301">
        <f t="shared" si="51"/>
        <v>0</v>
      </c>
      <c r="T145" s="301">
        <f t="shared" si="52"/>
        <v>0</v>
      </c>
      <c r="U145" s="301">
        <f t="shared" si="53"/>
        <v>0</v>
      </c>
      <c r="V145" s="301">
        <f t="shared" si="54"/>
        <v>0</v>
      </c>
    </row>
    <row r="146" spans="1:22" s="301" customFormat="1" x14ac:dyDescent="0.2">
      <c r="A146" s="350">
        <v>5464</v>
      </c>
      <c r="B146" s="353" t="s">
        <v>744</v>
      </c>
      <c r="C146" s="528" t="s">
        <v>745</v>
      </c>
      <c r="D146" s="355">
        <v>6</v>
      </c>
      <c r="E146" s="356">
        <v>850</v>
      </c>
      <c r="F146" s="379">
        <f t="shared" si="56"/>
        <v>5100</v>
      </c>
      <c r="G146" s="296">
        <v>6</v>
      </c>
      <c r="H146" s="357">
        <v>6</v>
      </c>
      <c r="I146" s="296"/>
      <c r="J146" s="296"/>
      <c r="K146" s="296"/>
      <c r="L146" s="297">
        <f t="shared" si="55"/>
        <v>5100</v>
      </c>
      <c r="M146" s="298">
        <v>43585</v>
      </c>
      <c r="N146" s="298">
        <v>43593</v>
      </c>
      <c r="O146" s="315"/>
      <c r="P146" s="300"/>
      <c r="S146" s="301">
        <f t="shared" si="51"/>
        <v>5100</v>
      </c>
      <c r="T146" s="301">
        <f t="shared" si="52"/>
        <v>0</v>
      </c>
      <c r="U146" s="301">
        <f t="shared" si="53"/>
        <v>0</v>
      </c>
      <c r="V146" s="301">
        <f t="shared" si="54"/>
        <v>0</v>
      </c>
    </row>
    <row r="147" spans="1:22" s="301" customFormat="1" x14ac:dyDescent="0.2">
      <c r="A147" s="350">
        <v>5465</v>
      </c>
      <c r="B147" s="353" t="s">
        <v>744</v>
      </c>
      <c r="C147" s="528" t="s">
        <v>746</v>
      </c>
      <c r="D147" s="355">
        <v>6</v>
      </c>
      <c r="E147" s="356">
        <v>1090</v>
      </c>
      <c r="F147" s="379">
        <f t="shared" ref="F147:F171" si="57">E147*D147</f>
        <v>6540</v>
      </c>
      <c r="G147" s="296">
        <v>6</v>
      </c>
      <c r="H147" s="357">
        <v>6</v>
      </c>
      <c r="I147" s="296"/>
      <c r="J147" s="296"/>
      <c r="K147" s="296"/>
      <c r="L147" s="297">
        <f t="shared" si="55"/>
        <v>6540</v>
      </c>
      <c r="M147" s="298">
        <v>43585</v>
      </c>
      <c r="N147" s="298">
        <v>43593</v>
      </c>
      <c r="O147" s="315"/>
      <c r="P147" s="300"/>
      <c r="S147" s="301">
        <f t="shared" si="51"/>
        <v>6540</v>
      </c>
      <c r="T147" s="301">
        <f t="shared" si="52"/>
        <v>0</v>
      </c>
      <c r="U147" s="301">
        <f t="shared" si="53"/>
        <v>0</v>
      </c>
      <c r="V147" s="301">
        <f t="shared" si="54"/>
        <v>0</v>
      </c>
    </row>
    <row r="148" spans="1:22" s="301" customFormat="1" x14ac:dyDescent="0.2">
      <c r="A148" s="350"/>
      <c r="B148" s="353"/>
      <c r="C148" s="528"/>
      <c r="D148" s="355"/>
      <c r="E148" s="356"/>
      <c r="F148" s="379">
        <f t="shared" si="57"/>
        <v>0</v>
      </c>
      <c r="G148" s="296"/>
      <c r="H148" s="296"/>
      <c r="I148" s="296"/>
      <c r="J148" s="296"/>
      <c r="K148" s="296"/>
      <c r="L148" s="297">
        <f t="shared" si="48"/>
        <v>0</v>
      </c>
      <c r="M148" s="298"/>
      <c r="N148" s="298"/>
      <c r="O148" s="315"/>
      <c r="P148" s="300"/>
      <c r="S148" s="301">
        <f t="shared" si="51"/>
        <v>0</v>
      </c>
      <c r="T148" s="301">
        <f t="shared" si="52"/>
        <v>0</v>
      </c>
      <c r="U148" s="301">
        <f t="shared" si="53"/>
        <v>0</v>
      </c>
      <c r="V148" s="301">
        <f t="shared" si="54"/>
        <v>0</v>
      </c>
    </row>
    <row r="149" spans="1:22" s="301" customFormat="1" x14ac:dyDescent="0.2">
      <c r="A149" s="350">
        <v>5387</v>
      </c>
      <c r="B149" s="353" t="s">
        <v>289</v>
      </c>
      <c r="C149" s="528" t="s">
        <v>751</v>
      </c>
      <c r="D149" s="355">
        <v>1</v>
      </c>
      <c r="E149" s="356">
        <v>120</v>
      </c>
      <c r="F149" s="379">
        <f t="shared" si="57"/>
        <v>120</v>
      </c>
      <c r="G149" s="296">
        <v>1</v>
      </c>
      <c r="H149" s="357">
        <v>1</v>
      </c>
      <c r="I149" s="296"/>
      <c r="J149" s="296"/>
      <c r="K149" s="296"/>
      <c r="L149" s="297">
        <f t="shared" ref="L149:L171" si="58">E149*(H149+I149+J149+K149)</f>
        <v>120</v>
      </c>
      <c r="M149" s="298">
        <v>43591</v>
      </c>
      <c r="N149" s="298">
        <v>43592</v>
      </c>
      <c r="O149" s="315"/>
      <c r="P149" s="300"/>
      <c r="S149" s="301">
        <f t="shared" si="51"/>
        <v>120</v>
      </c>
      <c r="T149" s="301">
        <f t="shared" si="52"/>
        <v>0</v>
      </c>
      <c r="U149" s="301">
        <f t="shared" si="53"/>
        <v>0</v>
      </c>
      <c r="V149" s="301">
        <f t="shared" si="54"/>
        <v>0</v>
      </c>
    </row>
    <row r="150" spans="1:22" s="301" customFormat="1" x14ac:dyDescent="0.2">
      <c r="A150" s="350">
        <v>5388</v>
      </c>
      <c r="B150" s="353" t="s">
        <v>289</v>
      </c>
      <c r="C150" s="528" t="s">
        <v>752</v>
      </c>
      <c r="D150" s="355">
        <v>1</v>
      </c>
      <c r="E150" s="356">
        <v>190</v>
      </c>
      <c r="F150" s="379">
        <f t="shared" si="57"/>
        <v>190</v>
      </c>
      <c r="G150" s="296">
        <v>1</v>
      </c>
      <c r="H150" s="357">
        <v>1</v>
      </c>
      <c r="I150" s="296"/>
      <c r="J150" s="296"/>
      <c r="K150" s="296"/>
      <c r="L150" s="297">
        <f t="shared" si="58"/>
        <v>190</v>
      </c>
      <c r="M150" s="298">
        <v>43591</v>
      </c>
      <c r="N150" s="298">
        <v>43592</v>
      </c>
      <c r="O150" s="315"/>
      <c r="P150" s="300"/>
      <c r="S150" s="301">
        <f t="shared" si="51"/>
        <v>190</v>
      </c>
      <c r="T150" s="301">
        <f t="shared" si="52"/>
        <v>0</v>
      </c>
      <c r="U150" s="301">
        <f t="shared" si="53"/>
        <v>0</v>
      </c>
      <c r="V150" s="301">
        <f t="shared" si="54"/>
        <v>0</v>
      </c>
    </row>
    <row r="151" spans="1:22" s="301" customFormat="1" x14ac:dyDescent="0.2">
      <c r="A151" s="350"/>
      <c r="B151" s="353"/>
      <c r="C151" s="528"/>
      <c r="D151" s="355"/>
      <c r="E151" s="356"/>
      <c r="F151" s="379">
        <f t="shared" si="57"/>
        <v>0</v>
      </c>
      <c r="G151" s="296"/>
      <c r="H151" s="296"/>
      <c r="I151" s="296"/>
      <c r="J151" s="296"/>
      <c r="K151" s="296"/>
      <c r="L151" s="297">
        <f t="shared" si="58"/>
        <v>0</v>
      </c>
      <c r="M151" s="298"/>
      <c r="N151" s="298"/>
      <c r="O151" s="315"/>
      <c r="P151" s="300"/>
      <c r="S151" s="301">
        <f t="shared" si="51"/>
        <v>0</v>
      </c>
      <c r="T151" s="301">
        <f t="shared" si="52"/>
        <v>0</v>
      </c>
      <c r="U151" s="301">
        <f t="shared" si="53"/>
        <v>0</v>
      </c>
      <c r="V151" s="301">
        <f t="shared" si="54"/>
        <v>0</v>
      </c>
    </row>
    <row r="152" spans="1:22" s="301" customFormat="1" x14ac:dyDescent="0.2">
      <c r="A152" s="319">
        <v>5330</v>
      </c>
      <c r="B152" s="353" t="s">
        <v>480</v>
      </c>
      <c r="C152" s="528" t="s">
        <v>644</v>
      </c>
      <c r="D152" s="355">
        <v>1</v>
      </c>
      <c r="E152" s="356">
        <v>35000</v>
      </c>
      <c r="F152" s="379">
        <f>E152*D152</f>
        <v>35000</v>
      </c>
      <c r="G152" s="296">
        <v>1</v>
      </c>
      <c r="H152" s="296"/>
      <c r="I152" s="357">
        <v>1</v>
      </c>
      <c r="J152" s="296"/>
      <c r="K152" s="296"/>
      <c r="L152" s="297">
        <f t="shared" ref="L152:L160" si="59">E152*(H152+I152+J152+K152)</f>
        <v>35000</v>
      </c>
      <c r="M152" s="298">
        <v>43592</v>
      </c>
      <c r="N152" s="298">
        <v>43600</v>
      </c>
      <c r="O152" s="315"/>
      <c r="P152" s="300"/>
      <c r="S152" s="301">
        <f t="shared" si="51"/>
        <v>0</v>
      </c>
      <c r="T152" s="301">
        <f t="shared" si="52"/>
        <v>35000</v>
      </c>
      <c r="U152" s="301">
        <f t="shared" si="53"/>
        <v>0</v>
      </c>
      <c r="V152" s="301">
        <f t="shared" si="54"/>
        <v>0</v>
      </c>
    </row>
    <row r="153" spans="1:22" s="301" customFormat="1" x14ac:dyDescent="0.2">
      <c r="A153" s="350"/>
      <c r="B153" s="353"/>
      <c r="C153" s="528"/>
      <c r="D153" s="355"/>
      <c r="E153" s="356"/>
      <c r="F153" s="379">
        <f t="shared" si="57"/>
        <v>0</v>
      </c>
      <c r="G153" s="296"/>
      <c r="H153" s="296"/>
      <c r="I153" s="296"/>
      <c r="J153" s="296"/>
      <c r="K153" s="296"/>
      <c r="L153" s="297">
        <f t="shared" si="59"/>
        <v>0</v>
      </c>
      <c r="M153" s="298"/>
      <c r="N153" s="298"/>
      <c r="O153" s="315"/>
      <c r="P153" s="300"/>
      <c r="S153" s="301">
        <f t="shared" si="51"/>
        <v>0</v>
      </c>
      <c r="T153" s="301">
        <f t="shared" si="52"/>
        <v>0</v>
      </c>
      <c r="U153" s="301">
        <f t="shared" si="53"/>
        <v>0</v>
      </c>
      <c r="V153" s="301">
        <f t="shared" si="54"/>
        <v>0</v>
      </c>
    </row>
    <row r="154" spans="1:22" s="301" customFormat="1" x14ac:dyDescent="0.2">
      <c r="A154" s="319">
        <v>5469</v>
      </c>
      <c r="B154" s="353" t="s">
        <v>754</v>
      </c>
      <c r="C154" s="528" t="s">
        <v>533</v>
      </c>
      <c r="D154" s="355">
        <v>1</v>
      </c>
      <c r="E154" s="356">
        <v>1750</v>
      </c>
      <c r="F154" s="379">
        <f>E154*D154</f>
        <v>1750</v>
      </c>
      <c r="G154" s="296">
        <v>1</v>
      </c>
      <c r="H154" s="296"/>
      <c r="I154" s="357">
        <v>1</v>
      </c>
      <c r="J154" s="296"/>
      <c r="K154" s="296"/>
      <c r="L154" s="297">
        <f t="shared" si="59"/>
        <v>1750</v>
      </c>
      <c r="M154" s="298">
        <v>43593</v>
      </c>
      <c r="N154" s="298">
        <v>43600</v>
      </c>
      <c r="O154" s="315"/>
      <c r="P154" s="300"/>
      <c r="S154" s="301">
        <f t="shared" si="51"/>
        <v>0</v>
      </c>
      <c r="T154" s="301">
        <f t="shared" si="52"/>
        <v>1750</v>
      </c>
      <c r="U154" s="301">
        <f t="shared" si="53"/>
        <v>0</v>
      </c>
      <c r="V154" s="301">
        <f t="shared" si="54"/>
        <v>0</v>
      </c>
    </row>
    <row r="155" spans="1:22" s="301" customFormat="1" x14ac:dyDescent="0.2">
      <c r="A155" s="517">
        <v>5497</v>
      </c>
      <c r="B155" s="506" t="s">
        <v>480</v>
      </c>
      <c r="C155" s="531" t="s">
        <v>249</v>
      </c>
      <c r="D155" s="512">
        <v>1</v>
      </c>
      <c r="E155" s="356">
        <v>2000</v>
      </c>
      <c r="F155" s="379">
        <f>E155*D155</f>
        <v>2000</v>
      </c>
      <c r="G155" s="296">
        <v>1</v>
      </c>
      <c r="H155" s="296"/>
      <c r="I155" s="352">
        <v>1</v>
      </c>
      <c r="J155" s="296"/>
      <c r="K155" s="296"/>
      <c r="L155" s="297">
        <f>E155*(H155+I155+J155+K155)</f>
        <v>2000</v>
      </c>
      <c r="M155" s="298"/>
      <c r="N155" s="298"/>
      <c r="O155" s="315"/>
      <c r="P155" s="300"/>
      <c r="S155" s="301">
        <f>H155*E155</f>
        <v>0</v>
      </c>
      <c r="T155" s="301">
        <f>I155*E155</f>
        <v>2000</v>
      </c>
      <c r="U155" s="301">
        <f>J155*E155</f>
        <v>0</v>
      </c>
      <c r="V155" s="301">
        <f>K155*E155</f>
        <v>0</v>
      </c>
    </row>
    <row r="156" spans="1:22" s="301" customFormat="1" x14ac:dyDescent="0.2">
      <c r="A156" s="507"/>
      <c r="B156" s="508"/>
      <c r="C156" s="534"/>
      <c r="D156" s="509"/>
      <c r="E156" s="356"/>
      <c r="F156" s="379">
        <f>E156*D156</f>
        <v>0</v>
      </c>
      <c r="G156" s="296"/>
      <c r="H156" s="296"/>
      <c r="I156" s="296"/>
      <c r="J156" s="296"/>
      <c r="K156" s="296"/>
      <c r="L156" s="297">
        <f t="shared" si="59"/>
        <v>0</v>
      </c>
      <c r="M156" s="298"/>
      <c r="N156" s="298"/>
      <c r="O156" s="315"/>
      <c r="P156" s="300"/>
    </row>
    <row r="157" spans="1:22" s="301" customFormat="1" ht="15" x14ac:dyDescent="0.25">
      <c r="A157" s="492">
        <v>5473</v>
      </c>
      <c r="B157" s="502" t="s">
        <v>670</v>
      </c>
      <c r="C157" s="535" t="s">
        <v>671</v>
      </c>
      <c r="D157" s="504">
        <v>7</v>
      </c>
      <c r="E157" s="356">
        <v>141</v>
      </c>
      <c r="F157" s="379">
        <f>E157*D157</f>
        <v>987</v>
      </c>
      <c r="G157" s="296">
        <v>7</v>
      </c>
      <c r="H157" s="296"/>
      <c r="I157" s="352">
        <v>7</v>
      </c>
      <c r="J157" s="296"/>
      <c r="K157" s="296"/>
      <c r="L157" s="297">
        <f t="shared" si="59"/>
        <v>987</v>
      </c>
      <c r="M157" s="298">
        <v>43598</v>
      </c>
      <c r="N157" s="298">
        <v>43602</v>
      </c>
      <c r="O157" s="315"/>
      <c r="P157" s="300"/>
      <c r="S157" s="301">
        <f t="shared" si="51"/>
        <v>0</v>
      </c>
      <c r="T157" s="301">
        <f t="shared" si="52"/>
        <v>987</v>
      </c>
      <c r="U157" s="301">
        <f t="shared" si="53"/>
        <v>0</v>
      </c>
      <c r="V157" s="301">
        <f t="shared" si="54"/>
        <v>0</v>
      </c>
    </row>
    <row r="158" spans="1:22" s="301" customFormat="1" ht="15" x14ac:dyDescent="0.25">
      <c r="A158" s="519">
        <v>5509</v>
      </c>
      <c r="B158" s="520" t="s">
        <v>670</v>
      </c>
      <c r="C158" s="536" t="s">
        <v>799</v>
      </c>
      <c r="D158" s="521">
        <v>10</v>
      </c>
      <c r="E158" s="356">
        <v>1000</v>
      </c>
      <c r="F158" s="379">
        <f>E158*D158</f>
        <v>10000</v>
      </c>
      <c r="G158" s="296">
        <v>10</v>
      </c>
      <c r="H158" s="296"/>
      <c r="I158" s="296"/>
      <c r="J158" s="296"/>
      <c r="K158" s="357">
        <v>10</v>
      </c>
      <c r="L158" s="297">
        <f>E158*(H158+I158+J158+K158)</f>
        <v>10000</v>
      </c>
      <c r="M158" s="298">
        <v>43606</v>
      </c>
      <c r="N158" s="298">
        <v>43615</v>
      </c>
      <c r="O158" s="315"/>
      <c r="P158" s="300"/>
      <c r="S158" s="301">
        <f>H158*E158</f>
        <v>0</v>
      </c>
      <c r="T158" s="301">
        <f>I158*E158</f>
        <v>0</v>
      </c>
      <c r="U158" s="301">
        <f>J158*E158</f>
        <v>0</v>
      </c>
      <c r="V158" s="301">
        <f>K158*E158</f>
        <v>10000</v>
      </c>
    </row>
    <row r="159" spans="1:22" s="301" customFormat="1" x14ac:dyDescent="0.2">
      <c r="A159" s="507"/>
      <c r="B159" s="508"/>
      <c r="C159" s="534"/>
      <c r="D159" s="509"/>
      <c r="E159" s="409"/>
      <c r="F159" s="379"/>
      <c r="G159" s="296"/>
      <c r="H159" s="296"/>
      <c r="I159" s="296"/>
      <c r="J159" s="296"/>
      <c r="K159" s="296"/>
      <c r="L159" s="297"/>
      <c r="M159" s="298"/>
      <c r="N159" s="298"/>
      <c r="O159" s="315"/>
      <c r="P159" s="300"/>
    </row>
    <row r="160" spans="1:22" s="301" customFormat="1" x14ac:dyDescent="0.2">
      <c r="A160" s="319">
        <v>5352</v>
      </c>
      <c r="B160" s="353" t="s">
        <v>241</v>
      </c>
      <c r="C160" s="528" t="s">
        <v>701</v>
      </c>
      <c r="D160" s="355">
        <v>10</v>
      </c>
      <c r="E160" s="409">
        <v>5650</v>
      </c>
      <c r="F160" s="379">
        <f t="shared" si="57"/>
        <v>56500</v>
      </c>
      <c r="G160" s="296">
        <v>10</v>
      </c>
      <c r="H160" s="296"/>
      <c r="I160" s="296"/>
      <c r="J160" s="296"/>
      <c r="K160" s="357">
        <v>10</v>
      </c>
      <c r="L160" s="297">
        <f t="shared" si="59"/>
        <v>56500</v>
      </c>
      <c r="M160" s="298">
        <v>43573</v>
      </c>
      <c r="N160" s="298">
        <v>43612</v>
      </c>
      <c r="O160" s="315"/>
      <c r="P160" s="300"/>
      <c r="S160" s="301">
        <f t="shared" si="51"/>
        <v>0</v>
      </c>
      <c r="T160" s="301">
        <f t="shared" si="52"/>
        <v>0</v>
      </c>
      <c r="U160" s="301">
        <f t="shared" si="53"/>
        <v>0</v>
      </c>
      <c r="V160" s="301">
        <f t="shared" si="54"/>
        <v>56500</v>
      </c>
    </row>
    <row r="161" spans="1:22" s="301" customFormat="1" x14ac:dyDescent="0.2">
      <c r="A161" s="524">
        <v>5398</v>
      </c>
      <c r="B161" s="508" t="s">
        <v>241</v>
      </c>
      <c r="C161" s="534" t="s">
        <v>818</v>
      </c>
      <c r="D161" s="512">
        <v>1</v>
      </c>
      <c r="E161" s="409">
        <v>5280</v>
      </c>
      <c r="F161" s="379">
        <f>E161*D161</f>
        <v>5280</v>
      </c>
      <c r="G161" s="296">
        <v>1</v>
      </c>
      <c r="H161" s="296"/>
      <c r="I161" s="296"/>
      <c r="J161" s="296"/>
      <c r="K161" s="352">
        <v>1</v>
      </c>
      <c r="L161" s="297">
        <f>E161*(H161+I161+J161+K161)</f>
        <v>5280</v>
      </c>
      <c r="M161" s="298"/>
      <c r="N161" s="298"/>
      <c r="O161" s="315"/>
      <c r="P161" s="300"/>
      <c r="S161" s="301">
        <f>H161*E161</f>
        <v>0</v>
      </c>
      <c r="T161" s="301">
        <f>I161*E161</f>
        <v>0</v>
      </c>
      <c r="U161" s="301">
        <f>J161*E161</f>
        <v>0</v>
      </c>
      <c r="V161" s="301">
        <f>K161*E161</f>
        <v>5280</v>
      </c>
    </row>
    <row r="162" spans="1:22" s="301" customFormat="1" x14ac:dyDescent="0.2">
      <c r="A162" s="507"/>
      <c r="B162" s="508"/>
      <c r="C162" s="534"/>
      <c r="D162" s="509"/>
      <c r="E162" s="409"/>
      <c r="F162" s="379"/>
      <c r="G162" s="296"/>
      <c r="H162" s="296"/>
      <c r="I162" s="296"/>
      <c r="J162" s="296"/>
      <c r="K162" s="296"/>
      <c r="L162" s="297"/>
      <c r="M162" s="298"/>
      <c r="N162" s="298"/>
      <c r="O162" s="315"/>
      <c r="P162" s="300"/>
    </row>
    <row r="163" spans="1:22" s="301" customFormat="1" x14ac:dyDescent="0.2">
      <c r="A163" s="517" t="s">
        <v>846</v>
      </c>
      <c r="B163" s="353" t="s">
        <v>269</v>
      </c>
      <c r="C163" s="528" t="s">
        <v>668</v>
      </c>
      <c r="D163" s="355">
        <v>50</v>
      </c>
      <c r="E163" s="409">
        <v>5966</v>
      </c>
      <c r="F163" s="379">
        <f t="shared" si="57"/>
        <v>298300</v>
      </c>
      <c r="G163" s="296">
        <v>50</v>
      </c>
      <c r="H163" s="296"/>
      <c r="I163" s="296"/>
      <c r="J163" s="296"/>
      <c r="K163" s="357">
        <v>50</v>
      </c>
      <c r="L163" s="297">
        <f t="shared" si="58"/>
        <v>298300</v>
      </c>
      <c r="M163" s="298">
        <v>43601</v>
      </c>
      <c r="N163" s="298">
        <v>43616</v>
      </c>
      <c r="O163" s="315"/>
      <c r="P163" s="300"/>
      <c r="S163" s="301">
        <f t="shared" si="51"/>
        <v>0</v>
      </c>
      <c r="T163" s="301">
        <f t="shared" si="52"/>
        <v>0</v>
      </c>
      <c r="U163" s="301">
        <f t="shared" si="53"/>
        <v>0</v>
      </c>
      <c r="V163" s="301">
        <f t="shared" si="54"/>
        <v>298300</v>
      </c>
    </row>
    <row r="164" spans="1:22" s="301" customFormat="1" x14ac:dyDescent="0.2">
      <c r="A164" s="319">
        <v>5535</v>
      </c>
      <c r="B164" s="353" t="s">
        <v>269</v>
      </c>
      <c r="C164" s="528" t="s">
        <v>816</v>
      </c>
      <c r="D164" s="355"/>
      <c r="E164" s="409">
        <v>9255</v>
      </c>
      <c r="F164" s="379">
        <f t="shared" si="57"/>
        <v>0</v>
      </c>
      <c r="G164" s="296"/>
      <c r="H164" s="296"/>
      <c r="I164" s="296"/>
      <c r="J164" s="296"/>
      <c r="K164" s="296"/>
      <c r="L164" s="297">
        <f t="shared" si="58"/>
        <v>0</v>
      </c>
      <c r="M164" s="298">
        <v>43612</v>
      </c>
      <c r="N164" s="298">
        <v>43636</v>
      </c>
      <c r="O164" s="315"/>
      <c r="P164" s="300"/>
    </row>
    <row r="165" spans="1:22" s="301" customFormat="1" x14ac:dyDescent="0.2">
      <c r="A165" s="319">
        <v>5538</v>
      </c>
      <c r="B165" s="353" t="s">
        <v>269</v>
      </c>
      <c r="C165" s="528" t="s">
        <v>817</v>
      </c>
      <c r="D165" s="355"/>
      <c r="E165" s="409">
        <v>9409</v>
      </c>
      <c r="F165" s="379">
        <f t="shared" si="57"/>
        <v>0</v>
      </c>
      <c r="G165" s="296"/>
      <c r="H165" s="296"/>
      <c r="I165" s="296"/>
      <c r="J165" s="296"/>
      <c r="K165" s="296"/>
      <c r="L165" s="297">
        <f t="shared" si="58"/>
        <v>0</v>
      </c>
      <c r="M165" s="298">
        <v>43612</v>
      </c>
      <c r="N165" s="298">
        <v>43636</v>
      </c>
      <c r="O165" s="315"/>
      <c r="P165" s="300"/>
    </row>
    <row r="166" spans="1:22" s="301" customFormat="1" x14ac:dyDescent="0.2">
      <c r="A166" s="350"/>
      <c r="B166" s="353"/>
      <c r="C166" s="528"/>
      <c r="D166" s="355"/>
      <c r="E166" s="356"/>
      <c r="F166" s="379">
        <f t="shared" si="57"/>
        <v>0</v>
      </c>
      <c r="G166" s="296"/>
      <c r="H166" s="296"/>
      <c r="I166" s="296"/>
      <c r="J166" s="296"/>
      <c r="K166" s="296"/>
      <c r="L166" s="297">
        <f t="shared" si="58"/>
        <v>0</v>
      </c>
      <c r="M166" s="298"/>
      <c r="N166" s="298"/>
      <c r="O166" s="315"/>
      <c r="P166" s="300"/>
      <c r="S166" s="301">
        <f t="shared" si="51"/>
        <v>0</v>
      </c>
      <c r="T166" s="301">
        <f t="shared" si="52"/>
        <v>0</v>
      </c>
      <c r="U166" s="301">
        <f t="shared" si="53"/>
        <v>0</v>
      </c>
      <c r="V166" s="301">
        <f t="shared" si="54"/>
        <v>0</v>
      </c>
    </row>
    <row r="167" spans="1:22" s="301" customFormat="1" x14ac:dyDescent="0.2">
      <c r="A167" s="517">
        <v>5484</v>
      </c>
      <c r="B167" s="506" t="s">
        <v>772</v>
      </c>
      <c r="C167" s="531" t="s">
        <v>773</v>
      </c>
      <c r="D167" s="512">
        <v>1</v>
      </c>
      <c r="E167" s="356">
        <v>1980</v>
      </c>
      <c r="F167" s="379">
        <f t="shared" si="57"/>
        <v>1980</v>
      </c>
      <c r="G167" s="296">
        <v>1</v>
      </c>
      <c r="H167" s="296"/>
      <c r="I167" s="352">
        <v>1</v>
      </c>
      <c r="J167" s="296"/>
      <c r="K167" s="296"/>
      <c r="L167" s="297">
        <f>E167*(H167+I167+J167+K167)</f>
        <v>1980</v>
      </c>
      <c r="M167" s="298">
        <v>43600</v>
      </c>
      <c r="N167" s="298">
        <v>43601</v>
      </c>
      <c r="O167" s="514"/>
      <c r="P167" s="300"/>
      <c r="S167" s="301">
        <f>H167*E167</f>
        <v>0</v>
      </c>
      <c r="T167" s="301">
        <f>I167*E167</f>
        <v>1980</v>
      </c>
      <c r="U167" s="301">
        <f>J167*E167</f>
        <v>0</v>
      </c>
      <c r="V167" s="301">
        <f>K167*E167</f>
        <v>0</v>
      </c>
    </row>
    <row r="168" spans="1:22" s="301" customFormat="1" x14ac:dyDescent="0.2">
      <c r="A168" s="511">
        <v>5562</v>
      </c>
      <c r="B168" s="541" t="s">
        <v>833</v>
      </c>
      <c r="C168" s="531" t="s">
        <v>829</v>
      </c>
      <c r="D168" s="512">
        <v>80</v>
      </c>
      <c r="E168" s="513">
        <v>214.8</v>
      </c>
      <c r="F168" s="379">
        <f>E168*D168</f>
        <v>17184</v>
      </c>
      <c r="G168" s="296">
        <v>80</v>
      </c>
      <c r="H168" s="296"/>
      <c r="I168" s="296"/>
      <c r="J168" s="296"/>
      <c r="K168" s="352">
        <v>80</v>
      </c>
      <c r="L168" s="297">
        <f>E168*(H168+I168+J168+K168)</f>
        <v>17184</v>
      </c>
      <c r="M168" s="298">
        <v>43614</v>
      </c>
      <c r="N168" s="298">
        <v>43616</v>
      </c>
      <c r="O168" s="514"/>
      <c r="P168" s="300"/>
    </row>
    <row r="169" spans="1:22" s="301" customFormat="1" x14ac:dyDescent="0.2">
      <c r="A169" s="350"/>
      <c r="B169" s="353"/>
      <c r="C169" s="528"/>
      <c r="D169" s="355"/>
      <c r="E169" s="356"/>
      <c r="F169" s="379">
        <f t="shared" si="57"/>
        <v>0</v>
      </c>
      <c r="G169" s="296"/>
      <c r="H169" s="296"/>
      <c r="I169" s="296"/>
      <c r="J169" s="296"/>
      <c r="K169" s="296"/>
      <c r="L169" s="297">
        <f>E169*(H169+I169+J169+K169)</f>
        <v>0</v>
      </c>
      <c r="M169" s="298"/>
      <c r="N169" s="298"/>
      <c r="O169" s="315"/>
      <c r="P169" s="300"/>
      <c r="S169" s="301">
        <f t="shared" si="51"/>
        <v>0</v>
      </c>
      <c r="T169" s="301">
        <f t="shared" si="52"/>
        <v>0</v>
      </c>
      <c r="U169" s="301">
        <f t="shared" si="53"/>
        <v>0</v>
      </c>
      <c r="V169" s="301">
        <f t="shared" si="54"/>
        <v>0</v>
      </c>
    </row>
    <row r="170" spans="1:22" s="301" customFormat="1" x14ac:dyDescent="0.2">
      <c r="A170" s="517">
        <v>5485</v>
      </c>
      <c r="B170" s="506" t="s">
        <v>778</v>
      </c>
      <c r="C170" s="531" t="s">
        <v>779</v>
      </c>
      <c r="D170" s="512">
        <v>1</v>
      </c>
      <c r="E170" s="513">
        <v>1650</v>
      </c>
      <c r="F170" s="379">
        <f>E170*D170</f>
        <v>1650</v>
      </c>
      <c r="G170" s="296">
        <v>1</v>
      </c>
      <c r="H170" s="296"/>
      <c r="I170" s="352">
        <v>1</v>
      </c>
      <c r="J170" s="296"/>
      <c r="K170" s="296"/>
      <c r="L170" s="297">
        <f>E170*(H170+I170+J170+K170)</f>
        <v>1650</v>
      </c>
      <c r="M170" s="298">
        <v>43601</v>
      </c>
      <c r="N170" s="298">
        <v>43606</v>
      </c>
      <c r="O170" s="514"/>
      <c r="P170" s="300"/>
      <c r="S170" s="301">
        <f>H170*E170</f>
        <v>0</v>
      </c>
      <c r="T170" s="301">
        <f>I170*E170</f>
        <v>1650</v>
      </c>
      <c r="U170" s="301">
        <f>J170*E170</f>
        <v>0</v>
      </c>
      <c r="V170" s="301">
        <f>K170*E170</f>
        <v>0</v>
      </c>
    </row>
    <row r="171" spans="1:22" s="301" customFormat="1" x14ac:dyDescent="0.2">
      <c r="A171" s="350"/>
      <c r="B171" s="353"/>
      <c r="C171" s="528"/>
      <c r="D171" s="355"/>
      <c r="E171" s="356"/>
      <c r="F171" s="379">
        <f t="shared" si="57"/>
        <v>0</v>
      </c>
      <c r="G171" s="296"/>
      <c r="H171" s="296"/>
      <c r="I171" s="296"/>
      <c r="J171" s="296"/>
      <c r="K171" s="296"/>
      <c r="L171" s="297">
        <f t="shared" si="58"/>
        <v>0</v>
      </c>
      <c r="M171" s="298"/>
      <c r="N171" s="298"/>
      <c r="O171" s="315"/>
      <c r="P171" s="300"/>
      <c r="S171" s="301">
        <f t="shared" si="51"/>
        <v>0</v>
      </c>
      <c r="T171" s="301">
        <f t="shared" si="52"/>
        <v>0</v>
      </c>
      <c r="U171" s="301">
        <f t="shared" si="53"/>
        <v>0</v>
      </c>
      <c r="V171" s="301">
        <f t="shared" si="54"/>
        <v>0</v>
      </c>
    </row>
    <row r="172" spans="1:22" s="301" customFormat="1" x14ac:dyDescent="0.2">
      <c r="A172" s="511">
        <v>5488</v>
      </c>
      <c r="B172" s="506" t="s">
        <v>788</v>
      </c>
      <c r="C172" s="531" t="s">
        <v>789</v>
      </c>
      <c r="D172" s="512">
        <v>1</v>
      </c>
      <c r="E172" s="513">
        <v>3745</v>
      </c>
      <c r="F172" s="379">
        <f t="shared" ref="F172:F203" si="60">E172*D172</f>
        <v>3745</v>
      </c>
      <c r="G172" s="296"/>
      <c r="H172" s="296"/>
      <c r="I172" s="296"/>
      <c r="J172" s="296"/>
      <c r="K172" s="296"/>
      <c r="L172" s="297">
        <f t="shared" ref="L172:L176" si="61">E172*(H172+I172+J172+K172)</f>
        <v>0</v>
      </c>
      <c r="M172" s="298">
        <v>43602</v>
      </c>
      <c r="N172" s="298">
        <v>43616</v>
      </c>
      <c r="O172" s="514"/>
      <c r="P172" s="300"/>
      <c r="S172" s="301">
        <f t="shared" ref="S172:S177" si="62">H172*E172</f>
        <v>0</v>
      </c>
      <c r="T172" s="301">
        <f t="shared" ref="T172:T177" si="63">I172*E172</f>
        <v>0</v>
      </c>
      <c r="U172" s="301">
        <f t="shared" ref="U172:U177" si="64">J172*E172</f>
        <v>0</v>
      </c>
      <c r="V172" s="301">
        <f t="shared" ref="V172:V177" si="65">K172*E172</f>
        <v>0</v>
      </c>
    </row>
    <row r="173" spans="1:22" s="301" customFormat="1" x14ac:dyDescent="0.2">
      <c r="A173" s="511">
        <v>5489</v>
      </c>
      <c r="B173" s="506" t="s">
        <v>788</v>
      </c>
      <c r="C173" s="531" t="s">
        <v>790</v>
      </c>
      <c r="D173" s="512">
        <v>8</v>
      </c>
      <c r="E173" s="513">
        <v>3812</v>
      </c>
      <c r="F173" s="379">
        <f t="shared" si="60"/>
        <v>30496</v>
      </c>
      <c r="G173" s="296"/>
      <c r="H173" s="296"/>
      <c r="I173" s="296"/>
      <c r="J173" s="296"/>
      <c r="K173" s="296"/>
      <c r="L173" s="297">
        <f t="shared" si="61"/>
        <v>0</v>
      </c>
      <c r="M173" s="298">
        <v>43602</v>
      </c>
      <c r="N173" s="298">
        <v>43616</v>
      </c>
      <c r="O173" s="514"/>
      <c r="P173" s="300"/>
      <c r="S173" s="301">
        <f t="shared" si="62"/>
        <v>0</v>
      </c>
      <c r="T173" s="301">
        <f t="shared" si="63"/>
        <v>0</v>
      </c>
      <c r="U173" s="301">
        <f t="shared" si="64"/>
        <v>0</v>
      </c>
      <c r="V173" s="301">
        <f t="shared" si="65"/>
        <v>0</v>
      </c>
    </row>
    <row r="174" spans="1:22" s="301" customFormat="1" x14ac:dyDescent="0.2">
      <c r="A174" s="511">
        <v>5490</v>
      </c>
      <c r="B174" s="506" t="s">
        <v>788</v>
      </c>
      <c r="C174" s="531" t="s">
        <v>791</v>
      </c>
      <c r="D174" s="512">
        <v>4</v>
      </c>
      <c r="E174" s="513">
        <v>13220.5</v>
      </c>
      <c r="F174" s="379">
        <f t="shared" si="60"/>
        <v>52882</v>
      </c>
      <c r="G174" s="296"/>
      <c r="H174" s="296"/>
      <c r="I174" s="296"/>
      <c r="J174" s="296"/>
      <c r="K174" s="296"/>
      <c r="L174" s="297">
        <f t="shared" si="61"/>
        <v>0</v>
      </c>
      <c r="M174" s="298">
        <v>43602</v>
      </c>
      <c r="N174" s="298">
        <v>43616</v>
      </c>
      <c r="O174" s="514"/>
      <c r="P174" s="300"/>
      <c r="S174" s="301">
        <f t="shared" si="62"/>
        <v>0</v>
      </c>
      <c r="T174" s="301">
        <f t="shared" si="63"/>
        <v>0</v>
      </c>
      <c r="U174" s="301">
        <f t="shared" si="64"/>
        <v>0</v>
      </c>
      <c r="V174" s="301">
        <f t="shared" si="65"/>
        <v>0</v>
      </c>
    </row>
    <row r="175" spans="1:22" s="301" customFormat="1" x14ac:dyDescent="0.2">
      <c r="A175" s="511">
        <v>5491</v>
      </c>
      <c r="B175" s="506" t="s">
        <v>788</v>
      </c>
      <c r="C175" s="531" t="s">
        <v>792</v>
      </c>
      <c r="D175" s="512">
        <v>1</v>
      </c>
      <c r="E175" s="513">
        <v>4585.5</v>
      </c>
      <c r="F175" s="379">
        <f t="shared" si="60"/>
        <v>4585.5</v>
      </c>
      <c r="G175" s="296"/>
      <c r="H175" s="296"/>
      <c r="I175" s="296"/>
      <c r="J175" s="296"/>
      <c r="K175" s="296"/>
      <c r="L175" s="297">
        <f t="shared" si="61"/>
        <v>0</v>
      </c>
      <c r="M175" s="298">
        <v>43602</v>
      </c>
      <c r="N175" s="298">
        <v>43616</v>
      </c>
      <c r="O175" s="514"/>
      <c r="P175" s="300"/>
      <c r="S175" s="301">
        <f t="shared" si="62"/>
        <v>0</v>
      </c>
      <c r="T175" s="301">
        <f t="shared" si="63"/>
        <v>0</v>
      </c>
      <c r="U175" s="301">
        <f t="shared" si="64"/>
        <v>0</v>
      </c>
      <c r="V175" s="301">
        <f t="shared" si="65"/>
        <v>0</v>
      </c>
    </row>
    <row r="176" spans="1:22" s="301" customFormat="1" x14ac:dyDescent="0.2">
      <c r="A176" s="511">
        <v>5492</v>
      </c>
      <c r="B176" s="506" t="s">
        <v>788</v>
      </c>
      <c r="C176" s="531" t="s">
        <v>793</v>
      </c>
      <c r="D176" s="512">
        <v>8</v>
      </c>
      <c r="E176" s="513">
        <v>1169.5</v>
      </c>
      <c r="F176" s="379">
        <f t="shared" si="60"/>
        <v>9356</v>
      </c>
      <c r="G176" s="296"/>
      <c r="H176" s="296"/>
      <c r="I176" s="296"/>
      <c r="J176" s="296"/>
      <c r="K176" s="296"/>
      <c r="L176" s="297">
        <f t="shared" si="61"/>
        <v>0</v>
      </c>
      <c r="M176" s="298">
        <v>43602</v>
      </c>
      <c r="N176" s="298">
        <v>43616</v>
      </c>
      <c r="O176" s="514"/>
      <c r="P176" s="300"/>
      <c r="S176" s="301">
        <f t="shared" si="62"/>
        <v>0</v>
      </c>
      <c r="T176" s="301">
        <f t="shared" si="63"/>
        <v>0</v>
      </c>
      <c r="U176" s="301">
        <f t="shared" si="64"/>
        <v>0</v>
      </c>
      <c r="V176" s="301">
        <f t="shared" si="65"/>
        <v>0</v>
      </c>
    </row>
    <row r="177" spans="1:22" s="301" customFormat="1" x14ac:dyDescent="0.2">
      <c r="A177" s="511">
        <v>5493</v>
      </c>
      <c r="B177" s="506" t="s">
        <v>788</v>
      </c>
      <c r="C177" s="531" t="s">
        <v>794</v>
      </c>
      <c r="D177" s="512">
        <v>4</v>
      </c>
      <c r="E177" s="513">
        <v>545.5</v>
      </c>
      <c r="F177" s="379">
        <f t="shared" si="60"/>
        <v>2182</v>
      </c>
      <c r="G177" s="296"/>
      <c r="H177" s="296"/>
      <c r="I177" s="296"/>
      <c r="J177" s="296"/>
      <c r="K177" s="296"/>
      <c r="L177" s="297">
        <f t="shared" ref="L177:L201" si="66">E177*(H177+I177+J177+K177)</f>
        <v>0</v>
      </c>
      <c r="M177" s="298">
        <v>43602</v>
      </c>
      <c r="N177" s="298">
        <v>43616</v>
      </c>
      <c r="O177" s="514"/>
      <c r="P177" s="300"/>
      <c r="S177" s="301">
        <f t="shared" si="62"/>
        <v>0</v>
      </c>
      <c r="T177" s="301">
        <f t="shared" si="63"/>
        <v>0</v>
      </c>
      <c r="U177" s="301">
        <f t="shared" si="64"/>
        <v>0</v>
      </c>
      <c r="V177" s="301">
        <f t="shared" si="65"/>
        <v>0</v>
      </c>
    </row>
    <row r="178" spans="1:22" s="301" customFormat="1" x14ac:dyDescent="0.2">
      <c r="A178" s="511">
        <v>5521</v>
      </c>
      <c r="B178" s="506" t="s">
        <v>788</v>
      </c>
      <c r="C178" s="531" t="s">
        <v>487</v>
      </c>
      <c r="D178" s="512">
        <v>5</v>
      </c>
      <c r="E178" s="513">
        <v>1020</v>
      </c>
      <c r="F178" s="379"/>
      <c r="G178" s="296"/>
      <c r="H178" s="296"/>
      <c r="I178" s="296"/>
      <c r="J178" s="296"/>
      <c r="K178" s="296"/>
      <c r="L178" s="297">
        <f t="shared" si="66"/>
        <v>0</v>
      </c>
      <c r="M178" s="298">
        <v>43608</v>
      </c>
      <c r="N178" s="298">
        <v>43633</v>
      </c>
      <c r="O178" s="514"/>
      <c r="P178" s="300"/>
    </row>
    <row r="179" spans="1:22" s="301" customFormat="1" x14ac:dyDescent="0.2">
      <c r="A179" s="511">
        <v>5522</v>
      </c>
      <c r="B179" s="506" t="s">
        <v>788</v>
      </c>
      <c r="C179" s="531" t="s">
        <v>662</v>
      </c>
      <c r="D179" s="512">
        <v>1</v>
      </c>
      <c r="E179" s="513">
        <v>1150</v>
      </c>
      <c r="F179" s="379"/>
      <c r="G179" s="296"/>
      <c r="H179" s="296"/>
      <c r="I179" s="296"/>
      <c r="J179" s="296"/>
      <c r="K179" s="296"/>
      <c r="L179" s="297">
        <f t="shared" si="66"/>
        <v>0</v>
      </c>
      <c r="M179" s="298">
        <v>43608</v>
      </c>
      <c r="N179" s="298">
        <v>43633</v>
      </c>
      <c r="O179" s="514"/>
      <c r="P179" s="300"/>
    </row>
    <row r="180" spans="1:22" s="301" customFormat="1" x14ac:dyDescent="0.2">
      <c r="A180" s="511">
        <v>5523</v>
      </c>
      <c r="B180" s="506" t="s">
        <v>788</v>
      </c>
      <c r="C180" s="531" t="s">
        <v>809</v>
      </c>
      <c r="D180" s="512">
        <v>1</v>
      </c>
      <c r="E180" s="513">
        <v>4600</v>
      </c>
      <c r="F180" s="379"/>
      <c r="G180" s="296"/>
      <c r="H180" s="296"/>
      <c r="I180" s="296"/>
      <c r="J180" s="296"/>
      <c r="K180" s="296"/>
      <c r="L180" s="297">
        <f t="shared" si="66"/>
        <v>0</v>
      </c>
      <c r="M180" s="298">
        <v>43608</v>
      </c>
      <c r="N180" s="298">
        <v>43633</v>
      </c>
      <c r="O180" s="514"/>
      <c r="P180" s="300"/>
    </row>
    <row r="181" spans="1:22" s="301" customFormat="1" x14ac:dyDescent="0.2">
      <c r="A181" s="511">
        <v>5524</v>
      </c>
      <c r="B181" s="506" t="s">
        <v>788</v>
      </c>
      <c r="C181" s="531" t="s">
        <v>810</v>
      </c>
      <c r="D181" s="512">
        <v>2</v>
      </c>
      <c r="E181" s="513">
        <v>1600</v>
      </c>
      <c r="F181" s="379"/>
      <c r="G181" s="296"/>
      <c r="H181" s="296"/>
      <c r="I181" s="296"/>
      <c r="J181" s="296"/>
      <c r="K181" s="296"/>
      <c r="L181" s="297">
        <f t="shared" si="66"/>
        <v>0</v>
      </c>
      <c r="M181" s="298">
        <v>43608</v>
      </c>
      <c r="N181" s="298">
        <v>43633</v>
      </c>
      <c r="O181" s="514"/>
      <c r="P181" s="300"/>
    </row>
    <row r="182" spans="1:22" s="301" customFormat="1" x14ac:dyDescent="0.2">
      <c r="A182" s="511">
        <v>5525</v>
      </c>
      <c r="B182" s="506" t="s">
        <v>788</v>
      </c>
      <c r="C182" s="531" t="s">
        <v>811</v>
      </c>
      <c r="D182" s="512">
        <v>2</v>
      </c>
      <c r="E182" s="513">
        <v>1020</v>
      </c>
      <c r="F182" s="379"/>
      <c r="G182" s="296"/>
      <c r="H182" s="296"/>
      <c r="I182" s="296"/>
      <c r="J182" s="296"/>
      <c r="K182" s="296"/>
      <c r="L182" s="297">
        <f t="shared" si="66"/>
        <v>0</v>
      </c>
      <c r="M182" s="298">
        <v>43608</v>
      </c>
      <c r="N182" s="298">
        <v>43633</v>
      </c>
      <c r="O182" s="514"/>
      <c r="P182" s="300"/>
    </row>
    <row r="183" spans="1:22" s="301" customFormat="1" x14ac:dyDescent="0.2">
      <c r="A183" s="511">
        <v>5526</v>
      </c>
      <c r="B183" s="506" t="s">
        <v>788</v>
      </c>
      <c r="C183" s="531" t="s">
        <v>644</v>
      </c>
      <c r="D183" s="512">
        <v>2</v>
      </c>
      <c r="E183" s="513">
        <v>4100</v>
      </c>
      <c r="F183" s="379"/>
      <c r="G183" s="296"/>
      <c r="H183" s="296"/>
      <c r="I183" s="296"/>
      <c r="J183" s="296"/>
      <c r="K183" s="296"/>
      <c r="L183" s="297">
        <f t="shared" si="66"/>
        <v>0</v>
      </c>
      <c r="M183" s="298">
        <v>43608</v>
      </c>
      <c r="N183" s="298">
        <v>43633</v>
      </c>
      <c r="O183" s="514"/>
      <c r="P183" s="300"/>
    </row>
    <row r="184" spans="1:22" s="301" customFormat="1" x14ac:dyDescent="0.2">
      <c r="A184" s="511">
        <v>5527</v>
      </c>
      <c r="B184" s="506" t="s">
        <v>788</v>
      </c>
      <c r="C184" s="531" t="s">
        <v>812</v>
      </c>
      <c r="D184" s="512">
        <v>2</v>
      </c>
      <c r="E184" s="513">
        <v>1480</v>
      </c>
      <c r="F184" s="379"/>
      <c r="G184" s="296"/>
      <c r="H184" s="296"/>
      <c r="I184" s="296"/>
      <c r="J184" s="296"/>
      <c r="K184" s="296"/>
      <c r="L184" s="297">
        <f t="shared" si="66"/>
        <v>0</v>
      </c>
      <c r="M184" s="298">
        <v>43608</v>
      </c>
      <c r="N184" s="298">
        <v>43633</v>
      </c>
      <c r="O184" s="514"/>
      <c r="P184" s="300"/>
    </row>
    <row r="185" spans="1:22" s="301" customFormat="1" x14ac:dyDescent="0.2">
      <c r="A185" s="511">
        <v>5528</v>
      </c>
      <c r="B185" s="506" t="s">
        <v>788</v>
      </c>
      <c r="C185" s="531" t="s">
        <v>813</v>
      </c>
      <c r="D185" s="512">
        <v>1</v>
      </c>
      <c r="E185" s="513">
        <v>3180</v>
      </c>
      <c r="F185" s="379"/>
      <c r="G185" s="296"/>
      <c r="H185" s="296"/>
      <c r="I185" s="296"/>
      <c r="J185" s="296"/>
      <c r="K185" s="296"/>
      <c r="L185" s="297">
        <f t="shared" si="66"/>
        <v>0</v>
      </c>
      <c r="M185" s="298">
        <v>43608</v>
      </c>
      <c r="N185" s="298">
        <v>43633</v>
      </c>
      <c r="O185" s="514"/>
      <c r="P185" s="300"/>
    </row>
    <row r="186" spans="1:22" s="301" customFormat="1" x14ac:dyDescent="0.2">
      <c r="A186" s="511">
        <v>5529</v>
      </c>
      <c r="B186" s="506" t="s">
        <v>788</v>
      </c>
      <c r="C186" s="531" t="s">
        <v>814</v>
      </c>
      <c r="D186" s="512">
        <v>4</v>
      </c>
      <c r="E186" s="513">
        <v>850</v>
      </c>
      <c r="F186" s="379"/>
      <c r="G186" s="296"/>
      <c r="H186" s="296"/>
      <c r="I186" s="296"/>
      <c r="J186" s="296"/>
      <c r="K186" s="296"/>
      <c r="L186" s="297">
        <f t="shared" si="66"/>
        <v>0</v>
      </c>
      <c r="M186" s="298">
        <v>43608</v>
      </c>
      <c r="N186" s="298">
        <v>43633</v>
      </c>
      <c r="O186" s="514"/>
      <c r="P186" s="300"/>
    </row>
    <row r="187" spans="1:22" s="301" customFormat="1" x14ac:dyDescent="0.2">
      <c r="A187" s="511">
        <v>5530</v>
      </c>
      <c r="B187" s="506" t="s">
        <v>788</v>
      </c>
      <c r="C187" s="531" t="s">
        <v>814</v>
      </c>
      <c r="D187" s="512">
        <v>4</v>
      </c>
      <c r="E187" s="513">
        <v>860</v>
      </c>
      <c r="F187" s="379"/>
      <c r="G187" s="296"/>
      <c r="H187" s="296"/>
      <c r="I187" s="296"/>
      <c r="J187" s="296"/>
      <c r="K187" s="296"/>
      <c r="L187" s="297">
        <f t="shared" si="66"/>
        <v>0</v>
      </c>
      <c r="M187" s="298">
        <v>43608</v>
      </c>
      <c r="N187" s="298">
        <v>43633</v>
      </c>
      <c r="O187" s="514"/>
      <c r="P187" s="300"/>
    </row>
    <row r="188" spans="1:22" s="301" customFormat="1" x14ac:dyDescent="0.2">
      <c r="A188" s="511">
        <v>5531</v>
      </c>
      <c r="B188" s="506" t="s">
        <v>788</v>
      </c>
      <c r="C188" s="531" t="s">
        <v>812</v>
      </c>
      <c r="D188" s="512">
        <v>2</v>
      </c>
      <c r="E188" s="513">
        <v>1090</v>
      </c>
      <c r="F188" s="379"/>
      <c r="G188" s="296"/>
      <c r="H188" s="296"/>
      <c r="I188" s="296"/>
      <c r="J188" s="296"/>
      <c r="K188" s="296"/>
      <c r="L188" s="297">
        <f t="shared" si="66"/>
        <v>0</v>
      </c>
      <c r="M188" s="298">
        <v>43608</v>
      </c>
      <c r="N188" s="298">
        <v>43633</v>
      </c>
      <c r="O188" s="514"/>
      <c r="P188" s="300"/>
    </row>
    <row r="189" spans="1:22" s="301" customFormat="1" x14ac:dyDescent="0.2">
      <c r="A189" s="511">
        <v>5532</v>
      </c>
      <c r="B189" s="506" t="s">
        <v>788</v>
      </c>
      <c r="C189" s="531" t="s">
        <v>815</v>
      </c>
      <c r="D189" s="512">
        <v>1</v>
      </c>
      <c r="E189" s="513">
        <v>4450</v>
      </c>
      <c r="F189" s="379"/>
      <c r="G189" s="296"/>
      <c r="H189" s="296"/>
      <c r="I189" s="296"/>
      <c r="J189" s="296"/>
      <c r="K189" s="296"/>
      <c r="L189" s="297">
        <f t="shared" si="66"/>
        <v>0</v>
      </c>
      <c r="M189" s="298">
        <v>43608</v>
      </c>
      <c r="N189" s="298">
        <v>43633</v>
      </c>
      <c r="O189" s="514"/>
      <c r="P189" s="300"/>
    </row>
    <row r="190" spans="1:22" s="301" customFormat="1" x14ac:dyDescent="0.2">
      <c r="A190" s="511">
        <v>5521</v>
      </c>
      <c r="B190" s="506" t="s">
        <v>788</v>
      </c>
      <c r="C190" s="531" t="s">
        <v>487</v>
      </c>
      <c r="D190" s="512">
        <v>5</v>
      </c>
      <c r="E190" s="513">
        <v>1020</v>
      </c>
      <c r="F190" s="379"/>
      <c r="G190" s="296"/>
      <c r="H190" s="296"/>
      <c r="I190" s="296"/>
      <c r="J190" s="296"/>
      <c r="K190" s="296"/>
      <c r="L190" s="297">
        <f t="shared" si="66"/>
        <v>0</v>
      </c>
      <c r="M190" s="298">
        <v>43608</v>
      </c>
      <c r="N190" s="298">
        <v>43633</v>
      </c>
      <c r="O190" s="514"/>
      <c r="P190" s="300"/>
    </row>
    <row r="191" spans="1:22" s="301" customFormat="1" x14ac:dyDescent="0.2">
      <c r="A191" s="511">
        <v>5522</v>
      </c>
      <c r="B191" s="506" t="s">
        <v>788</v>
      </c>
      <c r="C191" s="531" t="s">
        <v>662</v>
      </c>
      <c r="D191" s="512">
        <v>1</v>
      </c>
      <c r="E191" s="513">
        <v>1150</v>
      </c>
      <c r="F191" s="379"/>
      <c r="G191" s="296"/>
      <c r="H191" s="296"/>
      <c r="I191" s="296"/>
      <c r="J191" s="296"/>
      <c r="K191" s="296"/>
      <c r="L191" s="297">
        <f t="shared" si="66"/>
        <v>0</v>
      </c>
      <c r="M191" s="298">
        <v>43608</v>
      </c>
      <c r="N191" s="298">
        <v>43633</v>
      </c>
      <c r="O191" s="514"/>
      <c r="P191" s="300"/>
    </row>
    <row r="192" spans="1:22" s="301" customFormat="1" x14ac:dyDescent="0.2">
      <c r="A192" s="511">
        <v>5523</v>
      </c>
      <c r="B192" s="506" t="s">
        <v>788</v>
      </c>
      <c r="C192" s="531" t="s">
        <v>809</v>
      </c>
      <c r="D192" s="512">
        <v>1</v>
      </c>
      <c r="E192" s="513">
        <v>4600</v>
      </c>
      <c r="F192" s="379"/>
      <c r="G192" s="296"/>
      <c r="H192" s="296"/>
      <c r="I192" s="296"/>
      <c r="J192" s="296"/>
      <c r="K192" s="296"/>
      <c r="L192" s="297">
        <f t="shared" si="66"/>
        <v>0</v>
      </c>
      <c r="M192" s="298">
        <v>43608</v>
      </c>
      <c r="N192" s="298">
        <v>43633</v>
      </c>
      <c r="O192" s="514"/>
      <c r="P192" s="300"/>
    </row>
    <row r="193" spans="1:16" s="301" customFormat="1" x14ac:dyDescent="0.2">
      <c r="A193" s="511">
        <v>5524</v>
      </c>
      <c r="B193" s="506" t="s">
        <v>788</v>
      </c>
      <c r="C193" s="531" t="s">
        <v>810</v>
      </c>
      <c r="D193" s="512">
        <v>2</v>
      </c>
      <c r="E193" s="513">
        <v>1600</v>
      </c>
      <c r="F193" s="379"/>
      <c r="G193" s="296"/>
      <c r="H193" s="296"/>
      <c r="I193" s="296"/>
      <c r="J193" s="296"/>
      <c r="K193" s="296"/>
      <c r="L193" s="297">
        <f t="shared" si="66"/>
        <v>0</v>
      </c>
      <c r="M193" s="298">
        <v>43608</v>
      </c>
      <c r="N193" s="298">
        <v>43633</v>
      </c>
      <c r="O193" s="514"/>
      <c r="P193" s="300"/>
    </row>
    <row r="194" spans="1:16" s="301" customFormat="1" x14ac:dyDescent="0.2">
      <c r="A194" s="511">
        <v>5525</v>
      </c>
      <c r="B194" s="506" t="s">
        <v>788</v>
      </c>
      <c r="C194" s="531" t="s">
        <v>811</v>
      </c>
      <c r="D194" s="512">
        <v>2</v>
      </c>
      <c r="E194" s="513">
        <v>1020</v>
      </c>
      <c r="F194" s="379"/>
      <c r="G194" s="296"/>
      <c r="H194" s="296"/>
      <c r="I194" s="296"/>
      <c r="J194" s="296"/>
      <c r="K194" s="296"/>
      <c r="L194" s="297">
        <f t="shared" si="66"/>
        <v>0</v>
      </c>
      <c r="M194" s="298">
        <v>43608</v>
      </c>
      <c r="N194" s="298">
        <v>43633</v>
      </c>
      <c r="O194" s="514"/>
      <c r="P194" s="300"/>
    </row>
    <row r="195" spans="1:16" s="301" customFormat="1" x14ac:dyDescent="0.2">
      <c r="A195" s="511">
        <v>5526</v>
      </c>
      <c r="B195" s="506" t="s">
        <v>788</v>
      </c>
      <c r="C195" s="531" t="s">
        <v>644</v>
      </c>
      <c r="D195" s="512">
        <v>2</v>
      </c>
      <c r="E195" s="513">
        <v>4100</v>
      </c>
      <c r="F195" s="379"/>
      <c r="G195" s="296"/>
      <c r="H195" s="296"/>
      <c r="I195" s="296"/>
      <c r="J195" s="296"/>
      <c r="K195" s="296"/>
      <c r="L195" s="297">
        <f t="shared" si="66"/>
        <v>0</v>
      </c>
      <c r="M195" s="298">
        <v>43608</v>
      </c>
      <c r="N195" s="298">
        <v>43633</v>
      </c>
      <c r="O195" s="514"/>
      <c r="P195" s="300"/>
    </row>
    <row r="196" spans="1:16" s="301" customFormat="1" x14ac:dyDescent="0.2">
      <c r="A196" s="511">
        <v>5527</v>
      </c>
      <c r="B196" s="506" t="s">
        <v>788</v>
      </c>
      <c r="C196" s="531" t="s">
        <v>812</v>
      </c>
      <c r="D196" s="512">
        <v>2</v>
      </c>
      <c r="E196" s="513">
        <v>1480</v>
      </c>
      <c r="F196" s="379"/>
      <c r="G196" s="296"/>
      <c r="H196" s="296"/>
      <c r="I196" s="296"/>
      <c r="J196" s="296"/>
      <c r="K196" s="296"/>
      <c r="L196" s="297">
        <f t="shared" si="66"/>
        <v>0</v>
      </c>
      <c r="M196" s="298">
        <v>43608</v>
      </c>
      <c r="N196" s="298">
        <v>43633</v>
      </c>
      <c r="O196" s="514"/>
      <c r="P196" s="300"/>
    </row>
    <row r="197" spans="1:16" s="301" customFormat="1" x14ac:dyDescent="0.2">
      <c r="A197" s="511">
        <v>5528</v>
      </c>
      <c r="B197" s="506" t="s">
        <v>788</v>
      </c>
      <c r="C197" s="531" t="s">
        <v>813</v>
      </c>
      <c r="D197" s="512">
        <v>1</v>
      </c>
      <c r="E197" s="513">
        <v>3180</v>
      </c>
      <c r="F197" s="379"/>
      <c r="G197" s="296"/>
      <c r="H197" s="296"/>
      <c r="I197" s="296"/>
      <c r="J197" s="296"/>
      <c r="K197" s="296"/>
      <c r="L197" s="297">
        <f t="shared" si="66"/>
        <v>0</v>
      </c>
      <c r="M197" s="298">
        <v>43608</v>
      </c>
      <c r="N197" s="298">
        <v>43633</v>
      </c>
      <c r="O197" s="514"/>
      <c r="P197" s="300"/>
    </row>
    <row r="198" spans="1:16" s="301" customFormat="1" x14ac:dyDescent="0.2">
      <c r="A198" s="511">
        <v>5529</v>
      </c>
      <c r="B198" s="506" t="s">
        <v>788</v>
      </c>
      <c r="C198" s="531" t="s">
        <v>814</v>
      </c>
      <c r="D198" s="512">
        <v>4</v>
      </c>
      <c r="E198" s="513">
        <v>850</v>
      </c>
      <c r="F198" s="379"/>
      <c r="G198" s="296"/>
      <c r="H198" s="296"/>
      <c r="I198" s="296"/>
      <c r="J198" s="296"/>
      <c r="K198" s="296"/>
      <c r="L198" s="297">
        <f t="shared" si="66"/>
        <v>0</v>
      </c>
      <c r="M198" s="298">
        <v>43608</v>
      </c>
      <c r="N198" s="298">
        <v>43633</v>
      </c>
      <c r="O198" s="514"/>
      <c r="P198" s="300"/>
    </row>
    <row r="199" spans="1:16" s="301" customFormat="1" x14ac:dyDescent="0.2">
      <c r="A199" s="511">
        <v>5530</v>
      </c>
      <c r="B199" s="506" t="s">
        <v>788</v>
      </c>
      <c r="C199" s="531" t="s">
        <v>814</v>
      </c>
      <c r="D199" s="512">
        <v>4</v>
      </c>
      <c r="E199" s="513">
        <v>860</v>
      </c>
      <c r="F199" s="379"/>
      <c r="G199" s="296"/>
      <c r="H199" s="296"/>
      <c r="I199" s="296"/>
      <c r="J199" s="296"/>
      <c r="K199" s="296"/>
      <c r="L199" s="297">
        <f t="shared" si="66"/>
        <v>0</v>
      </c>
      <c r="M199" s="298">
        <v>43608</v>
      </c>
      <c r="N199" s="298">
        <v>43633</v>
      </c>
      <c r="O199" s="514"/>
      <c r="P199" s="300"/>
    </row>
    <row r="200" spans="1:16" s="301" customFormat="1" x14ac:dyDescent="0.2">
      <c r="A200" s="511">
        <v>5531</v>
      </c>
      <c r="B200" s="506" t="s">
        <v>788</v>
      </c>
      <c r="C200" s="531" t="s">
        <v>812</v>
      </c>
      <c r="D200" s="512">
        <v>2</v>
      </c>
      <c r="E200" s="513">
        <v>1090</v>
      </c>
      <c r="F200" s="379"/>
      <c r="G200" s="296"/>
      <c r="H200" s="296"/>
      <c r="I200" s="296"/>
      <c r="J200" s="296"/>
      <c r="K200" s="296"/>
      <c r="L200" s="297">
        <f t="shared" si="66"/>
        <v>0</v>
      </c>
      <c r="M200" s="298">
        <v>43608</v>
      </c>
      <c r="N200" s="298">
        <v>43633</v>
      </c>
      <c r="O200" s="514"/>
      <c r="P200" s="300"/>
    </row>
    <row r="201" spans="1:16" s="301" customFormat="1" x14ac:dyDescent="0.2">
      <c r="A201" s="511">
        <v>5532</v>
      </c>
      <c r="B201" s="506" t="s">
        <v>788</v>
      </c>
      <c r="C201" s="531" t="s">
        <v>815</v>
      </c>
      <c r="D201" s="512">
        <v>1</v>
      </c>
      <c r="E201" s="513">
        <v>4450</v>
      </c>
      <c r="F201" s="379"/>
      <c r="G201" s="296"/>
      <c r="H201" s="296"/>
      <c r="I201" s="296"/>
      <c r="J201" s="296"/>
      <c r="K201" s="296"/>
      <c r="L201" s="297">
        <f t="shared" si="66"/>
        <v>0</v>
      </c>
      <c r="M201" s="298">
        <v>43608</v>
      </c>
      <c r="N201" s="298">
        <v>43633</v>
      </c>
      <c r="O201" s="514"/>
      <c r="P201" s="300"/>
    </row>
    <row r="202" spans="1:16" s="301" customFormat="1" x14ac:dyDescent="0.2">
      <c r="A202" s="511"/>
      <c r="B202" s="506"/>
      <c r="C202" s="531"/>
      <c r="D202" s="512"/>
      <c r="E202" s="513"/>
      <c r="F202" s="379">
        <f t="shared" si="60"/>
        <v>0</v>
      </c>
      <c r="G202" s="296"/>
      <c r="H202" s="296"/>
      <c r="I202" s="296"/>
      <c r="J202" s="296"/>
      <c r="K202" s="296"/>
      <c r="L202" s="297">
        <f t="shared" ref="L202:L203" si="67">E202*(H202+I202+J202+K202)</f>
        <v>0</v>
      </c>
      <c r="M202" s="298"/>
      <c r="N202" s="298"/>
      <c r="O202" s="514"/>
      <c r="P202" s="300"/>
    </row>
    <row r="203" spans="1:16" s="301" customFormat="1" x14ac:dyDescent="0.2">
      <c r="A203" s="517">
        <v>5510</v>
      </c>
      <c r="B203" s="506" t="s">
        <v>795</v>
      </c>
      <c r="C203" s="531" t="s">
        <v>796</v>
      </c>
      <c r="D203" s="512">
        <v>1</v>
      </c>
      <c r="E203" s="513">
        <v>2000</v>
      </c>
      <c r="F203" s="379">
        <f t="shared" si="60"/>
        <v>2000</v>
      </c>
      <c r="G203" s="296">
        <v>1</v>
      </c>
      <c r="H203" s="296"/>
      <c r="I203" s="352">
        <v>1</v>
      </c>
      <c r="J203" s="296"/>
      <c r="K203" s="296"/>
      <c r="L203" s="297">
        <f t="shared" si="67"/>
        <v>2000</v>
      </c>
      <c r="M203" s="298">
        <v>43602</v>
      </c>
      <c r="N203" s="298">
        <v>43607</v>
      </c>
      <c r="O203" s="514"/>
      <c r="P203" s="300"/>
    </row>
    <row r="204" spans="1:16" s="301" customFormat="1" x14ac:dyDescent="0.2">
      <c r="A204" s="511"/>
      <c r="B204" s="506"/>
      <c r="C204" s="531"/>
      <c r="D204" s="512"/>
      <c r="E204" s="513"/>
      <c r="F204" s="379">
        <f t="shared" ref="F204:F225" si="68">E204*D204</f>
        <v>0</v>
      </c>
      <c r="G204" s="296"/>
      <c r="H204" s="296"/>
      <c r="I204" s="296"/>
      <c r="J204" s="296"/>
      <c r="K204" s="296"/>
      <c r="L204" s="297">
        <f t="shared" ref="L204:L225" si="69">E204*(H204+I204+J204+K204)</f>
        <v>0</v>
      </c>
      <c r="M204" s="298"/>
      <c r="N204" s="298"/>
      <c r="O204" s="514"/>
      <c r="P204" s="300"/>
    </row>
    <row r="205" spans="1:16" s="301" customFormat="1" ht="15" x14ac:dyDescent="0.2">
      <c r="A205" s="511">
        <v>5547</v>
      </c>
      <c r="B205" s="506" t="s">
        <v>282</v>
      </c>
      <c r="C205" s="531" t="s">
        <v>283</v>
      </c>
      <c r="D205" s="525">
        <v>1</v>
      </c>
      <c r="E205" s="513">
        <v>650</v>
      </c>
      <c r="F205" s="379">
        <f t="shared" si="68"/>
        <v>650</v>
      </c>
      <c r="G205" s="296">
        <v>1</v>
      </c>
      <c r="H205" s="296"/>
      <c r="I205" s="296"/>
      <c r="J205" s="296"/>
      <c r="K205" s="352">
        <v>1</v>
      </c>
      <c r="L205" s="297">
        <f t="shared" si="69"/>
        <v>650</v>
      </c>
      <c r="M205" s="298">
        <v>43613</v>
      </c>
      <c r="N205" s="298">
        <v>43616</v>
      </c>
      <c r="O205" s="514"/>
      <c r="P205" s="300"/>
    </row>
    <row r="206" spans="1:16" s="301" customFormat="1" x14ac:dyDescent="0.2">
      <c r="A206" s="511"/>
      <c r="B206" s="506"/>
      <c r="C206" s="531"/>
      <c r="D206" s="512"/>
      <c r="E206" s="513"/>
      <c r="F206" s="379">
        <f t="shared" si="68"/>
        <v>0</v>
      </c>
      <c r="G206" s="296"/>
      <c r="H206" s="296"/>
      <c r="I206" s="296"/>
      <c r="J206" s="296"/>
      <c r="K206" s="296"/>
      <c r="L206" s="297">
        <f t="shared" si="69"/>
        <v>0</v>
      </c>
      <c r="M206" s="298"/>
      <c r="N206" s="298"/>
      <c r="O206" s="514"/>
      <c r="P206" s="300"/>
    </row>
    <row r="207" spans="1:16" s="301" customFormat="1" x14ac:dyDescent="0.2">
      <c r="A207" s="511" t="s">
        <v>826</v>
      </c>
      <c r="B207" s="539" t="s">
        <v>419</v>
      </c>
      <c r="C207" s="533" t="s">
        <v>827</v>
      </c>
      <c r="D207" s="512">
        <v>1</v>
      </c>
      <c r="E207" s="513">
        <v>1700</v>
      </c>
      <c r="F207" s="379">
        <f t="shared" si="68"/>
        <v>1700</v>
      </c>
      <c r="G207" s="296">
        <v>1</v>
      </c>
      <c r="H207" s="296"/>
      <c r="I207" s="296"/>
      <c r="J207" s="296"/>
      <c r="K207" s="352">
        <v>1</v>
      </c>
      <c r="L207" s="297">
        <f t="shared" si="69"/>
        <v>1700</v>
      </c>
      <c r="M207" s="298"/>
      <c r="N207" s="298"/>
      <c r="O207" s="514"/>
      <c r="P207" s="300"/>
    </row>
    <row r="208" spans="1:16" s="301" customFormat="1" x14ac:dyDescent="0.2">
      <c r="A208" s="511"/>
      <c r="B208" s="506"/>
      <c r="C208" s="531"/>
      <c r="D208" s="512"/>
      <c r="E208" s="513"/>
      <c r="F208" s="379">
        <f>E208*D208</f>
        <v>0</v>
      </c>
      <c r="G208" s="296"/>
      <c r="H208" s="296"/>
      <c r="I208" s="296"/>
      <c r="J208" s="296"/>
      <c r="K208" s="296"/>
      <c r="L208" s="297">
        <f t="shared" ref="L208:L224" si="70">E208*(H208+I208+J208+K208)</f>
        <v>0</v>
      </c>
      <c r="M208" s="298"/>
      <c r="N208" s="298"/>
      <c r="O208" s="514"/>
      <c r="P208" s="300"/>
    </row>
    <row r="209" spans="1:22" s="301" customFormat="1" x14ac:dyDescent="0.2">
      <c r="A209" s="511">
        <v>5561</v>
      </c>
      <c r="B209" s="506" t="s">
        <v>828</v>
      </c>
      <c r="C209" s="531" t="s">
        <v>197</v>
      </c>
      <c r="D209" s="512">
        <v>10</v>
      </c>
      <c r="E209" s="513"/>
      <c r="F209" s="379">
        <f>E209*D209</f>
        <v>0</v>
      </c>
      <c r="G209" s="296"/>
      <c r="H209" s="296"/>
      <c r="I209" s="296"/>
      <c r="J209" s="296"/>
      <c r="K209" s="296"/>
      <c r="L209" s="297">
        <f t="shared" si="70"/>
        <v>0</v>
      </c>
      <c r="M209" s="298"/>
      <c r="N209" s="298"/>
      <c r="O209" s="514"/>
      <c r="P209" s="300"/>
    </row>
    <row r="210" spans="1:22" s="301" customFormat="1" x14ac:dyDescent="0.2">
      <c r="A210" s="511"/>
      <c r="B210" s="506"/>
      <c r="C210" s="531"/>
      <c r="D210" s="512"/>
      <c r="E210" s="513"/>
      <c r="F210" s="379">
        <f>E210*D210</f>
        <v>0</v>
      </c>
      <c r="G210" s="296"/>
      <c r="H210" s="296"/>
      <c r="I210" s="296"/>
      <c r="J210" s="296"/>
      <c r="K210" s="296"/>
      <c r="L210" s="297">
        <f t="shared" si="70"/>
        <v>0</v>
      </c>
      <c r="M210" s="298"/>
      <c r="N210" s="298"/>
      <c r="O210" s="514"/>
      <c r="P210" s="300"/>
    </row>
    <row r="211" spans="1:22" s="301" customFormat="1" x14ac:dyDescent="0.2">
      <c r="A211" s="511">
        <v>5553</v>
      </c>
      <c r="B211" s="506" t="s">
        <v>830</v>
      </c>
      <c r="C211" s="531" t="s">
        <v>831</v>
      </c>
      <c r="D211" s="512">
        <v>1</v>
      </c>
      <c r="E211" s="513">
        <v>12000</v>
      </c>
      <c r="F211" s="379"/>
      <c r="G211" s="296"/>
      <c r="H211" s="296"/>
      <c r="I211" s="296"/>
      <c r="J211" s="296"/>
      <c r="K211" s="296"/>
      <c r="L211" s="297">
        <f t="shared" si="70"/>
        <v>0</v>
      </c>
      <c r="M211" s="298">
        <v>43615</v>
      </c>
      <c r="N211" s="298">
        <v>43637</v>
      </c>
      <c r="O211" s="514"/>
      <c r="P211" s="300"/>
    </row>
    <row r="212" spans="1:22" s="301" customFormat="1" x14ac:dyDescent="0.2">
      <c r="A212" s="511">
        <v>5554</v>
      </c>
      <c r="B212" s="506" t="s">
        <v>830</v>
      </c>
      <c r="C212" s="531" t="s">
        <v>832</v>
      </c>
      <c r="D212" s="512">
        <v>4</v>
      </c>
      <c r="E212" s="513">
        <v>1000</v>
      </c>
      <c r="F212" s="379"/>
      <c r="G212" s="296"/>
      <c r="H212" s="296"/>
      <c r="I212" s="296"/>
      <c r="J212" s="296"/>
      <c r="K212" s="296"/>
      <c r="L212" s="297">
        <f t="shared" si="70"/>
        <v>0</v>
      </c>
      <c r="M212" s="298">
        <v>43615</v>
      </c>
      <c r="N212" s="298">
        <v>43637</v>
      </c>
      <c r="O212" s="514"/>
      <c r="P212" s="300"/>
    </row>
    <row r="213" spans="1:22" s="301" customFormat="1" x14ac:dyDescent="0.2">
      <c r="A213" s="511"/>
      <c r="B213" s="506"/>
      <c r="C213" s="531"/>
      <c r="D213" s="512"/>
      <c r="E213" s="513"/>
      <c r="F213" s="379">
        <f t="shared" ref="F213:F222" si="71">E213*D213</f>
        <v>0</v>
      </c>
      <c r="G213" s="296"/>
      <c r="H213" s="296"/>
      <c r="I213" s="296"/>
      <c r="J213" s="296"/>
      <c r="K213" s="296"/>
      <c r="L213" s="297">
        <f t="shared" si="70"/>
        <v>0</v>
      </c>
      <c r="M213" s="298"/>
      <c r="N213" s="298"/>
      <c r="O213" s="514"/>
      <c r="P213" s="300"/>
    </row>
    <row r="214" spans="1:22" s="301" customFormat="1" x14ac:dyDescent="0.2">
      <c r="A214" s="511">
        <v>5561</v>
      </c>
      <c r="B214" s="543" t="s">
        <v>828</v>
      </c>
      <c r="C214" s="544" t="s">
        <v>197</v>
      </c>
      <c r="D214" s="512">
        <v>10</v>
      </c>
      <c r="E214" s="513">
        <v>180</v>
      </c>
      <c r="F214" s="379"/>
      <c r="G214" s="296"/>
      <c r="H214" s="296"/>
      <c r="I214" s="296"/>
      <c r="J214" s="296"/>
      <c r="K214" s="296"/>
      <c r="L214" s="297">
        <f>E214*(H214+I214+J214+K214)</f>
        <v>0</v>
      </c>
      <c r="M214" s="298">
        <v>43615</v>
      </c>
      <c r="N214" s="298">
        <v>43616</v>
      </c>
      <c r="O214" s="514"/>
      <c r="P214" s="300"/>
    </row>
    <row r="215" spans="1:22" s="301" customFormat="1" x14ac:dyDescent="0.2">
      <c r="A215" s="511"/>
      <c r="B215" s="506"/>
      <c r="C215" s="531"/>
      <c r="D215" s="512"/>
      <c r="E215" s="513"/>
      <c r="F215" s="379">
        <f t="shared" si="71"/>
        <v>0</v>
      </c>
      <c r="G215" s="296"/>
      <c r="H215" s="296"/>
      <c r="I215" s="296"/>
      <c r="J215" s="296"/>
      <c r="K215" s="296"/>
      <c r="L215" s="297">
        <f t="shared" si="70"/>
        <v>0</v>
      </c>
      <c r="M215" s="298"/>
      <c r="N215" s="298"/>
      <c r="O215" s="514"/>
      <c r="P215" s="300"/>
    </row>
    <row r="216" spans="1:22" s="301" customFormat="1" x14ac:dyDescent="0.2">
      <c r="A216" s="511">
        <v>5483</v>
      </c>
      <c r="B216" s="508" t="s">
        <v>834</v>
      </c>
      <c r="C216" s="534" t="s">
        <v>835</v>
      </c>
      <c r="D216" s="512">
        <v>3</v>
      </c>
      <c r="E216" s="513">
        <v>1500</v>
      </c>
      <c r="F216" s="379"/>
      <c r="G216" s="296"/>
      <c r="H216" s="296"/>
      <c r="I216" s="296"/>
      <c r="J216" s="296"/>
      <c r="K216" s="296"/>
      <c r="L216" s="297">
        <f>E216*(H216+I216+J216+K216)</f>
        <v>0</v>
      </c>
      <c r="M216" s="298">
        <v>43616</v>
      </c>
      <c r="N216" s="298">
        <v>43630</v>
      </c>
      <c r="O216" s="514"/>
      <c r="P216" s="300"/>
    </row>
    <row r="217" spans="1:22" s="301" customFormat="1" x14ac:dyDescent="0.2">
      <c r="A217" s="511"/>
      <c r="B217" s="506"/>
      <c r="C217" s="531"/>
      <c r="D217" s="512"/>
      <c r="E217" s="513"/>
      <c r="F217" s="379">
        <f t="shared" si="71"/>
        <v>0</v>
      </c>
      <c r="G217" s="296"/>
      <c r="H217" s="296"/>
      <c r="I217" s="296"/>
      <c r="J217" s="296"/>
      <c r="K217" s="296"/>
      <c r="L217" s="297">
        <f t="shared" si="70"/>
        <v>0</v>
      </c>
      <c r="M217" s="298"/>
      <c r="N217" s="298"/>
      <c r="O217" s="514"/>
      <c r="P217" s="300"/>
    </row>
    <row r="218" spans="1:22" s="301" customFormat="1" x14ac:dyDescent="0.2">
      <c r="A218" s="511">
        <v>5560</v>
      </c>
      <c r="B218" s="508" t="s">
        <v>836</v>
      </c>
      <c r="C218" s="534" t="s">
        <v>837</v>
      </c>
      <c r="D218" s="512">
        <v>1</v>
      </c>
      <c r="E218" s="513">
        <v>660</v>
      </c>
      <c r="F218" s="379"/>
      <c r="G218" s="296"/>
      <c r="H218" s="296"/>
      <c r="I218" s="296"/>
      <c r="J218" s="296"/>
      <c r="K218" s="296"/>
      <c r="L218" s="297">
        <f>E218*(H218+I218+J218+K218)</f>
        <v>0</v>
      </c>
      <c r="M218" s="298">
        <v>43616</v>
      </c>
      <c r="N218" s="298">
        <v>43623</v>
      </c>
      <c r="O218" s="514"/>
      <c r="P218" s="300"/>
    </row>
    <row r="219" spans="1:22" s="301" customFormat="1" x14ac:dyDescent="0.2">
      <c r="A219" s="511"/>
      <c r="B219" s="506"/>
      <c r="C219" s="531"/>
      <c r="D219" s="512"/>
      <c r="E219" s="513"/>
      <c r="F219" s="379">
        <f t="shared" si="71"/>
        <v>0</v>
      </c>
      <c r="G219" s="296"/>
      <c r="H219" s="296"/>
      <c r="I219" s="296"/>
      <c r="J219" s="296"/>
      <c r="K219" s="296"/>
      <c r="L219" s="297">
        <f t="shared" si="70"/>
        <v>0</v>
      </c>
      <c r="M219" s="298"/>
      <c r="N219" s="298"/>
      <c r="O219" s="514"/>
      <c r="P219" s="300"/>
    </row>
    <row r="220" spans="1:22" s="301" customFormat="1" x14ac:dyDescent="0.2">
      <c r="A220" s="511"/>
      <c r="B220" s="506"/>
      <c r="C220" s="531"/>
      <c r="D220" s="512"/>
      <c r="E220" s="513"/>
      <c r="F220" s="379">
        <f t="shared" si="71"/>
        <v>0</v>
      </c>
      <c r="G220" s="296"/>
      <c r="H220" s="296"/>
      <c r="I220" s="296"/>
      <c r="J220" s="296"/>
      <c r="K220" s="296"/>
      <c r="L220" s="297">
        <f t="shared" si="70"/>
        <v>0</v>
      </c>
      <c r="M220" s="298"/>
      <c r="N220" s="298"/>
      <c r="O220" s="514"/>
      <c r="P220" s="300"/>
    </row>
    <row r="221" spans="1:22" s="301" customFormat="1" x14ac:dyDescent="0.2">
      <c r="A221" s="511"/>
      <c r="B221" s="506"/>
      <c r="C221" s="531"/>
      <c r="D221" s="512"/>
      <c r="E221" s="513"/>
      <c r="F221" s="379">
        <f t="shared" si="71"/>
        <v>0</v>
      </c>
      <c r="G221" s="296"/>
      <c r="H221" s="296"/>
      <c r="I221" s="296"/>
      <c r="J221" s="296"/>
      <c r="K221" s="296"/>
      <c r="L221" s="297">
        <f t="shared" si="70"/>
        <v>0</v>
      </c>
      <c r="M221" s="298"/>
      <c r="N221" s="298"/>
      <c r="O221" s="514"/>
      <c r="P221" s="300"/>
    </row>
    <row r="222" spans="1:22" s="301" customFormat="1" x14ac:dyDescent="0.2">
      <c r="A222" s="511"/>
      <c r="B222" s="506"/>
      <c r="C222" s="531"/>
      <c r="D222" s="512"/>
      <c r="E222" s="513"/>
      <c r="F222" s="379">
        <f t="shared" si="71"/>
        <v>0</v>
      </c>
      <c r="G222" s="296"/>
      <c r="H222" s="296"/>
      <c r="I222" s="296"/>
      <c r="J222" s="296"/>
      <c r="K222" s="296"/>
      <c r="L222" s="297">
        <f t="shared" si="70"/>
        <v>0</v>
      </c>
      <c r="M222" s="298"/>
      <c r="N222" s="298"/>
      <c r="O222" s="514"/>
      <c r="P222" s="300"/>
    </row>
    <row r="223" spans="1:22" s="301" customFormat="1" x14ac:dyDescent="0.2">
      <c r="A223" s="511"/>
      <c r="B223" s="506"/>
      <c r="C223" s="531"/>
      <c r="D223" s="512"/>
      <c r="E223" s="513"/>
      <c r="F223" s="379">
        <f t="shared" si="68"/>
        <v>0</v>
      </c>
      <c r="G223" s="296"/>
      <c r="H223" s="296"/>
      <c r="I223" s="296"/>
      <c r="J223" s="296"/>
      <c r="K223" s="296"/>
      <c r="L223" s="297">
        <f t="shared" si="70"/>
        <v>0</v>
      </c>
      <c r="M223" s="298"/>
      <c r="N223" s="298"/>
      <c r="O223" s="514"/>
      <c r="P223" s="300"/>
    </row>
    <row r="224" spans="1:22" s="301" customFormat="1" x14ac:dyDescent="0.2">
      <c r="A224" s="511"/>
      <c r="B224" s="506"/>
      <c r="C224" s="531" t="s">
        <v>426</v>
      </c>
      <c r="D224" s="512"/>
      <c r="E224" s="513">
        <v>600</v>
      </c>
      <c r="F224" s="379">
        <f t="shared" si="68"/>
        <v>0</v>
      </c>
      <c r="G224" s="296"/>
      <c r="H224" s="296"/>
      <c r="I224" s="296"/>
      <c r="J224" s="296"/>
      <c r="K224" s="296"/>
      <c r="L224" s="297">
        <f t="shared" si="70"/>
        <v>0</v>
      </c>
      <c r="M224" s="298"/>
      <c r="N224" s="298"/>
      <c r="O224" s="514"/>
      <c r="P224" s="300"/>
      <c r="S224" s="301">
        <f>H224*E224</f>
        <v>0</v>
      </c>
      <c r="T224" s="301">
        <f>I224*E224</f>
        <v>0</v>
      </c>
      <c r="U224" s="301">
        <f>J224*E224</f>
        <v>0</v>
      </c>
      <c r="V224" s="301">
        <f>K224*E224</f>
        <v>0</v>
      </c>
    </row>
    <row r="225" spans="1:22" s="301" customFormat="1" ht="13.5" thickBot="1" x14ac:dyDescent="0.25">
      <c r="A225" s="517"/>
      <c r="B225" s="540"/>
      <c r="C225" s="537"/>
      <c r="D225" s="518"/>
      <c r="E225" s="526"/>
      <c r="F225" s="379">
        <f t="shared" si="68"/>
        <v>0</v>
      </c>
      <c r="G225" s="296"/>
      <c r="H225" s="296"/>
      <c r="I225" s="296"/>
      <c r="J225" s="296"/>
      <c r="K225" s="296"/>
      <c r="L225" s="297">
        <f t="shared" si="69"/>
        <v>0</v>
      </c>
      <c r="M225" s="298"/>
      <c r="N225" s="298"/>
      <c r="O225" s="514"/>
      <c r="P225" s="300"/>
      <c r="S225" s="301">
        <f>H225*E225</f>
        <v>0</v>
      </c>
      <c r="T225" s="301">
        <f>I225*E225</f>
        <v>0</v>
      </c>
      <c r="U225" s="301">
        <f>J225*E225</f>
        <v>0</v>
      </c>
      <c r="V225" s="301">
        <f>K225*E225</f>
        <v>0</v>
      </c>
    </row>
    <row r="226" spans="1:22" s="301" customFormat="1" ht="13.5" thickBot="1" x14ac:dyDescent="0.25">
      <c r="A226" s="333"/>
      <c r="B226" s="336"/>
      <c r="C226" s="407"/>
      <c r="D226" s="341"/>
      <c r="E226" s="343"/>
      <c r="F226" s="347">
        <f>SUM(F8:F225)</f>
        <v>3721410.54</v>
      </c>
      <c r="G226" s="345"/>
      <c r="H226" s="472">
        <f>S226/F226</f>
        <v>4.3518552511005682E-3</v>
      </c>
      <c r="I226" s="472">
        <f>T226/F226</f>
        <v>3.220841095376701E-2</v>
      </c>
      <c r="J226" s="472">
        <f>U226/F226</f>
        <v>3.8546943009410618E-2</v>
      </c>
      <c r="K226" s="472">
        <f>V226/F226</f>
        <v>0.20368325178119154</v>
      </c>
      <c r="L226" s="347">
        <f>SUM(L8:L225)</f>
        <v>1400754.04</v>
      </c>
      <c r="M226" s="345"/>
      <c r="N226" s="345"/>
      <c r="O226" s="345"/>
      <c r="P226" s="300"/>
      <c r="S226" s="301">
        <f>SUM(S8:S225)</f>
        <v>16195.04</v>
      </c>
      <c r="T226" s="301">
        <f>SUM(T8:T225)</f>
        <v>119860.72</v>
      </c>
      <c r="U226" s="301">
        <f>SUM(U8:U225)</f>
        <v>143449</v>
      </c>
      <c r="V226" s="301">
        <f>SUM(V8:V225)</f>
        <v>757989</v>
      </c>
    </row>
    <row r="227" spans="1:22" s="301" customFormat="1" x14ac:dyDescent="0.2">
      <c r="A227" s="324"/>
      <c r="B227" s="335"/>
      <c r="C227" s="338"/>
      <c r="D227" s="325"/>
      <c r="E227" s="326"/>
      <c r="F227" s="327"/>
      <c r="G227" s="328"/>
      <c r="H227" s="328"/>
      <c r="I227" s="328"/>
      <c r="J227" s="328"/>
      <c r="K227" s="328"/>
      <c r="L227" s="329"/>
      <c r="M227" s="330"/>
      <c r="N227" s="330"/>
      <c r="O227" s="331"/>
      <c r="P227" s="300"/>
    </row>
    <row r="228" spans="1:22" s="282" customFormat="1" x14ac:dyDescent="0.2">
      <c r="A228" s="302"/>
      <c r="B228" s="306"/>
      <c r="C228" s="305" t="s">
        <v>250</v>
      </c>
      <c r="D228" s="303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4"/>
      <c r="R228" s="496"/>
    </row>
    <row r="229" spans="1:22" s="282" customFormat="1" x14ac:dyDescent="0.2">
      <c r="A229" s="302"/>
      <c r="B229" s="307"/>
      <c r="C229" s="305" t="s">
        <v>251</v>
      </c>
      <c r="D229" s="303"/>
      <c r="E229" s="15"/>
      <c r="F229" s="236" t="s">
        <v>24</v>
      </c>
      <c r="G229" s="302"/>
      <c r="H229" s="302"/>
      <c r="I229" s="302"/>
      <c r="J229" s="302"/>
      <c r="K229" s="302"/>
      <c r="L229" s="302"/>
      <c r="M229" s="302"/>
      <c r="N229" s="302"/>
      <c r="O229" s="304"/>
      <c r="R229" s="496"/>
    </row>
    <row r="230" spans="1:22" s="282" customFormat="1" x14ac:dyDescent="0.2">
      <c r="A230" s="302"/>
      <c r="B230" s="308"/>
      <c r="C230" s="305" t="s">
        <v>252</v>
      </c>
      <c r="D230" s="303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4"/>
      <c r="R230" s="496"/>
    </row>
    <row r="231" spans="1:22" s="282" customFormat="1" x14ac:dyDescent="0.2">
      <c r="A231" s="302"/>
      <c r="B231" s="309"/>
      <c r="C231" s="305" t="s">
        <v>253</v>
      </c>
      <c r="D231" s="303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4"/>
      <c r="R231" s="496"/>
    </row>
    <row r="232" spans="1:22" s="282" customFormat="1" x14ac:dyDescent="0.2">
      <c r="A232" s="302"/>
      <c r="B232" s="310"/>
      <c r="C232" s="305" t="s">
        <v>254</v>
      </c>
      <c r="D232" s="303"/>
      <c r="E232" s="302"/>
      <c r="F232" s="302"/>
      <c r="G232" s="302"/>
      <c r="H232" s="302"/>
      <c r="I232" s="302"/>
      <c r="J232" s="302"/>
      <c r="K232" s="302"/>
      <c r="L232" s="302"/>
      <c r="M232" s="302"/>
      <c r="N232" s="302"/>
      <c r="O232" s="304"/>
      <c r="R232" s="496"/>
    </row>
    <row r="233" spans="1:22" s="282" customFormat="1" x14ac:dyDescent="0.2">
      <c r="A233" s="302"/>
      <c r="B233" s="311"/>
      <c r="C233" s="305" t="s">
        <v>255</v>
      </c>
      <c r="D233" s="303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O233" s="304"/>
      <c r="R233" s="496"/>
    </row>
    <row r="234" spans="1:22" s="282" customFormat="1" x14ac:dyDescent="0.2">
      <c r="A234" s="302"/>
      <c r="B234" s="377"/>
      <c r="C234" s="378" t="s">
        <v>256</v>
      </c>
      <c r="D234" s="303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4"/>
      <c r="R234" s="496"/>
    </row>
    <row r="235" spans="1:22" s="282" customFormat="1" x14ac:dyDescent="0.2">
      <c r="A235" s="302"/>
      <c r="B235" s="374"/>
      <c r="C235" s="375" t="s">
        <v>364</v>
      </c>
      <c r="D235" s="303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4"/>
      <c r="R235" s="496"/>
    </row>
    <row r="236" spans="1:22" s="282" customFormat="1" x14ac:dyDescent="0.2">
      <c r="A236" s="302"/>
      <c r="B236" s="376"/>
      <c r="C236" s="375" t="s">
        <v>365</v>
      </c>
      <c r="D236" s="303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O236" s="304"/>
      <c r="R236" s="496"/>
    </row>
    <row r="237" spans="1:22" s="282" customFormat="1" x14ac:dyDescent="0.2">
      <c r="A237" s="302"/>
      <c r="B237" s="302"/>
      <c r="C237" s="302"/>
      <c r="D237" s="303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4"/>
      <c r="R237" s="496"/>
    </row>
    <row r="238" spans="1:22" s="282" customFormat="1" x14ac:dyDescent="0.2">
      <c r="A238" s="302"/>
      <c r="B238" s="302"/>
      <c r="C238" s="302"/>
      <c r="D238" s="303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O238" s="304"/>
      <c r="R238" s="496"/>
    </row>
    <row r="239" spans="1:22" s="282" customFormat="1" x14ac:dyDescent="0.2">
      <c r="A239" s="302"/>
      <c r="B239" s="302"/>
      <c r="C239" s="302"/>
      <c r="D239" s="303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4"/>
      <c r="R239" s="496"/>
    </row>
    <row r="240" spans="1:22" s="282" customFormat="1" x14ac:dyDescent="0.2">
      <c r="A240" s="302"/>
      <c r="B240" s="302"/>
      <c r="C240" s="302"/>
      <c r="D240" s="303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4"/>
      <c r="R240" s="496"/>
    </row>
    <row r="241" spans="1:18" s="282" customFormat="1" x14ac:dyDescent="0.2">
      <c r="A241" s="302"/>
      <c r="B241" s="302"/>
      <c r="C241" s="302"/>
      <c r="D241" s="303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O241" s="304"/>
      <c r="R241" s="496"/>
    </row>
    <row r="242" spans="1:18" s="282" customFormat="1" x14ac:dyDescent="0.2">
      <c r="A242" s="302"/>
      <c r="B242" s="302"/>
      <c r="C242" s="302"/>
      <c r="D242" s="303"/>
      <c r="E242" s="302"/>
      <c r="F242" s="302"/>
      <c r="G242" s="302"/>
      <c r="H242" s="302"/>
      <c r="I242" s="302"/>
      <c r="J242" s="302"/>
      <c r="K242" s="302"/>
      <c r="L242" s="302"/>
      <c r="M242" s="302"/>
      <c r="N242" s="302"/>
      <c r="O242" s="304"/>
      <c r="R242" s="496"/>
    </row>
    <row r="243" spans="1:18" s="282" customFormat="1" x14ac:dyDescent="0.2">
      <c r="A243" s="302"/>
      <c r="B243" s="302"/>
      <c r="C243" s="302"/>
      <c r="D243" s="303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4"/>
      <c r="R243" s="496"/>
    </row>
    <row r="244" spans="1:18" s="282" customFormat="1" x14ac:dyDescent="0.2">
      <c r="A244" s="302"/>
      <c r="B244" s="302"/>
      <c r="C244" s="302"/>
      <c r="D244" s="303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O244" s="304"/>
      <c r="R244" s="496"/>
    </row>
    <row r="245" spans="1:18" s="282" customFormat="1" x14ac:dyDescent="0.2">
      <c r="A245" s="302"/>
      <c r="B245" s="302"/>
      <c r="C245" s="302"/>
      <c r="D245" s="303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4"/>
      <c r="R245" s="496"/>
    </row>
    <row r="246" spans="1:18" s="282" customFormat="1" x14ac:dyDescent="0.2">
      <c r="A246" s="302"/>
      <c r="B246" s="302"/>
      <c r="C246" s="302"/>
      <c r="D246" s="303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4"/>
      <c r="R246" s="496"/>
    </row>
    <row r="247" spans="1:18" s="282" customFormat="1" x14ac:dyDescent="0.2">
      <c r="A247" s="302"/>
      <c r="B247" s="302"/>
      <c r="C247" s="302"/>
      <c r="D247" s="303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4"/>
      <c r="R247" s="496"/>
    </row>
    <row r="248" spans="1:18" s="282" customFormat="1" x14ac:dyDescent="0.2">
      <c r="A248" s="302"/>
      <c r="B248" s="302"/>
      <c r="C248" s="302"/>
      <c r="D248" s="303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R248" s="496"/>
    </row>
    <row r="249" spans="1:18" s="282" customFormat="1" x14ac:dyDescent="0.2">
      <c r="A249" s="302"/>
      <c r="B249" s="302"/>
      <c r="C249" s="302"/>
      <c r="D249" s="303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R249" s="496"/>
    </row>
    <row r="250" spans="1:18" s="282" customFormat="1" x14ac:dyDescent="0.2">
      <c r="A250" s="302"/>
      <c r="B250" s="302"/>
      <c r="C250" s="302"/>
      <c r="D250" s="303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R250" s="496"/>
    </row>
    <row r="251" spans="1:18" s="282" customFormat="1" x14ac:dyDescent="0.2">
      <c r="A251" s="302"/>
      <c r="B251" s="302"/>
      <c r="C251" s="302"/>
      <c r="D251" s="303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R251" s="496"/>
    </row>
    <row r="252" spans="1:18" s="282" customFormat="1" x14ac:dyDescent="0.2">
      <c r="A252" s="302"/>
      <c r="B252" s="302"/>
      <c r="C252" s="302"/>
      <c r="D252" s="303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R252" s="496"/>
    </row>
    <row r="253" spans="1:18" s="282" customFormat="1" x14ac:dyDescent="0.2">
      <c r="A253" s="302"/>
      <c r="B253" s="302"/>
      <c r="C253" s="302"/>
      <c r="D253" s="303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R253" s="496"/>
    </row>
    <row r="254" spans="1:18" s="282" customFormat="1" x14ac:dyDescent="0.2">
      <c r="A254" s="302"/>
      <c r="B254" s="302"/>
      <c r="C254" s="302"/>
      <c r="D254" s="303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R254" s="496"/>
    </row>
    <row r="255" spans="1:18" s="282" customFormat="1" x14ac:dyDescent="0.2">
      <c r="A255" s="302"/>
      <c r="B255" s="302"/>
      <c r="C255" s="302"/>
      <c r="D255" s="303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R255" s="496"/>
    </row>
    <row r="256" spans="1:18" s="282" customFormat="1" x14ac:dyDescent="0.2">
      <c r="A256" s="302"/>
      <c r="B256" s="302"/>
      <c r="C256" s="302"/>
      <c r="D256" s="303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R256" s="496"/>
    </row>
    <row r="257" spans="1:18" s="282" customFormat="1" x14ac:dyDescent="0.2">
      <c r="A257" s="302"/>
      <c r="B257" s="302"/>
      <c r="C257" s="302"/>
      <c r="D257" s="303"/>
      <c r="E257" s="302"/>
      <c r="F257" s="302"/>
      <c r="G257" s="302"/>
      <c r="H257" s="302"/>
      <c r="I257" s="302"/>
      <c r="J257" s="302"/>
      <c r="K257" s="302"/>
      <c r="L257" s="302"/>
      <c r="M257" s="302"/>
      <c r="N257" s="302"/>
      <c r="R257" s="496"/>
    </row>
    <row r="258" spans="1:18" s="282" customFormat="1" x14ac:dyDescent="0.2">
      <c r="A258" s="302"/>
      <c r="B258" s="302"/>
      <c r="C258" s="302"/>
      <c r="D258" s="303"/>
      <c r="E258" s="302"/>
      <c r="F258" s="302"/>
      <c r="G258" s="302"/>
      <c r="H258" s="302"/>
      <c r="I258" s="302"/>
      <c r="J258" s="302"/>
      <c r="K258" s="302"/>
      <c r="L258" s="302"/>
      <c r="M258" s="302"/>
      <c r="N258" s="302"/>
      <c r="R258" s="496"/>
    </row>
    <row r="259" spans="1:18" s="282" customFormat="1" x14ac:dyDescent="0.2">
      <c r="A259" s="302"/>
      <c r="B259" s="302"/>
      <c r="C259" s="302"/>
      <c r="D259" s="303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R259" s="496"/>
    </row>
    <row r="260" spans="1:18" s="282" customFormat="1" x14ac:dyDescent="0.2">
      <c r="A260" s="302"/>
      <c r="B260" s="302"/>
      <c r="C260" s="302"/>
      <c r="D260" s="303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R260" s="496"/>
    </row>
    <row r="261" spans="1:18" s="282" customFormat="1" x14ac:dyDescent="0.2">
      <c r="A261" s="302"/>
      <c r="B261" s="302"/>
      <c r="C261" s="302"/>
      <c r="D261" s="303"/>
      <c r="E261" s="302"/>
      <c r="F261" s="302"/>
      <c r="G261" s="302"/>
      <c r="H261" s="302"/>
      <c r="I261" s="302"/>
      <c r="J261" s="302"/>
      <c r="K261" s="302"/>
      <c r="L261" s="302"/>
      <c r="M261" s="302"/>
      <c r="N261" s="302"/>
      <c r="R261" s="496"/>
    </row>
    <row r="262" spans="1:18" s="282" customFormat="1" x14ac:dyDescent="0.2">
      <c r="A262" s="302"/>
      <c r="B262" s="302"/>
      <c r="C262" s="302"/>
      <c r="D262" s="303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R262" s="496"/>
    </row>
    <row r="263" spans="1:18" s="282" customFormat="1" x14ac:dyDescent="0.2">
      <c r="A263" s="302"/>
      <c r="B263" s="302"/>
      <c r="C263" s="302"/>
      <c r="D263" s="303"/>
      <c r="E263" s="302"/>
      <c r="F263" s="302"/>
      <c r="G263" s="302"/>
      <c r="H263" s="302"/>
      <c r="I263" s="302"/>
      <c r="J263" s="302"/>
      <c r="K263" s="302"/>
      <c r="L263" s="302"/>
      <c r="M263" s="302"/>
      <c r="N263" s="302"/>
      <c r="R263" s="496"/>
    </row>
    <row r="264" spans="1:18" s="282" customFormat="1" x14ac:dyDescent="0.2">
      <c r="A264" s="302"/>
      <c r="B264" s="302"/>
      <c r="C264" s="302"/>
      <c r="D264" s="303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R264" s="496"/>
    </row>
    <row r="265" spans="1:18" s="282" customFormat="1" x14ac:dyDescent="0.2">
      <c r="A265" s="302"/>
      <c r="B265" s="302"/>
      <c r="C265" s="302"/>
      <c r="D265" s="303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R265" s="496"/>
    </row>
    <row r="266" spans="1:18" s="282" customFormat="1" x14ac:dyDescent="0.2">
      <c r="A266" s="302"/>
      <c r="B266" s="302"/>
      <c r="C266" s="302"/>
      <c r="D266" s="303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R266" s="496"/>
    </row>
    <row r="267" spans="1:18" s="282" customFormat="1" x14ac:dyDescent="0.2">
      <c r="A267" s="302"/>
      <c r="B267" s="302"/>
      <c r="C267" s="302"/>
      <c r="D267" s="303"/>
      <c r="E267" s="302"/>
      <c r="F267" s="302"/>
      <c r="G267" s="302"/>
      <c r="H267" s="302"/>
      <c r="I267" s="302"/>
      <c r="J267" s="302"/>
      <c r="K267" s="302"/>
      <c r="L267" s="302"/>
      <c r="M267" s="302"/>
      <c r="N267" s="302"/>
      <c r="R267" s="496"/>
    </row>
    <row r="268" spans="1:18" s="282" customFormat="1" x14ac:dyDescent="0.2">
      <c r="A268" s="302"/>
      <c r="B268" s="302"/>
      <c r="C268" s="302"/>
      <c r="D268" s="303"/>
      <c r="E268" s="302"/>
      <c r="F268" s="302"/>
      <c r="G268" s="302"/>
      <c r="H268" s="302"/>
      <c r="I268" s="302"/>
      <c r="J268" s="302"/>
      <c r="K268" s="302"/>
      <c r="L268" s="302"/>
      <c r="M268" s="302"/>
      <c r="N268" s="302"/>
      <c r="R268" s="496"/>
    </row>
    <row r="269" spans="1:18" s="282" customFormat="1" x14ac:dyDescent="0.2">
      <c r="A269" s="302"/>
      <c r="B269" s="302"/>
      <c r="C269" s="302"/>
      <c r="D269" s="303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R269" s="496"/>
    </row>
    <row r="270" spans="1:18" s="282" customFormat="1" x14ac:dyDescent="0.2">
      <c r="A270" s="302"/>
      <c r="B270" s="302"/>
      <c r="C270" s="302"/>
      <c r="D270" s="303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R270" s="496"/>
    </row>
    <row r="271" spans="1:18" s="282" customFormat="1" x14ac:dyDescent="0.2">
      <c r="A271" s="302"/>
      <c r="B271" s="302"/>
      <c r="C271" s="302"/>
      <c r="D271" s="303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R271" s="496"/>
    </row>
    <row r="272" spans="1:18" s="282" customFormat="1" x14ac:dyDescent="0.2">
      <c r="A272" s="302"/>
      <c r="B272" s="302"/>
      <c r="C272" s="302"/>
      <c r="D272" s="303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R272" s="496"/>
    </row>
    <row r="273" spans="1:18" s="282" customFormat="1" x14ac:dyDescent="0.2">
      <c r="A273" s="302"/>
      <c r="B273" s="302"/>
      <c r="C273" s="302"/>
      <c r="D273" s="303"/>
      <c r="E273" s="302"/>
      <c r="F273" s="302"/>
      <c r="G273" s="302"/>
      <c r="H273" s="302"/>
      <c r="I273" s="302"/>
      <c r="J273" s="302"/>
      <c r="K273" s="302"/>
      <c r="L273" s="302"/>
      <c r="M273" s="302"/>
      <c r="N273" s="302"/>
      <c r="R273" s="496"/>
    </row>
    <row r="274" spans="1:18" s="282" customFormat="1" x14ac:dyDescent="0.2">
      <c r="A274" s="302"/>
      <c r="B274" s="302"/>
      <c r="C274" s="302"/>
      <c r="D274" s="303"/>
      <c r="E274" s="302"/>
      <c r="F274" s="302"/>
      <c r="G274" s="302"/>
      <c r="H274" s="302"/>
      <c r="I274" s="302"/>
      <c r="J274" s="302"/>
      <c r="K274" s="302"/>
      <c r="L274" s="302"/>
      <c r="M274" s="302"/>
      <c r="N274" s="302"/>
      <c r="R274" s="496"/>
    </row>
    <row r="275" spans="1:18" s="282" customFormat="1" x14ac:dyDescent="0.2">
      <c r="A275" s="302"/>
      <c r="B275" s="302"/>
      <c r="C275" s="302"/>
      <c r="D275" s="303"/>
      <c r="E275" s="302"/>
      <c r="F275" s="302"/>
      <c r="G275" s="302"/>
      <c r="H275" s="302"/>
      <c r="I275" s="302"/>
      <c r="J275" s="302"/>
      <c r="K275" s="302"/>
      <c r="L275" s="302"/>
      <c r="M275" s="302"/>
      <c r="N275" s="302"/>
      <c r="R275" s="496"/>
    </row>
    <row r="276" spans="1:18" s="282" customFormat="1" x14ac:dyDescent="0.2">
      <c r="A276" s="302"/>
      <c r="B276" s="302"/>
      <c r="C276" s="302"/>
      <c r="D276" s="303"/>
      <c r="E276" s="302"/>
      <c r="F276" s="302"/>
      <c r="G276" s="302"/>
      <c r="H276" s="302"/>
      <c r="I276" s="302"/>
      <c r="J276" s="302"/>
      <c r="K276" s="302"/>
      <c r="L276" s="302"/>
      <c r="M276" s="302"/>
      <c r="N276" s="302"/>
      <c r="R276" s="496"/>
    </row>
    <row r="277" spans="1:18" s="282" customFormat="1" x14ac:dyDescent="0.2">
      <c r="A277" s="302"/>
      <c r="B277" s="302"/>
      <c r="C277" s="302"/>
      <c r="D277" s="303"/>
      <c r="E277" s="302"/>
      <c r="F277" s="302"/>
      <c r="G277" s="302"/>
      <c r="H277" s="302"/>
      <c r="I277" s="302"/>
      <c r="J277" s="302"/>
      <c r="K277" s="302"/>
      <c r="L277" s="302"/>
      <c r="M277" s="302"/>
      <c r="N277" s="302"/>
      <c r="R277" s="496"/>
    </row>
    <row r="278" spans="1:18" s="282" customFormat="1" x14ac:dyDescent="0.2">
      <c r="A278" s="302"/>
      <c r="B278" s="302"/>
      <c r="C278" s="302"/>
      <c r="D278" s="303"/>
      <c r="E278" s="302"/>
      <c r="F278" s="302"/>
      <c r="G278" s="302"/>
      <c r="H278" s="302"/>
      <c r="I278" s="302"/>
      <c r="J278" s="302"/>
      <c r="K278" s="302"/>
      <c r="L278" s="302"/>
      <c r="M278" s="302"/>
      <c r="N278" s="302"/>
      <c r="R278" s="496"/>
    </row>
    <row r="279" spans="1:18" s="282" customFormat="1" x14ac:dyDescent="0.2">
      <c r="A279" s="302"/>
      <c r="B279" s="302"/>
      <c r="C279" s="302"/>
      <c r="D279" s="303"/>
      <c r="E279" s="302"/>
      <c r="F279" s="302"/>
      <c r="G279" s="302"/>
      <c r="H279" s="302"/>
      <c r="I279" s="302"/>
      <c r="J279" s="302"/>
      <c r="K279" s="302"/>
      <c r="L279" s="302"/>
      <c r="M279" s="302"/>
      <c r="N279" s="302"/>
      <c r="R279" s="496"/>
    </row>
    <row r="280" spans="1:18" s="282" customFormat="1" x14ac:dyDescent="0.2">
      <c r="A280" s="302"/>
      <c r="B280" s="302"/>
      <c r="C280" s="302"/>
      <c r="D280" s="303"/>
      <c r="E280" s="302"/>
      <c r="F280" s="302"/>
      <c r="G280" s="302"/>
      <c r="H280" s="302"/>
      <c r="I280" s="302"/>
      <c r="J280" s="302"/>
      <c r="K280" s="302"/>
      <c r="L280" s="302"/>
      <c r="M280" s="302"/>
      <c r="N280" s="302"/>
      <c r="R280" s="496"/>
    </row>
    <row r="281" spans="1:18" s="282" customFormat="1" x14ac:dyDescent="0.2">
      <c r="A281" s="302"/>
      <c r="B281" s="302"/>
      <c r="C281" s="302"/>
      <c r="D281" s="303"/>
      <c r="E281" s="302"/>
      <c r="F281" s="302"/>
      <c r="G281" s="302"/>
      <c r="H281" s="302"/>
      <c r="I281" s="302"/>
      <c r="J281" s="302"/>
      <c r="K281" s="302"/>
      <c r="L281" s="302"/>
      <c r="M281" s="302"/>
      <c r="N281" s="302"/>
      <c r="R281" s="496"/>
    </row>
    <row r="282" spans="1:18" s="282" customFormat="1" x14ac:dyDescent="0.2">
      <c r="A282" s="302"/>
      <c r="B282" s="302"/>
      <c r="C282" s="302"/>
      <c r="D282" s="303"/>
      <c r="E282" s="302"/>
      <c r="F282" s="302"/>
      <c r="G282" s="302"/>
      <c r="H282" s="302"/>
      <c r="I282" s="302"/>
      <c r="J282" s="302"/>
      <c r="K282" s="302"/>
      <c r="L282" s="302"/>
      <c r="M282" s="302"/>
      <c r="N282" s="302"/>
      <c r="R282" s="496"/>
    </row>
    <row r="283" spans="1:18" s="282" customFormat="1" x14ac:dyDescent="0.2">
      <c r="A283" s="302"/>
      <c r="B283" s="302"/>
      <c r="C283" s="302"/>
      <c r="D283" s="303"/>
      <c r="E283" s="302"/>
      <c r="F283" s="302"/>
      <c r="G283" s="302"/>
      <c r="H283" s="302"/>
      <c r="I283" s="302"/>
      <c r="J283" s="302"/>
      <c r="K283" s="302"/>
      <c r="L283" s="302"/>
      <c r="M283" s="302"/>
      <c r="N283" s="302"/>
      <c r="R283" s="496"/>
    </row>
    <row r="284" spans="1:18" s="282" customFormat="1" x14ac:dyDescent="0.2">
      <c r="A284" s="302"/>
      <c r="B284" s="302"/>
      <c r="C284" s="302"/>
      <c r="D284" s="303"/>
      <c r="E284" s="302"/>
      <c r="F284" s="302"/>
      <c r="G284" s="302"/>
      <c r="H284" s="302"/>
      <c r="I284" s="302"/>
      <c r="J284" s="302"/>
      <c r="K284" s="302"/>
      <c r="L284" s="302"/>
      <c r="M284" s="302"/>
      <c r="N284" s="302"/>
      <c r="R284" s="496"/>
    </row>
    <row r="285" spans="1:18" s="282" customFormat="1" x14ac:dyDescent="0.2">
      <c r="A285" s="302"/>
      <c r="B285" s="302"/>
      <c r="C285" s="302"/>
      <c r="D285" s="303"/>
      <c r="E285" s="302"/>
      <c r="F285" s="302"/>
      <c r="G285" s="302"/>
      <c r="H285" s="302"/>
      <c r="I285" s="302"/>
      <c r="J285" s="302"/>
      <c r="K285" s="302"/>
      <c r="L285" s="302"/>
      <c r="M285" s="302"/>
      <c r="N285" s="302"/>
      <c r="R285" s="496"/>
    </row>
    <row r="286" spans="1:18" s="282" customFormat="1" x14ac:dyDescent="0.2">
      <c r="A286" s="302"/>
      <c r="B286" s="302"/>
      <c r="C286" s="302"/>
      <c r="D286" s="303"/>
      <c r="E286" s="302"/>
      <c r="F286" s="302"/>
      <c r="G286" s="302"/>
      <c r="H286" s="302"/>
      <c r="I286" s="302"/>
      <c r="J286" s="302"/>
      <c r="K286" s="302"/>
      <c r="L286" s="302"/>
      <c r="M286" s="302"/>
      <c r="N286" s="302"/>
      <c r="R286" s="496"/>
    </row>
    <row r="287" spans="1:18" s="282" customFormat="1" x14ac:dyDescent="0.2">
      <c r="A287" s="302"/>
      <c r="B287" s="302"/>
      <c r="C287" s="302"/>
      <c r="D287" s="303"/>
      <c r="E287" s="302"/>
      <c r="F287" s="302"/>
      <c r="G287" s="302"/>
      <c r="H287" s="302"/>
      <c r="I287" s="302"/>
      <c r="J287" s="302"/>
      <c r="K287" s="302"/>
      <c r="L287" s="302"/>
      <c r="M287" s="302"/>
      <c r="N287" s="302"/>
      <c r="R287" s="496"/>
    </row>
    <row r="288" spans="1:18" s="282" customFormat="1" x14ac:dyDescent="0.2">
      <c r="A288" s="302"/>
      <c r="B288" s="302"/>
      <c r="C288" s="302"/>
      <c r="D288" s="303"/>
      <c r="E288" s="302"/>
      <c r="F288" s="302"/>
      <c r="G288" s="302"/>
      <c r="H288" s="302"/>
      <c r="I288" s="302"/>
      <c r="J288" s="302"/>
      <c r="K288" s="302"/>
      <c r="L288" s="302"/>
      <c r="M288" s="302"/>
      <c r="N288" s="302"/>
      <c r="R288" s="496"/>
    </row>
    <row r="289" spans="1:18" s="282" customFormat="1" x14ac:dyDescent="0.2">
      <c r="A289" s="302"/>
      <c r="B289" s="302"/>
      <c r="C289" s="302"/>
      <c r="D289" s="303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R289" s="496"/>
    </row>
    <row r="290" spans="1:18" s="282" customFormat="1" x14ac:dyDescent="0.2">
      <c r="A290" s="302"/>
      <c r="B290" s="302"/>
      <c r="C290" s="302"/>
      <c r="D290" s="303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R290" s="496"/>
    </row>
    <row r="291" spans="1:18" s="282" customFormat="1" x14ac:dyDescent="0.2">
      <c r="A291" s="302"/>
      <c r="B291" s="302"/>
      <c r="C291" s="302"/>
      <c r="D291" s="303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R291" s="496"/>
    </row>
    <row r="292" spans="1:18" s="282" customFormat="1" x14ac:dyDescent="0.2">
      <c r="A292" s="302"/>
      <c r="B292" s="302"/>
      <c r="C292" s="302"/>
      <c r="D292" s="303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R292" s="496"/>
    </row>
    <row r="293" spans="1:18" s="282" customFormat="1" x14ac:dyDescent="0.2">
      <c r="A293" s="302"/>
      <c r="B293" s="302"/>
      <c r="C293" s="302"/>
      <c r="D293" s="303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R293" s="496"/>
    </row>
    <row r="294" spans="1:18" s="282" customFormat="1" x14ac:dyDescent="0.2">
      <c r="A294" s="302"/>
      <c r="B294" s="302"/>
      <c r="C294" s="302"/>
      <c r="D294" s="303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R294" s="496"/>
    </row>
    <row r="295" spans="1:18" s="282" customFormat="1" x14ac:dyDescent="0.2">
      <c r="A295" s="302"/>
      <c r="B295" s="302"/>
      <c r="C295" s="302"/>
      <c r="D295" s="303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R295" s="496"/>
    </row>
    <row r="296" spans="1:18" s="282" customFormat="1" x14ac:dyDescent="0.2">
      <c r="A296" s="302"/>
      <c r="B296" s="302"/>
      <c r="C296" s="302"/>
      <c r="D296" s="303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R296" s="496"/>
    </row>
    <row r="297" spans="1:18" s="282" customFormat="1" x14ac:dyDescent="0.2">
      <c r="A297" s="302"/>
      <c r="B297" s="302"/>
      <c r="C297" s="302"/>
      <c r="D297" s="303"/>
      <c r="E297" s="302"/>
      <c r="F297" s="302"/>
      <c r="G297" s="302"/>
      <c r="H297" s="302"/>
      <c r="I297" s="302"/>
      <c r="J297" s="302"/>
      <c r="K297" s="302"/>
      <c r="L297" s="302"/>
      <c r="M297" s="302"/>
      <c r="N297" s="302"/>
      <c r="R297" s="496"/>
    </row>
    <row r="298" spans="1:18" s="282" customFormat="1" x14ac:dyDescent="0.2">
      <c r="A298" s="302"/>
      <c r="B298" s="302"/>
      <c r="C298" s="302"/>
      <c r="D298" s="303"/>
      <c r="E298" s="302"/>
      <c r="F298" s="302"/>
      <c r="G298" s="302"/>
      <c r="H298" s="302"/>
      <c r="I298" s="302"/>
      <c r="J298" s="302"/>
      <c r="K298" s="302"/>
      <c r="L298" s="302"/>
      <c r="M298" s="302"/>
      <c r="N298" s="302"/>
      <c r="R298" s="496"/>
    </row>
    <row r="299" spans="1:18" s="282" customFormat="1" x14ac:dyDescent="0.2">
      <c r="A299" s="302"/>
      <c r="B299" s="302"/>
      <c r="C299" s="302"/>
      <c r="D299" s="303"/>
      <c r="E299" s="302"/>
      <c r="F299" s="302"/>
      <c r="G299" s="302"/>
      <c r="H299" s="302"/>
      <c r="I299" s="302"/>
      <c r="J299" s="302"/>
      <c r="K299" s="302"/>
      <c r="L299" s="302"/>
      <c r="M299" s="302"/>
      <c r="N299" s="302"/>
      <c r="R299" s="496"/>
    </row>
    <row r="300" spans="1:18" s="282" customFormat="1" x14ac:dyDescent="0.2">
      <c r="A300" s="302"/>
      <c r="B300" s="302"/>
      <c r="C300" s="302"/>
      <c r="D300" s="303"/>
      <c r="E300" s="302"/>
      <c r="F300" s="302"/>
      <c r="G300" s="302"/>
      <c r="H300" s="302"/>
      <c r="I300" s="302"/>
      <c r="J300" s="302"/>
      <c r="K300" s="302"/>
      <c r="L300" s="302"/>
      <c r="M300" s="302"/>
      <c r="N300" s="302"/>
      <c r="R300" s="496"/>
    </row>
    <row r="301" spans="1:18" s="282" customFormat="1" x14ac:dyDescent="0.2">
      <c r="A301" s="302"/>
      <c r="B301" s="302"/>
      <c r="C301" s="302"/>
      <c r="D301" s="303"/>
      <c r="E301" s="302"/>
      <c r="F301" s="302"/>
      <c r="G301" s="302"/>
      <c r="H301" s="302"/>
      <c r="I301" s="302"/>
      <c r="J301" s="302"/>
      <c r="K301" s="302"/>
      <c r="L301" s="302"/>
      <c r="M301" s="302"/>
      <c r="N301" s="302"/>
      <c r="R301" s="496"/>
    </row>
    <row r="302" spans="1:18" s="282" customFormat="1" x14ac:dyDescent="0.2">
      <c r="A302" s="302"/>
      <c r="B302" s="302"/>
      <c r="C302" s="302"/>
      <c r="D302" s="303"/>
      <c r="E302" s="302"/>
      <c r="F302" s="302"/>
      <c r="G302" s="302"/>
      <c r="H302" s="302"/>
      <c r="I302" s="302"/>
      <c r="J302" s="302"/>
      <c r="K302" s="302"/>
      <c r="L302" s="302"/>
      <c r="M302" s="302"/>
      <c r="N302" s="302"/>
      <c r="R302" s="496"/>
    </row>
    <row r="303" spans="1:18" s="282" customFormat="1" x14ac:dyDescent="0.2">
      <c r="A303" s="302"/>
      <c r="B303" s="302"/>
      <c r="C303" s="302"/>
      <c r="D303" s="303"/>
      <c r="E303" s="302"/>
      <c r="F303" s="302"/>
      <c r="G303" s="302"/>
      <c r="H303" s="302"/>
      <c r="I303" s="302"/>
      <c r="J303" s="302"/>
      <c r="K303" s="302"/>
      <c r="L303" s="302"/>
      <c r="M303" s="302"/>
      <c r="N303" s="302"/>
      <c r="R303" s="496"/>
    </row>
    <row r="304" spans="1:18" s="282" customFormat="1" x14ac:dyDescent="0.2">
      <c r="A304" s="302"/>
      <c r="B304" s="302"/>
      <c r="C304" s="302"/>
      <c r="D304" s="303"/>
      <c r="E304" s="302"/>
      <c r="F304" s="302"/>
      <c r="G304" s="302"/>
      <c r="H304" s="302"/>
      <c r="I304" s="302"/>
      <c r="J304" s="302"/>
      <c r="K304" s="302"/>
      <c r="L304" s="302"/>
      <c r="M304" s="302"/>
      <c r="N304" s="302"/>
      <c r="R304" s="496"/>
    </row>
    <row r="305" spans="1:18" s="282" customFormat="1" x14ac:dyDescent="0.2">
      <c r="A305" s="302"/>
      <c r="B305" s="302"/>
      <c r="C305" s="302"/>
      <c r="D305" s="303"/>
      <c r="E305" s="302"/>
      <c r="F305" s="302"/>
      <c r="G305" s="302"/>
      <c r="H305" s="302"/>
      <c r="I305" s="302"/>
      <c r="J305" s="302"/>
      <c r="K305" s="302"/>
      <c r="L305" s="302"/>
      <c r="M305" s="302"/>
      <c r="N305" s="302"/>
      <c r="R305" s="496"/>
    </row>
    <row r="306" spans="1:18" s="282" customFormat="1" x14ac:dyDescent="0.2">
      <c r="A306" s="302"/>
      <c r="B306" s="302"/>
      <c r="C306" s="302"/>
      <c r="D306" s="303"/>
      <c r="E306" s="302"/>
      <c r="F306" s="302"/>
      <c r="G306" s="302"/>
      <c r="H306" s="302"/>
      <c r="I306" s="302"/>
      <c r="J306" s="302"/>
      <c r="K306" s="302"/>
      <c r="L306" s="302"/>
      <c r="M306" s="302"/>
      <c r="N306" s="302"/>
      <c r="R306" s="496"/>
    </row>
    <row r="307" spans="1:18" s="282" customFormat="1" x14ac:dyDescent="0.2">
      <c r="A307" s="302"/>
      <c r="B307" s="302"/>
      <c r="C307" s="302"/>
      <c r="D307" s="303"/>
      <c r="E307" s="302"/>
      <c r="F307" s="302"/>
      <c r="G307" s="302"/>
      <c r="H307" s="302"/>
      <c r="I307" s="302"/>
      <c r="J307" s="302"/>
      <c r="K307" s="302"/>
      <c r="L307" s="302"/>
      <c r="M307" s="302"/>
      <c r="N307" s="302"/>
      <c r="R307" s="496"/>
    </row>
    <row r="308" spans="1:18" s="282" customFormat="1" x14ac:dyDescent="0.2">
      <c r="A308" s="302"/>
      <c r="B308" s="302"/>
      <c r="C308" s="302"/>
      <c r="D308" s="303"/>
      <c r="E308" s="302"/>
      <c r="F308" s="302"/>
      <c r="G308" s="302"/>
      <c r="H308" s="302"/>
      <c r="I308" s="302"/>
      <c r="J308" s="302"/>
      <c r="K308" s="302"/>
      <c r="L308" s="302"/>
      <c r="M308" s="302"/>
      <c r="N308" s="302"/>
      <c r="R308" s="496"/>
    </row>
    <row r="309" spans="1:18" s="282" customFormat="1" x14ac:dyDescent="0.2">
      <c r="A309" s="302"/>
      <c r="B309" s="302"/>
      <c r="C309" s="302"/>
      <c r="D309" s="303"/>
      <c r="E309" s="302"/>
      <c r="F309" s="302"/>
      <c r="G309" s="302"/>
      <c r="H309" s="302"/>
      <c r="I309" s="302"/>
      <c r="J309" s="302"/>
      <c r="K309" s="302"/>
      <c r="L309" s="302"/>
      <c r="M309" s="302"/>
      <c r="N309" s="302"/>
      <c r="R309" s="496"/>
    </row>
    <row r="310" spans="1:18" s="282" customFormat="1" x14ac:dyDescent="0.2">
      <c r="A310" s="302"/>
      <c r="B310" s="302"/>
      <c r="C310" s="302"/>
      <c r="D310" s="303"/>
      <c r="E310" s="302"/>
      <c r="F310" s="302"/>
      <c r="G310" s="302"/>
      <c r="H310" s="302"/>
      <c r="I310" s="302"/>
      <c r="J310" s="302"/>
      <c r="K310" s="302"/>
      <c r="L310" s="302"/>
      <c r="M310" s="302"/>
      <c r="N310" s="302"/>
      <c r="R310" s="496"/>
    </row>
    <row r="311" spans="1:18" s="282" customFormat="1" x14ac:dyDescent="0.2">
      <c r="A311" s="302"/>
      <c r="B311" s="302"/>
      <c r="C311" s="302"/>
      <c r="D311" s="303"/>
      <c r="E311" s="302"/>
      <c r="F311" s="302"/>
      <c r="G311" s="302"/>
      <c r="H311" s="302"/>
      <c r="I311" s="302"/>
      <c r="J311" s="302"/>
      <c r="K311" s="302"/>
      <c r="L311" s="302"/>
      <c r="M311" s="302"/>
      <c r="N311" s="302"/>
      <c r="R311" s="496"/>
    </row>
    <row r="312" spans="1:18" s="282" customFormat="1" x14ac:dyDescent="0.2">
      <c r="A312" s="302"/>
      <c r="B312" s="302"/>
      <c r="C312" s="302"/>
      <c r="D312" s="303"/>
      <c r="E312" s="302"/>
      <c r="F312" s="302"/>
      <c r="G312" s="302"/>
      <c r="H312" s="302"/>
      <c r="I312" s="302"/>
      <c r="J312" s="302"/>
      <c r="K312" s="302"/>
      <c r="L312" s="302"/>
      <c r="M312" s="302"/>
      <c r="N312" s="302"/>
      <c r="R312" s="496"/>
    </row>
    <row r="313" spans="1:18" s="282" customFormat="1" x14ac:dyDescent="0.2">
      <c r="A313" s="302"/>
      <c r="B313" s="302"/>
      <c r="C313" s="302"/>
      <c r="D313" s="303"/>
      <c r="E313" s="302"/>
      <c r="F313" s="302"/>
      <c r="G313" s="302"/>
      <c r="H313" s="302"/>
      <c r="I313" s="302"/>
      <c r="J313" s="302"/>
      <c r="K313" s="302"/>
      <c r="L313" s="302"/>
      <c r="M313" s="302"/>
      <c r="N313" s="302"/>
      <c r="R313" s="496"/>
    </row>
    <row r="314" spans="1:18" s="282" customFormat="1" x14ac:dyDescent="0.2">
      <c r="A314" s="302"/>
      <c r="B314" s="302"/>
      <c r="C314" s="302"/>
      <c r="D314" s="303"/>
      <c r="E314" s="302"/>
      <c r="F314" s="302"/>
      <c r="G314" s="302"/>
      <c r="H314" s="302"/>
      <c r="I314" s="302"/>
      <c r="J314" s="302"/>
      <c r="K314" s="302"/>
      <c r="L314" s="302"/>
      <c r="M314" s="302"/>
      <c r="N314" s="302"/>
      <c r="R314" s="496"/>
    </row>
    <row r="315" spans="1:18" s="282" customFormat="1" x14ac:dyDescent="0.2">
      <c r="A315" s="302"/>
      <c r="B315" s="302"/>
      <c r="C315" s="302"/>
      <c r="D315" s="303"/>
      <c r="E315" s="302"/>
      <c r="F315" s="302"/>
      <c r="G315" s="302"/>
      <c r="H315" s="302"/>
      <c r="I315" s="302"/>
      <c r="J315" s="302"/>
      <c r="K315" s="302"/>
      <c r="L315" s="302"/>
      <c r="M315" s="302"/>
      <c r="N315" s="302"/>
      <c r="R315" s="496"/>
    </row>
    <row r="316" spans="1:18" s="282" customFormat="1" x14ac:dyDescent="0.2">
      <c r="A316" s="302"/>
      <c r="B316" s="302"/>
      <c r="C316" s="302"/>
      <c r="D316" s="303"/>
      <c r="E316" s="302"/>
      <c r="F316" s="302"/>
      <c r="G316" s="302"/>
      <c r="H316" s="302"/>
      <c r="I316" s="302"/>
      <c r="J316" s="302"/>
      <c r="K316" s="302"/>
      <c r="L316" s="302"/>
      <c r="M316" s="302"/>
      <c r="N316" s="302"/>
      <c r="R316" s="496"/>
    </row>
    <row r="317" spans="1:18" s="282" customFormat="1" x14ac:dyDescent="0.2">
      <c r="A317" s="302"/>
      <c r="B317" s="302"/>
      <c r="C317" s="302"/>
      <c r="D317" s="303"/>
      <c r="E317" s="302"/>
      <c r="F317" s="302"/>
      <c r="G317" s="302"/>
      <c r="H317" s="302"/>
      <c r="I317" s="302"/>
      <c r="J317" s="302"/>
      <c r="K317" s="302"/>
      <c r="L317" s="302"/>
      <c r="M317" s="302"/>
      <c r="N317" s="302"/>
      <c r="R317" s="496"/>
    </row>
    <row r="318" spans="1:18" s="282" customFormat="1" x14ac:dyDescent="0.2">
      <c r="A318" s="302"/>
      <c r="B318" s="302"/>
      <c r="C318" s="302"/>
      <c r="D318" s="303"/>
      <c r="E318" s="302"/>
      <c r="F318" s="302"/>
      <c r="G318" s="302"/>
      <c r="H318" s="302"/>
      <c r="I318" s="302"/>
      <c r="J318" s="302"/>
      <c r="K318" s="302"/>
      <c r="L318" s="302"/>
      <c r="M318" s="302"/>
      <c r="N318" s="302"/>
      <c r="R318" s="496"/>
    </row>
    <row r="319" spans="1:18" s="282" customFormat="1" x14ac:dyDescent="0.2">
      <c r="A319" s="302"/>
      <c r="B319" s="302"/>
      <c r="C319" s="302"/>
      <c r="D319" s="303"/>
      <c r="E319" s="302"/>
      <c r="F319" s="302"/>
      <c r="G319" s="302"/>
      <c r="H319" s="302"/>
      <c r="I319" s="302"/>
      <c r="J319" s="302"/>
      <c r="K319" s="302"/>
      <c r="L319" s="302"/>
      <c r="M319" s="302"/>
      <c r="N319" s="302"/>
      <c r="R319" s="496"/>
    </row>
    <row r="320" spans="1:18" s="282" customFormat="1" x14ac:dyDescent="0.2">
      <c r="A320" s="496"/>
      <c r="B320" s="496"/>
      <c r="C320" s="496"/>
      <c r="D320" s="279"/>
      <c r="E320" s="496"/>
      <c r="F320" s="496"/>
      <c r="G320" s="302"/>
      <c r="H320" s="302"/>
      <c r="I320" s="302"/>
      <c r="J320" s="302"/>
      <c r="K320" s="302"/>
      <c r="L320" s="302"/>
      <c r="M320" s="302"/>
      <c r="N320" s="302"/>
      <c r="R320" s="496"/>
    </row>
    <row r="321" spans="1:18" s="282" customFormat="1" x14ac:dyDescent="0.2">
      <c r="A321" s="496"/>
      <c r="B321" s="496"/>
      <c r="C321" s="496"/>
      <c r="D321" s="279"/>
      <c r="E321" s="496"/>
      <c r="F321" s="496"/>
      <c r="G321" s="302"/>
      <c r="H321" s="302"/>
      <c r="I321" s="302"/>
      <c r="J321" s="302"/>
      <c r="K321" s="302"/>
      <c r="L321" s="302"/>
      <c r="M321" s="302"/>
      <c r="N321" s="302"/>
      <c r="R321" s="496"/>
    </row>
    <row r="322" spans="1:18" s="282" customFormat="1" x14ac:dyDescent="0.2">
      <c r="A322" s="496"/>
      <c r="B322" s="496"/>
      <c r="C322" s="496"/>
      <c r="D322" s="279"/>
      <c r="E322" s="496"/>
      <c r="F322" s="496"/>
      <c r="G322" s="302"/>
      <c r="H322" s="302"/>
      <c r="I322" s="302"/>
      <c r="J322" s="302"/>
      <c r="K322" s="302"/>
      <c r="L322" s="302"/>
      <c r="M322" s="302"/>
      <c r="N322" s="302"/>
      <c r="R322" s="496"/>
    </row>
    <row r="323" spans="1:18" s="282" customFormat="1" x14ac:dyDescent="0.2">
      <c r="A323" s="496"/>
      <c r="B323" s="496"/>
      <c r="C323" s="496"/>
      <c r="D323" s="279"/>
      <c r="E323" s="496"/>
      <c r="F323" s="496"/>
      <c r="G323" s="302"/>
      <c r="H323" s="302"/>
      <c r="I323" s="302"/>
      <c r="J323" s="302"/>
      <c r="K323" s="302"/>
      <c r="L323" s="302"/>
      <c r="M323" s="302"/>
      <c r="N323" s="302"/>
      <c r="R323" s="496"/>
    </row>
    <row r="324" spans="1:18" s="282" customFormat="1" x14ac:dyDescent="0.2">
      <c r="A324" s="496"/>
      <c r="B324" s="496"/>
      <c r="C324" s="496"/>
      <c r="D324" s="279"/>
      <c r="E324" s="496"/>
      <c r="F324" s="496"/>
      <c r="G324" s="302"/>
      <c r="H324" s="302"/>
      <c r="I324" s="302"/>
      <c r="J324" s="302"/>
      <c r="K324" s="302"/>
      <c r="L324" s="302"/>
      <c r="M324" s="302"/>
      <c r="N324" s="302"/>
      <c r="R324" s="496"/>
    </row>
    <row r="325" spans="1:18" s="282" customFormat="1" x14ac:dyDescent="0.2">
      <c r="A325" s="496"/>
      <c r="B325" s="496"/>
      <c r="C325" s="496"/>
      <c r="D325" s="279"/>
      <c r="E325" s="496"/>
      <c r="F325" s="496"/>
      <c r="G325" s="302"/>
      <c r="H325" s="302"/>
      <c r="I325" s="302"/>
      <c r="J325" s="302"/>
      <c r="K325" s="302"/>
      <c r="L325" s="302"/>
      <c r="M325" s="302"/>
      <c r="N325" s="302"/>
      <c r="R325" s="496"/>
    </row>
    <row r="326" spans="1:18" s="282" customFormat="1" x14ac:dyDescent="0.2">
      <c r="A326" s="496"/>
      <c r="B326" s="496"/>
      <c r="C326" s="496"/>
      <c r="D326" s="279"/>
      <c r="E326" s="496"/>
      <c r="F326" s="496"/>
      <c r="G326" s="302"/>
      <c r="H326" s="302"/>
      <c r="I326" s="302"/>
      <c r="J326" s="302"/>
      <c r="K326" s="302"/>
      <c r="L326" s="302"/>
      <c r="M326" s="302"/>
      <c r="N326" s="302"/>
      <c r="R326" s="496"/>
    </row>
    <row r="327" spans="1:18" s="282" customFormat="1" x14ac:dyDescent="0.2">
      <c r="A327" s="496"/>
      <c r="B327" s="496"/>
      <c r="C327" s="496"/>
      <c r="D327" s="279"/>
      <c r="E327" s="496"/>
      <c r="F327" s="496"/>
      <c r="G327" s="302"/>
      <c r="H327" s="302"/>
      <c r="I327" s="302"/>
      <c r="J327" s="302"/>
      <c r="K327" s="302"/>
      <c r="L327" s="302"/>
      <c r="M327" s="302"/>
      <c r="N327" s="302"/>
      <c r="R327" s="496"/>
    </row>
    <row r="328" spans="1:18" s="282" customFormat="1" x14ac:dyDescent="0.2">
      <c r="A328" s="496"/>
      <c r="B328" s="496"/>
      <c r="C328" s="496"/>
      <c r="D328" s="279"/>
      <c r="E328" s="496"/>
      <c r="F328" s="496"/>
      <c r="G328" s="302"/>
      <c r="H328" s="302"/>
      <c r="I328" s="302"/>
      <c r="J328" s="302"/>
      <c r="K328" s="302"/>
      <c r="L328" s="302"/>
      <c r="M328" s="302"/>
      <c r="N328" s="302"/>
      <c r="R328" s="496"/>
    </row>
    <row r="329" spans="1:18" s="282" customFormat="1" x14ac:dyDescent="0.2">
      <c r="A329" s="496"/>
      <c r="B329" s="496"/>
      <c r="C329" s="496"/>
      <c r="D329" s="279"/>
      <c r="E329" s="496"/>
      <c r="F329" s="496"/>
      <c r="G329" s="302"/>
      <c r="H329" s="302"/>
      <c r="I329" s="302"/>
      <c r="J329" s="302"/>
      <c r="K329" s="302"/>
      <c r="L329" s="302"/>
      <c r="M329" s="302"/>
      <c r="N329" s="302"/>
      <c r="R329" s="496"/>
    </row>
    <row r="330" spans="1:18" s="282" customFormat="1" x14ac:dyDescent="0.2">
      <c r="A330" s="496"/>
      <c r="B330" s="496"/>
      <c r="C330" s="496"/>
      <c r="D330" s="279"/>
      <c r="E330" s="496"/>
      <c r="F330" s="496"/>
      <c r="G330" s="302"/>
      <c r="H330" s="496"/>
      <c r="I330" s="496"/>
      <c r="J330" s="496"/>
      <c r="K330" s="496"/>
      <c r="L330" s="302"/>
      <c r="M330" s="302"/>
      <c r="N330" s="302"/>
      <c r="R330" s="496"/>
    </row>
    <row r="331" spans="1:18" s="282" customFormat="1" x14ac:dyDescent="0.2">
      <c r="A331" s="496"/>
      <c r="B331" s="496"/>
      <c r="C331" s="496"/>
      <c r="D331" s="279"/>
      <c r="E331" s="496"/>
      <c r="F331" s="496"/>
      <c r="G331" s="302"/>
      <c r="H331" s="496"/>
      <c r="I331" s="496"/>
      <c r="J331" s="496"/>
      <c r="K331" s="496"/>
      <c r="L331" s="302"/>
      <c r="M331" s="302"/>
      <c r="N331" s="302"/>
      <c r="R331" s="496"/>
    </row>
    <row r="332" spans="1:18" s="282" customFormat="1" x14ac:dyDescent="0.2">
      <c r="A332" s="496"/>
      <c r="B332" s="496"/>
      <c r="C332" s="496"/>
      <c r="D332" s="279"/>
      <c r="E332" s="496"/>
      <c r="F332" s="496"/>
      <c r="G332" s="496"/>
      <c r="H332" s="496"/>
      <c r="I332" s="496"/>
      <c r="J332" s="496"/>
      <c r="K332" s="496"/>
      <c r="L332" s="496"/>
      <c r="M332" s="302"/>
      <c r="N332" s="302"/>
      <c r="R332" s="496"/>
    </row>
    <row r="333" spans="1:18" s="282" customFormat="1" x14ac:dyDescent="0.2">
      <c r="A333" s="496"/>
      <c r="B333" s="496"/>
      <c r="C333" s="496"/>
      <c r="D333" s="279"/>
      <c r="E333" s="496"/>
      <c r="F333" s="496"/>
      <c r="G333" s="496"/>
      <c r="H333" s="496"/>
      <c r="I333" s="496"/>
      <c r="J333" s="496"/>
      <c r="K333" s="496"/>
      <c r="L333" s="496"/>
      <c r="M333" s="302"/>
      <c r="N333" s="302"/>
      <c r="R333" s="496"/>
    </row>
    <row r="334" spans="1:18" s="282" customFormat="1" x14ac:dyDescent="0.2">
      <c r="A334" s="496"/>
      <c r="B334" s="496"/>
      <c r="C334" s="496"/>
      <c r="D334" s="279"/>
      <c r="E334" s="496"/>
      <c r="F334" s="496"/>
      <c r="G334" s="496"/>
      <c r="H334" s="496"/>
      <c r="I334" s="496"/>
      <c r="J334" s="496"/>
      <c r="K334" s="496"/>
      <c r="L334" s="496"/>
      <c r="M334" s="302"/>
      <c r="N334" s="302"/>
      <c r="R334" s="496"/>
    </row>
    <row r="335" spans="1:18" s="282" customFormat="1" x14ac:dyDescent="0.2">
      <c r="A335" s="496"/>
      <c r="B335" s="496"/>
      <c r="C335" s="496"/>
      <c r="D335" s="279"/>
      <c r="E335" s="496"/>
      <c r="F335" s="496"/>
      <c r="G335" s="496"/>
      <c r="H335" s="496"/>
      <c r="I335" s="496"/>
      <c r="J335" s="496"/>
      <c r="K335" s="496"/>
      <c r="L335" s="496"/>
      <c r="M335" s="302"/>
      <c r="N335" s="302"/>
      <c r="R335" s="496"/>
    </row>
    <row r="336" spans="1:18" s="282" customFormat="1" x14ac:dyDescent="0.2">
      <c r="A336" s="496"/>
      <c r="B336" s="496"/>
      <c r="C336" s="496"/>
      <c r="D336" s="279"/>
      <c r="E336" s="496"/>
      <c r="F336" s="496"/>
      <c r="G336" s="496"/>
      <c r="H336" s="496"/>
      <c r="I336" s="496"/>
      <c r="J336" s="496"/>
      <c r="K336" s="496"/>
      <c r="L336" s="496"/>
      <c r="M336" s="302"/>
      <c r="N336" s="302"/>
      <c r="R336" s="496"/>
    </row>
    <row r="337" spans="1:18" s="282" customFormat="1" x14ac:dyDescent="0.2">
      <c r="A337" s="496"/>
      <c r="B337" s="496"/>
      <c r="C337" s="496"/>
      <c r="D337" s="279"/>
      <c r="E337" s="496"/>
      <c r="F337" s="496"/>
      <c r="G337" s="496"/>
      <c r="H337" s="496"/>
      <c r="I337" s="496"/>
      <c r="J337" s="496"/>
      <c r="K337" s="496"/>
      <c r="L337" s="496"/>
      <c r="M337" s="302"/>
      <c r="N337" s="302"/>
      <c r="R337" s="496"/>
    </row>
    <row r="338" spans="1:18" s="282" customFormat="1" x14ac:dyDescent="0.2">
      <c r="A338" s="496"/>
      <c r="B338" s="496"/>
      <c r="C338" s="496"/>
      <c r="D338" s="279"/>
      <c r="E338" s="496"/>
      <c r="F338" s="496"/>
      <c r="G338" s="496"/>
      <c r="H338" s="496"/>
      <c r="I338" s="496"/>
      <c r="J338" s="496"/>
      <c r="K338" s="496"/>
      <c r="L338" s="496"/>
      <c r="M338" s="302"/>
      <c r="N338" s="302"/>
      <c r="R338" s="496"/>
    </row>
    <row r="339" spans="1:18" s="282" customFormat="1" x14ac:dyDescent="0.2">
      <c r="A339" s="496"/>
      <c r="B339" s="496"/>
      <c r="C339" s="496"/>
      <c r="D339" s="279"/>
      <c r="E339" s="496"/>
      <c r="F339" s="496"/>
      <c r="G339" s="496"/>
      <c r="H339" s="496"/>
      <c r="I339" s="496"/>
      <c r="J339" s="496"/>
      <c r="K339" s="496"/>
      <c r="L339" s="496"/>
      <c r="M339" s="302"/>
      <c r="N339" s="302"/>
      <c r="R339" s="496"/>
    </row>
    <row r="340" spans="1:18" s="282" customFormat="1" x14ac:dyDescent="0.2">
      <c r="A340" s="496"/>
      <c r="B340" s="496"/>
      <c r="C340" s="496"/>
      <c r="D340" s="279"/>
      <c r="E340" s="496"/>
      <c r="F340" s="496"/>
      <c r="G340" s="496"/>
      <c r="H340" s="496"/>
      <c r="I340" s="496"/>
      <c r="J340" s="496"/>
      <c r="K340" s="496"/>
      <c r="L340" s="496"/>
      <c r="M340" s="302"/>
      <c r="N340" s="302"/>
      <c r="R340" s="496"/>
    </row>
    <row r="341" spans="1:18" s="282" customFormat="1" x14ac:dyDescent="0.2">
      <c r="A341" s="496"/>
      <c r="B341" s="496"/>
      <c r="C341" s="496"/>
      <c r="D341" s="279"/>
      <c r="E341" s="496"/>
      <c r="F341" s="496"/>
      <c r="G341" s="496"/>
      <c r="H341" s="496"/>
      <c r="I341" s="496"/>
      <c r="J341" s="496"/>
      <c r="K341" s="496"/>
      <c r="L341" s="496"/>
      <c r="M341" s="302"/>
      <c r="N341" s="302"/>
      <c r="R341" s="496"/>
    </row>
  </sheetData>
  <customSheetViews>
    <customSheetView guid="{06317133-151B-4DBC-8EB3-9345BA061F91}" scale="80" showPageBreaks="1" fitToPage="1" hiddenColumns="1">
      <pane ySplit="7" topLeftCell="A95" activePane="bottomLeft" state="frozen"/>
      <selection pane="bottomLeft" activeCell="A112" sqref="A112:E112"/>
      <pageMargins left="0.11811023622047245" right="0" top="1.0629921259842521" bottom="0.11811023622047245" header="0.31496062992125984" footer="0.11811023622047245"/>
      <pageSetup paperSize="8" scale="59" fitToHeight="0" orientation="portrait" r:id="rId1"/>
      <headerFooter>
        <oddFooter>&amp;L&amp;A&amp;Rлист &amp;P    листов &amp;N</oddFooter>
      </headerFooter>
    </customSheetView>
    <customSheetView guid="{375BA386-B398-4A0E-AF86-4319F1FDDF11}" showPageBreaks="1" fitToPage="1" hiddenColumns="1">
      <pane ySplit="7" topLeftCell="A44" activePane="bottomLeft" state="frozen"/>
      <selection pane="bottomLeft" activeCell="K67" sqref="K67"/>
      <pageMargins left="0.11811023622047245" right="0" top="1.0629921259842521" bottom="0.11811023622047245" header="0.31496062992125984" footer="0.11811023622047245"/>
      <pageSetup paperSize="8" scale="41" fitToHeight="0" orientation="portrait" r:id="rId2"/>
      <headerFooter>
        <oddFooter>&amp;L&amp;A&amp;Rлист &amp;P    листов &amp;N</oddFooter>
      </headerFooter>
    </customSheetView>
    <customSheetView guid="{45C31AC1-6FB2-488C-94EA-BCF9E79D0043}" showPageBreaks="1" fitToPage="1" hiddenColumns="1">
      <pane ySplit="7" topLeftCell="A119" activePane="bottomLeft" state="frozen"/>
      <selection pane="bottomLeft" activeCell="C56" sqref="C56"/>
      <pageMargins left="0.11811023622047245" right="0" top="1.0629921259842521" bottom="0.11811023622047245" header="0.31496062992125984" footer="0.11811023622047245"/>
      <pageSetup paperSize="8" scale="59" fitToHeight="0" orientation="portrait" r:id="rId3"/>
      <headerFooter>
        <oddFooter>&amp;L&amp;A&amp;Rлист &amp;P    листов &amp;N</oddFooter>
      </headerFooter>
    </customSheetView>
    <customSheetView guid="{845EA106-2CB5-4F86-BBCF-D0DE18153B1C}" showPageBreaks="1" fitToPage="1" printArea="1" hiddenColumns="1">
      <pane ySplit="7" topLeftCell="A125" activePane="bottomLeft" state="frozen"/>
      <selection pane="bottomLeft" activeCell="Q124" sqref="Q124"/>
      <pageMargins left="0.11811023622047245" right="0" top="1.0629921259842521" bottom="0.11811023622047245" header="0.31496062992125984" footer="0.11811023622047245"/>
      <pageSetup paperSize="8" scale="75" fitToHeight="0" orientation="portrait" r:id="rId4"/>
      <headerFooter>
        <oddFooter>&amp;L&amp;A&amp;Rлист &amp;P    листов &amp;N</oddFooter>
      </headerFooter>
    </customSheetView>
    <customSheetView guid="{C29DA669-F4F9-44CD-9569-E796ADF74A86}" showPageBreaks="1" fitToPage="1" hiddenColumns="1">
      <pane ySplit="7" topLeftCell="A194" activePane="bottomLeft" state="frozen"/>
      <selection pane="bottomLeft" activeCell="F216" sqref="F216"/>
      <pageMargins left="0.11811023622047245" right="0" top="1.0629921259842521" bottom="0.11811023622047245" header="0.31496062992125984" footer="0.11811023622047245"/>
      <pageSetup paperSize="8" scale="59" fitToHeight="0" orientation="portrait" r:id="rId5"/>
      <headerFooter>
        <oddFooter>&amp;L&amp;A&amp;Rлист &amp;P    листов &amp;N</oddFooter>
      </headerFooter>
    </customSheetView>
    <customSheetView guid="{A1BD6C0C-B1B9-4F48-A6B1-3BFD273F4CD7}" showPageBreaks="1" fitToPage="1" hiddenColumns="1">
      <pane ySplit="7" topLeftCell="A216" activePane="bottomLeft" state="frozen"/>
      <selection pane="bottomLeft" activeCell="K235" sqref="K235"/>
      <pageMargins left="0.11811023622047245" right="0" top="1.0629921259842521" bottom="0.11811023622047245" header="0.31496062992125984" footer="0.11811023622047245"/>
      <pageSetup paperSize="8" scale="41" fitToHeight="0" orientation="portrait" r:id="rId6"/>
      <headerFooter>
        <oddFooter>&amp;L&amp;A&amp;Rлист &amp;P    листов &amp;N</oddFooter>
      </headerFooter>
    </customSheetView>
    <customSheetView guid="{D42288F7-1871-4EF6-BC87-1B9EF747C744}" scale="80" fitToPage="1" hiddenColumns="1">
      <pane ySplit="7" topLeftCell="A23" activePane="bottomLeft" state="frozen"/>
      <selection pane="bottomLeft" activeCell="D41" sqref="D41"/>
      <pageMargins left="0.11811023622047245" right="0" top="1.0629921259842521" bottom="0.11811023622047245" header="0.31496062992125984" footer="0.11811023622047245"/>
      <pageSetup paperSize="8" scale="59" fitToHeight="0" orientation="portrait" r:id="rId7"/>
      <headerFooter>
        <oddFooter>&amp;L&amp;A&amp;Rлист &amp;P    листов &amp;N</oddFooter>
      </headerFooter>
    </customSheetView>
    <customSheetView guid="{8C638750-2D78-446E-B8DA-A6202AF1ED31}" showPageBreaks="1" fitToPage="1" printArea="1" hiddenColumns="1">
      <pane ySplit="7" topLeftCell="A116" activePane="bottomLeft" state="frozen"/>
      <selection pane="bottomLeft" activeCell="C102" sqref="C102"/>
      <pageMargins left="0.11811023622047245" right="0" top="1.0629921259842521" bottom="0.11811023622047245" header="0.31496062992125984" footer="0.11811023622047245"/>
      <pageSetup paperSize="8" fitToHeight="0" orientation="portrait" r:id="rId8"/>
      <headerFooter>
        <oddFooter>&amp;L&amp;A&amp;Rлист &amp;P    листов &amp;N</oddFooter>
      </headerFooter>
    </customSheetView>
  </customSheetViews>
  <mergeCells count="18">
    <mergeCell ref="A1:B1"/>
    <mergeCell ref="J1:M1"/>
    <mergeCell ref="A2:B2"/>
    <mergeCell ref="J2:M2"/>
    <mergeCell ref="A3:B3"/>
    <mergeCell ref="J3:M3"/>
    <mergeCell ref="A6:A7"/>
    <mergeCell ref="B6:B7"/>
    <mergeCell ref="C6:C7"/>
    <mergeCell ref="D6:D7"/>
    <mergeCell ref="E6:E7"/>
    <mergeCell ref="H6:K6"/>
    <mergeCell ref="L6:L7"/>
    <mergeCell ref="M6:M7"/>
    <mergeCell ref="C4:D4"/>
    <mergeCell ref="E4:G4"/>
    <mergeCell ref="F6:F7"/>
    <mergeCell ref="G6:G7"/>
  </mergeCells>
  <pageMargins left="0.11811023622047245" right="0" top="1.0629921259842521" bottom="0.11811023622047245" header="0.31496062992125984" footer="0.11811023622047245"/>
  <pageSetup paperSize="8" scale="59" fitToHeight="0" orientation="portrait" r:id="rId9"/>
  <headerFooter>
    <oddFooter>&amp;L&amp;A&amp;Rлист &amp;P    листов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069"/>
  <sheetViews>
    <sheetView zoomScale="60" zoomScaleNormal="80" zoomScaleSheetLayoutView="90" workbookViewId="0">
      <pane ySplit="6" topLeftCell="A64" activePane="bottomLeft" state="frozen"/>
      <selection pane="bottomLeft" activeCell="A48" sqref="A48:XFD48"/>
    </sheetView>
  </sheetViews>
  <sheetFormatPr defaultColWidth="9.140625" defaultRowHeight="15" x14ac:dyDescent="0.25"/>
  <cols>
    <col min="1" max="1" width="8.7109375" style="9" customWidth="1"/>
    <col min="2" max="2" width="80.7109375" style="9" customWidth="1"/>
    <col min="3" max="3" width="13" style="9" customWidth="1"/>
    <col min="4" max="4" width="17" style="9" customWidth="1"/>
    <col min="5" max="5" width="24.85546875" style="9" customWidth="1"/>
    <col min="6" max="6" width="12.28515625" style="9" customWidth="1"/>
    <col min="7" max="10" width="10.7109375" style="9" customWidth="1"/>
    <col min="11" max="11" width="11.7109375" style="9" customWidth="1"/>
    <col min="12" max="12" width="25.140625" style="9" customWidth="1"/>
    <col min="13" max="13" width="12.28515625" style="4" customWidth="1"/>
    <col min="14" max="14" width="11.28515625" style="4" customWidth="1"/>
    <col min="15" max="16" width="9.140625" style="5" customWidth="1"/>
    <col min="17" max="18" width="9.140625" style="4"/>
    <col min="19" max="19" width="13.85546875" style="4" hidden="1" customWidth="1"/>
    <col min="20" max="20" width="12.7109375" style="4" hidden="1" customWidth="1"/>
    <col min="21" max="22" width="9.140625" style="4" hidden="1" customWidth="1"/>
    <col min="23" max="16384" width="9.140625" style="4"/>
  </cols>
  <sheetData>
    <row r="1" spans="1:22" ht="15" customHeight="1" x14ac:dyDescent="0.25">
      <c r="A1" s="577" t="s">
        <v>0</v>
      </c>
      <c r="B1" s="577"/>
      <c r="H1" s="1"/>
      <c r="I1" s="578" t="s">
        <v>1</v>
      </c>
      <c r="J1" s="578"/>
      <c r="K1" s="578"/>
    </row>
    <row r="2" spans="1:22" ht="15" customHeight="1" x14ac:dyDescent="0.25">
      <c r="A2" s="577" t="s">
        <v>2</v>
      </c>
      <c r="B2" s="577"/>
      <c r="E2" s="9" t="s">
        <v>508</v>
      </c>
      <c r="H2" s="22"/>
      <c r="I2" s="579" t="s">
        <v>3</v>
      </c>
      <c r="J2" s="579"/>
      <c r="K2" s="579"/>
    </row>
    <row r="3" spans="1:22" ht="23.25" x14ac:dyDescent="0.35">
      <c r="A3" s="577" t="s">
        <v>4</v>
      </c>
      <c r="B3" s="577"/>
      <c r="C3" s="580" t="s">
        <v>819</v>
      </c>
      <c r="D3" s="580"/>
      <c r="E3" s="580"/>
      <c r="F3" s="99" t="s">
        <v>158</v>
      </c>
      <c r="H3" s="22"/>
      <c r="I3" s="579" t="s">
        <v>127</v>
      </c>
      <c r="J3" s="579"/>
      <c r="K3" s="579"/>
    </row>
    <row r="4" spans="1:22" ht="9" customHeight="1" thickBot="1" x14ac:dyDescent="0.3"/>
    <row r="5" spans="1:22" s="6" customFormat="1" ht="23.25" customHeight="1" thickBot="1" x14ac:dyDescent="0.25">
      <c r="A5" s="571" t="s">
        <v>5</v>
      </c>
      <c r="B5" s="571" t="s">
        <v>6</v>
      </c>
      <c r="C5" s="569" t="s">
        <v>7</v>
      </c>
      <c r="D5" s="571" t="s">
        <v>8</v>
      </c>
      <c r="E5" s="571" t="s">
        <v>9</v>
      </c>
      <c r="F5" s="569" t="s">
        <v>34</v>
      </c>
      <c r="G5" s="568" t="s">
        <v>11</v>
      </c>
      <c r="H5" s="568"/>
      <c r="I5" s="568"/>
      <c r="J5" s="568"/>
      <c r="K5" s="569" t="s">
        <v>10</v>
      </c>
      <c r="L5" s="571" t="s">
        <v>12</v>
      </c>
      <c r="M5" s="571" t="s">
        <v>30</v>
      </c>
      <c r="N5" s="573" t="s">
        <v>13</v>
      </c>
    </row>
    <row r="6" spans="1:22" s="6" customFormat="1" ht="32.25" customHeight="1" thickBot="1" x14ac:dyDescent="0.25">
      <c r="A6" s="572"/>
      <c r="B6" s="572"/>
      <c r="C6" s="570"/>
      <c r="D6" s="572"/>
      <c r="E6" s="572"/>
      <c r="F6" s="570"/>
      <c r="G6" s="2" t="s">
        <v>14</v>
      </c>
      <c r="H6" s="2" t="s">
        <v>15</v>
      </c>
      <c r="I6" s="2" t="s">
        <v>16</v>
      </c>
      <c r="J6" s="2" t="s">
        <v>17</v>
      </c>
      <c r="K6" s="570"/>
      <c r="L6" s="572"/>
      <c r="M6" s="572"/>
      <c r="N6" s="573"/>
    </row>
    <row r="7" spans="1:22" s="6" customFormat="1" ht="30" customHeight="1" x14ac:dyDescent="0.3">
      <c r="A7" s="259" t="s">
        <v>722</v>
      </c>
      <c r="B7" s="425" t="s">
        <v>22</v>
      </c>
      <c r="C7" s="102">
        <v>5000</v>
      </c>
      <c r="D7" s="91">
        <v>208.6</v>
      </c>
      <c r="E7" s="55">
        <f>D7*C7</f>
        <v>1043000</v>
      </c>
      <c r="F7" s="41">
        <v>2020</v>
      </c>
      <c r="G7" s="40">
        <f>300+300+300+300+420</f>
        <v>1620</v>
      </c>
      <c r="H7" s="41">
        <v>400</v>
      </c>
      <c r="I7" s="41"/>
      <c r="J7" s="58"/>
      <c r="K7" s="62">
        <f>G7+H7+I7+J7</f>
        <v>2020</v>
      </c>
      <c r="L7" s="482">
        <f>D7*K7</f>
        <v>421372</v>
      </c>
      <c r="M7" s="64">
        <f>F7-K7</f>
        <v>0</v>
      </c>
      <c r="N7" s="242">
        <f>K7/C7</f>
        <v>0.40400000000000003</v>
      </c>
      <c r="O7" s="32"/>
      <c r="S7" s="468">
        <f>G7*D7</f>
        <v>337932</v>
      </c>
      <c r="T7" s="468">
        <f>H7*D7</f>
        <v>83440</v>
      </c>
      <c r="U7" s="468">
        <f>I7*D7</f>
        <v>0</v>
      </c>
      <c r="V7" s="468">
        <f>J7*D7</f>
        <v>0</v>
      </c>
    </row>
    <row r="8" spans="1:22" s="6" customFormat="1" ht="5.0999999999999996" customHeight="1" x14ac:dyDescent="0.2">
      <c r="A8" s="68"/>
      <c r="B8" s="44"/>
      <c r="C8" s="102"/>
      <c r="D8" s="92"/>
      <c r="E8" s="34"/>
      <c r="F8" s="41"/>
      <c r="G8" s="40"/>
      <c r="H8" s="41"/>
      <c r="I8" s="41"/>
      <c r="J8" s="58"/>
      <c r="K8" s="62"/>
      <c r="L8" s="483"/>
      <c r="M8" s="3"/>
      <c r="N8" s="243"/>
      <c r="S8" s="468">
        <f t="shared" ref="S8:S71" si="0">G8*D8</f>
        <v>0</v>
      </c>
      <c r="T8" s="468">
        <f t="shared" ref="T8:T71" si="1">H8*D8</f>
        <v>0</v>
      </c>
      <c r="U8" s="468">
        <f t="shared" ref="U8:U71" si="2">I8*D8</f>
        <v>0</v>
      </c>
      <c r="V8" s="468">
        <f t="shared" ref="V8:V71" si="3">J8*D8</f>
        <v>0</v>
      </c>
    </row>
    <row r="9" spans="1:22" s="6" customFormat="1" ht="20.100000000000001" customHeight="1" x14ac:dyDescent="0.2">
      <c r="A9" s="68"/>
      <c r="B9" s="35" t="s">
        <v>23</v>
      </c>
      <c r="C9" s="102"/>
      <c r="D9" s="91"/>
      <c r="E9" s="34"/>
      <c r="F9" s="41"/>
      <c r="G9" s="40"/>
      <c r="H9" s="41"/>
      <c r="I9" s="41"/>
      <c r="J9" s="58"/>
      <c r="K9" s="62"/>
      <c r="L9" s="482"/>
      <c r="M9" s="64"/>
      <c r="N9" s="243"/>
      <c r="P9" s="30"/>
      <c r="S9" s="468">
        <f t="shared" si="0"/>
        <v>0</v>
      </c>
      <c r="T9" s="468">
        <f t="shared" si="1"/>
        <v>0</v>
      </c>
      <c r="U9" s="468">
        <f t="shared" si="2"/>
        <v>0</v>
      </c>
      <c r="V9" s="468">
        <f t="shared" si="3"/>
        <v>0</v>
      </c>
    </row>
    <row r="10" spans="1:22" s="6" customFormat="1" ht="5.0999999999999996" customHeight="1" x14ac:dyDescent="0.2">
      <c r="A10" s="68"/>
      <c r="B10" s="35"/>
      <c r="C10" s="102"/>
      <c r="D10" s="91"/>
      <c r="E10" s="56"/>
      <c r="F10" s="41"/>
      <c r="G10" s="40"/>
      <c r="H10" s="41"/>
      <c r="I10" s="41"/>
      <c r="J10" s="58"/>
      <c r="K10" s="62"/>
      <c r="L10" s="483"/>
      <c r="M10" s="3"/>
      <c r="N10" s="243"/>
      <c r="P10" s="30"/>
      <c r="S10" s="468">
        <f t="shared" si="0"/>
        <v>0</v>
      </c>
      <c r="T10" s="468">
        <f t="shared" si="1"/>
        <v>0</v>
      </c>
      <c r="U10" s="468">
        <f t="shared" si="2"/>
        <v>0</v>
      </c>
      <c r="V10" s="468">
        <f t="shared" si="3"/>
        <v>0</v>
      </c>
    </row>
    <row r="11" spans="1:22" s="6" customFormat="1" ht="20.100000000000001" customHeight="1" x14ac:dyDescent="0.2">
      <c r="A11" s="493">
        <v>5406</v>
      </c>
      <c r="B11" s="35" t="s">
        <v>86</v>
      </c>
      <c r="C11" s="102">
        <v>500</v>
      </c>
      <c r="D11" s="91">
        <v>109.8</v>
      </c>
      <c r="E11" s="56">
        <f t="shared" ref="E11:E20" si="4">D11*C11</f>
        <v>54900</v>
      </c>
      <c r="F11" s="41">
        <v>112</v>
      </c>
      <c r="G11" s="40">
        <v>112</v>
      </c>
      <c r="H11" s="41"/>
      <c r="I11" s="41"/>
      <c r="J11" s="58"/>
      <c r="K11" s="62">
        <f t="shared" ref="K11:K20" si="5">G11+H11+I11+J11</f>
        <v>112</v>
      </c>
      <c r="L11" s="482">
        <f t="shared" ref="L11:L20" si="6">D11*K11</f>
        <v>12297.6</v>
      </c>
      <c r="M11" s="64">
        <f t="shared" ref="M11:M20" si="7">F11-K11</f>
        <v>0</v>
      </c>
      <c r="N11" s="243">
        <f t="shared" ref="N11:N20" si="8">K11/C11</f>
        <v>0.224</v>
      </c>
      <c r="S11" s="468">
        <f t="shared" si="0"/>
        <v>12297.6</v>
      </c>
      <c r="T11" s="468">
        <f t="shared" si="1"/>
        <v>0</v>
      </c>
      <c r="U11" s="468">
        <f t="shared" si="2"/>
        <v>0</v>
      </c>
      <c r="V11" s="468">
        <f t="shared" si="3"/>
        <v>0</v>
      </c>
    </row>
    <row r="12" spans="1:22" s="6" customFormat="1" ht="20.100000000000001" customHeight="1" x14ac:dyDescent="0.2">
      <c r="A12" s="493">
        <v>5407</v>
      </c>
      <c r="B12" s="35" t="s">
        <v>40</v>
      </c>
      <c r="C12" s="102">
        <v>500</v>
      </c>
      <c r="D12" s="91">
        <v>82.5</v>
      </c>
      <c r="E12" s="56">
        <f t="shared" si="4"/>
        <v>41250</v>
      </c>
      <c r="F12" s="41">
        <v>112</v>
      </c>
      <c r="G12" s="40">
        <v>112</v>
      </c>
      <c r="H12" s="41"/>
      <c r="I12" s="41"/>
      <c r="J12" s="58"/>
      <c r="K12" s="62">
        <f t="shared" si="5"/>
        <v>112</v>
      </c>
      <c r="L12" s="482">
        <f t="shared" si="6"/>
        <v>9240</v>
      </c>
      <c r="M12" s="64">
        <f t="shared" si="7"/>
        <v>0</v>
      </c>
      <c r="N12" s="243">
        <f t="shared" si="8"/>
        <v>0.224</v>
      </c>
      <c r="S12" s="468">
        <f t="shared" si="0"/>
        <v>9240</v>
      </c>
      <c r="T12" s="468">
        <f t="shared" si="1"/>
        <v>0</v>
      </c>
      <c r="U12" s="468">
        <f t="shared" si="2"/>
        <v>0</v>
      </c>
      <c r="V12" s="468">
        <f t="shared" si="3"/>
        <v>0</v>
      </c>
    </row>
    <row r="13" spans="1:22" s="6" customFormat="1" ht="20.100000000000001" customHeight="1" x14ac:dyDescent="0.2">
      <c r="A13" s="493">
        <v>5408</v>
      </c>
      <c r="B13" s="35" t="s">
        <v>41</v>
      </c>
      <c r="C13" s="102">
        <v>500</v>
      </c>
      <c r="D13" s="91">
        <v>87</v>
      </c>
      <c r="E13" s="56">
        <f t="shared" si="4"/>
        <v>43500</v>
      </c>
      <c r="F13" s="41">
        <v>112</v>
      </c>
      <c r="G13" s="40">
        <v>112</v>
      </c>
      <c r="H13" s="41"/>
      <c r="I13" s="41"/>
      <c r="J13" s="58"/>
      <c r="K13" s="62">
        <f t="shared" si="5"/>
        <v>112</v>
      </c>
      <c r="L13" s="482">
        <f t="shared" si="6"/>
        <v>9744</v>
      </c>
      <c r="M13" s="64">
        <f t="shared" si="7"/>
        <v>0</v>
      </c>
      <c r="N13" s="243">
        <f t="shared" si="8"/>
        <v>0.224</v>
      </c>
      <c r="S13" s="468">
        <f t="shared" si="0"/>
        <v>9744</v>
      </c>
      <c r="T13" s="468">
        <f t="shared" si="1"/>
        <v>0</v>
      </c>
      <c r="U13" s="468">
        <f t="shared" si="2"/>
        <v>0</v>
      </c>
      <c r="V13" s="468">
        <f t="shared" si="3"/>
        <v>0</v>
      </c>
    </row>
    <row r="14" spans="1:22" s="6" customFormat="1" ht="20.100000000000001" customHeight="1" x14ac:dyDescent="0.2">
      <c r="A14" s="493">
        <v>5409</v>
      </c>
      <c r="B14" s="35" t="s">
        <v>85</v>
      </c>
      <c r="C14" s="102">
        <v>500</v>
      </c>
      <c r="D14" s="91">
        <v>73.400000000000006</v>
      </c>
      <c r="E14" s="56">
        <f t="shared" si="4"/>
        <v>36700</v>
      </c>
      <c r="F14" s="41">
        <v>112</v>
      </c>
      <c r="G14" s="40">
        <v>112</v>
      </c>
      <c r="H14" s="41"/>
      <c r="I14" s="41"/>
      <c r="J14" s="58"/>
      <c r="K14" s="62">
        <f t="shared" si="5"/>
        <v>112</v>
      </c>
      <c r="L14" s="482">
        <f t="shared" si="6"/>
        <v>8220.8000000000011</v>
      </c>
      <c r="M14" s="64">
        <f t="shared" si="7"/>
        <v>0</v>
      </c>
      <c r="N14" s="243">
        <f t="shared" si="8"/>
        <v>0.224</v>
      </c>
      <c r="S14" s="468">
        <f t="shared" si="0"/>
        <v>8220.8000000000011</v>
      </c>
      <c r="T14" s="468">
        <f t="shared" si="1"/>
        <v>0</v>
      </c>
      <c r="U14" s="468">
        <f t="shared" si="2"/>
        <v>0</v>
      </c>
      <c r="V14" s="468">
        <f t="shared" si="3"/>
        <v>0</v>
      </c>
    </row>
    <row r="15" spans="1:22" s="6" customFormat="1" ht="20.100000000000001" customHeight="1" x14ac:dyDescent="0.2">
      <c r="A15" s="493">
        <v>5410</v>
      </c>
      <c r="B15" s="35" t="s">
        <v>84</v>
      </c>
      <c r="C15" s="102">
        <v>500</v>
      </c>
      <c r="D15" s="91">
        <v>363</v>
      </c>
      <c r="E15" s="56">
        <f t="shared" si="4"/>
        <v>181500</v>
      </c>
      <c r="F15" s="41">
        <v>150</v>
      </c>
      <c r="G15" s="40"/>
      <c r="H15" s="41">
        <v>150</v>
      </c>
      <c r="I15" s="41"/>
      <c r="J15" s="58"/>
      <c r="K15" s="62">
        <f t="shared" si="5"/>
        <v>150</v>
      </c>
      <c r="L15" s="482">
        <f t="shared" si="6"/>
        <v>54450</v>
      </c>
      <c r="M15" s="64">
        <f t="shared" si="7"/>
        <v>0</v>
      </c>
      <c r="N15" s="243">
        <f t="shared" si="8"/>
        <v>0.3</v>
      </c>
      <c r="S15" s="468">
        <f t="shared" si="0"/>
        <v>0</v>
      </c>
      <c r="T15" s="468">
        <f t="shared" si="1"/>
        <v>54450</v>
      </c>
      <c r="U15" s="468">
        <f t="shared" si="2"/>
        <v>0</v>
      </c>
      <c r="V15" s="468">
        <f t="shared" si="3"/>
        <v>0</v>
      </c>
    </row>
    <row r="16" spans="1:22" s="6" customFormat="1" ht="20.100000000000001" customHeight="1" x14ac:dyDescent="0.2">
      <c r="A16" s="493">
        <v>5411</v>
      </c>
      <c r="B16" s="35" t="s">
        <v>83</v>
      </c>
      <c r="C16" s="102">
        <v>500</v>
      </c>
      <c r="D16" s="91">
        <v>108.2</v>
      </c>
      <c r="E16" s="56">
        <f t="shared" si="4"/>
        <v>54100</v>
      </c>
      <c r="F16" s="41">
        <v>150</v>
      </c>
      <c r="G16" s="40"/>
      <c r="H16" s="41">
        <v>150</v>
      </c>
      <c r="I16" s="41"/>
      <c r="J16" s="58"/>
      <c r="K16" s="62">
        <f t="shared" si="5"/>
        <v>150</v>
      </c>
      <c r="L16" s="482">
        <f t="shared" si="6"/>
        <v>16230</v>
      </c>
      <c r="M16" s="64">
        <f t="shared" si="7"/>
        <v>0</v>
      </c>
      <c r="N16" s="243">
        <f t="shared" si="8"/>
        <v>0.3</v>
      </c>
      <c r="S16" s="468">
        <f t="shared" si="0"/>
        <v>0</v>
      </c>
      <c r="T16" s="468">
        <f t="shared" si="1"/>
        <v>16230</v>
      </c>
      <c r="U16" s="468">
        <f t="shared" si="2"/>
        <v>0</v>
      </c>
      <c r="V16" s="468">
        <f t="shared" si="3"/>
        <v>0</v>
      </c>
    </row>
    <row r="17" spans="1:22" s="6" customFormat="1" ht="20.100000000000001" customHeight="1" x14ac:dyDescent="0.2">
      <c r="A17" s="493">
        <v>5412</v>
      </c>
      <c r="B17" s="35" t="s">
        <v>42</v>
      </c>
      <c r="C17" s="102">
        <v>500</v>
      </c>
      <c r="D17" s="91">
        <v>27.85</v>
      </c>
      <c r="E17" s="56">
        <f>D17*C17</f>
        <v>13925</v>
      </c>
      <c r="F17" s="41">
        <v>150</v>
      </c>
      <c r="G17" s="40"/>
      <c r="H17" s="41">
        <v>150</v>
      </c>
      <c r="I17" s="41"/>
      <c r="J17" s="58"/>
      <c r="K17" s="62">
        <f t="shared" si="5"/>
        <v>150</v>
      </c>
      <c r="L17" s="482">
        <f t="shared" si="6"/>
        <v>4177.5</v>
      </c>
      <c r="M17" s="64">
        <f t="shared" si="7"/>
        <v>0</v>
      </c>
      <c r="N17" s="243">
        <f t="shared" si="8"/>
        <v>0.3</v>
      </c>
      <c r="S17" s="468">
        <f t="shared" si="0"/>
        <v>0</v>
      </c>
      <c r="T17" s="468">
        <f t="shared" si="1"/>
        <v>4177.5</v>
      </c>
      <c r="U17" s="468">
        <f t="shared" si="2"/>
        <v>0</v>
      </c>
      <c r="V17" s="468">
        <f t="shared" si="3"/>
        <v>0</v>
      </c>
    </row>
    <row r="18" spans="1:22" s="6" customFormat="1" ht="20.100000000000001" customHeight="1" x14ac:dyDescent="0.2">
      <c r="A18" s="493">
        <v>5413</v>
      </c>
      <c r="B18" s="35" t="s">
        <v>138</v>
      </c>
      <c r="C18" s="102">
        <v>500</v>
      </c>
      <c r="D18" s="91">
        <v>2.5</v>
      </c>
      <c r="E18" s="56">
        <f t="shared" si="4"/>
        <v>1250</v>
      </c>
      <c r="F18" s="41">
        <v>150</v>
      </c>
      <c r="G18" s="40"/>
      <c r="H18" s="41">
        <v>150</v>
      </c>
      <c r="I18" s="41"/>
      <c r="J18" s="58"/>
      <c r="K18" s="62">
        <f t="shared" si="5"/>
        <v>150</v>
      </c>
      <c r="L18" s="482">
        <f t="shared" si="6"/>
        <v>375</v>
      </c>
      <c r="M18" s="64">
        <f t="shared" si="7"/>
        <v>0</v>
      </c>
      <c r="N18" s="243">
        <f t="shared" si="8"/>
        <v>0.3</v>
      </c>
      <c r="S18" s="468">
        <f t="shared" si="0"/>
        <v>0</v>
      </c>
      <c r="T18" s="468">
        <f t="shared" si="1"/>
        <v>375</v>
      </c>
      <c r="U18" s="468">
        <f t="shared" si="2"/>
        <v>0</v>
      </c>
      <c r="V18" s="468">
        <f t="shared" si="3"/>
        <v>0</v>
      </c>
    </row>
    <row r="19" spans="1:22" s="6" customFormat="1" ht="20.100000000000001" customHeight="1" x14ac:dyDescent="0.2">
      <c r="A19" s="493">
        <v>5414</v>
      </c>
      <c r="B19" s="35" t="s">
        <v>139</v>
      </c>
      <c r="C19" s="102">
        <v>500</v>
      </c>
      <c r="D19" s="91">
        <v>5.5</v>
      </c>
      <c r="E19" s="56">
        <f t="shared" si="4"/>
        <v>2750</v>
      </c>
      <c r="F19" s="41">
        <v>150</v>
      </c>
      <c r="G19" s="40"/>
      <c r="H19" s="41">
        <v>150</v>
      </c>
      <c r="I19" s="41"/>
      <c r="J19" s="58"/>
      <c r="K19" s="62">
        <f t="shared" si="5"/>
        <v>150</v>
      </c>
      <c r="L19" s="482">
        <f t="shared" si="6"/>
        <v>825</v>
      </c>
      <c r="M19" s="64">
        <f t="shared" si="7"/>
        <v>0</v>
      </c>
      <c r="N19" s="243">
        <f t="shared" si="8"/>
        <v>0.3</v>
      </c>
      <c r="S19" s="468">
        <f t="shared" si="0"/>
        <v>0</v>
      </c>
      <c r="T19" s="468">
        <f t="shared" si="1"/>
        <v>825</v>
      </c>
      <c r="U19" s="468">
        <f t="shared" si="2"/>
        <v>0</v>
      </c>
      <c r="V19" s="468">
        <f t="shared" si="3"/>
        <v>0</v>
      </c>
    </row>
    <row r="20" spans="1:22" s="6" customFormat="1" ht="20.100000000000001" customHeight="1" x14ac:dyDescent="0.2">
      <c r="A20" s="493">
        <v>5415</v>
      </c>
      <c r="B20" s="35" t="s">
        <v>43</v>
      </c>
      <c r="C20" s="102">
        <v>500</v>
      </c>
      <c r="D20" s="91">
        <v>5.5</v>
      </c>
      <c r="E20" s="56">
        <f t="shared" si="4"/>
        <v>2750</v>
      </c>
      <c r="F20" s="41">
        <v>150</v>
      </c>
      <c r="G20" s="40"/>
      <c r="H20" s="41">
        <v>150</v>
      </c>
      <c r="I20" s="41"/>
      <c r="J20" s="58"/>
      <c r="K20" s="62">
        <f t="shared" si="5"/>
        <v>150</v>
      </c>
      <c r="L20" s="482">
        <f t="shared" si="6"/>
        <v>825</v>
      </c>
      <c r="M20" s="64">
        <f t="shared" si="7"/>
        <v>0</v>
      </c>
      <c r="N20" s="243">
        <f t="shared" si="8"/>
        <v>0.3</v>
      </c>
      <c r="S20" s="468">
        <f t="shared" si="0"/>
        <v>0</v>
      </c>
      <c r="T20" s="468">
        <f t="shared" si="1"/>
        <v>825</v>
      </c>
      <c r="U20" s="468">
        <f t="shared" si="2"/>
        <v>0</v>
      </c>
      <c r="V20" s="468">
        <f t="shared" si="3"/>
        <v>0</v>
      </c>
    </row>
    <row r="21" spans="1:22" s="6" customFormat="1" ht="5.0999999999999996" customHeight="1" x14ac:dyDescent="0.2">
      <c r="A21" s="69"/>
      <c r="B21" s="48"/>
      <c r="C21" s="102"/>
      <c r="D21" s="91"/>
      <c r="E21" s="34"/>
      <c r="F21" s="41"/>
      <c r="G21" s="40"/>
      <c r="H21" s="41"/>
      <c r="I21" s="41"/>
      <c r="J21" s="58"/>
      <c r="K21" s="62"/>
      <c r="L21" s="483"/>
      <c r="M21" s="3"/>
      <c r="N21" s="243"/>
      <c r="S21" s="468">
        <f t="shared" si="0"/>
        <v>0</v>
      </c>
      <c r="T21" s="468">
        <f t="shared" si="1"/>
        <v>0</v>
      </c>
      <c r="U21" s="468">
        <f t="shared" si="2"/>
        <v>0</v>
      </c>
      <c r="V21" s="468">
        <f t="shared" si="3"/>
        <v>0</v>
      </c>
    </row>
    <row r="22" spans="1:22" s="6" customFormat="1" ht="20.100000000000001" customHeight="1" x14ac:dyDescent="0.2">
      <c r="A22" s="493">
        <v>5434</v>
      </c>
      <c r="B22" s="35" t="s">
        <v>44</v>
      </c>
      <c r="C22" s="102">
        <f>38</f>
        <v>38</v>
      </c>
      <c r="D22" s="91">
        <v>389.4</v>
      </c>
      <c r="E22" s="56">
        <f t="shared" ref="E22:E29" si="9">D22*C22</f>
        <v>14797.199999999999</v>
      </c>
      <c r="F22" s="41">
        <v>31</v>
      </c>
      <c r="G22" s="40">
        <v>31</v>
      </c>
      <c r="H22" s="41"/>
      <c r="I22" s="41"/>
      <c r="J22" s="58"/>
      <c r="K22" s="62">
        <f t="shared" ref="K22:K29" si="10">G22+H22+I22+J22</f>
        <v>31</v>
      </c>
      <c r="L22" s="482">
        <f t="shared" ref="L22:L29" si="11">D22*K22</f>
        <v>12071.4</v>
      </c>
      <c r="M22" s="64">
        <f t="shared" ref="M22:M29" si="12">F22-K22</f>
        <v>0</v>
      </c>
      <c r="N22" s="243">
        <f t="shared" ref="N22:N29" si="13">K22/C22</f>
        <v>0.81578947368421051</v>
      </c>
      <c r="S22" s="468">
        <f t="shared" si="0"/>
        <v>12071.4</v>
      </c>
      <c r="T22" s="468">
        <f t="shared" si="1"/>
        <v>0</v>
      </c>
      <c r="U22" s="468">
        <f t="shared" si="2"/>
        <v>0</v>
      </c>
      <c r="V22" s="468">
        <f t="shared" si="3"/>
        <v>0</v>
      </c>
    </row>
    <row r="23" spans="1:22" s="6" customFormat="1" ht="20.100000000000001" customHeight="1" x14ac:dyDescent="0.2">
      <c r="A23" s="493">
        <v>5433</v>
      </c>
      <c r="B23" s="35" t="s">
        <v>45</v>
      </c>
      <c r="C23" s="102">
        <f>86+35+80</f>
        <v>201</v>
      </c>
      <c r="D23" s="91">
        <v>357.25</v>
      </c>
      <c r="E23" s="56">
        <f t="shared" si="9"/>
        <v>71807.25</v>
      </c>
      <c r="F23" s="41">
        <v>38</v>
      </c>
      <c r="G23" s="40"/>
      <c r="H23" s="41">
        <v>38</v>
      </c>
      <c r="I23" s="41"/>
      <c r="J23" s="58"/>
      <c r="K23" s="62">
        <f t="shared" si="10"/>
        <v>38</v>
      </c>
      <c r="L23" s="482">
        <f t="shared" si="11"/>
        <v>13575.5</v>
      </c>
      <c r="M23" s="64">
        <f t="shared" si="12"/>
        <v>0</v>
      </c>
      <c r="N23" s="243">
        <f t="shared" si="13"/>
        <v>0.1890547263681592</v>
      </c>
      <c r="S23" s="468">
        <f t="shared" si="0"/>
        <v>0</v>
      </c>
      <c r="T23" s="468">
        <f t="shared" si="1"/>
        <v>13575.5</v>
      </c>
      <c r="U23" s="468">
        <f t="shared" si="2"/>
        <v>0</v>
      </c>
      <c r="V23" s="468">
        <f t="shared" si="3"/>
        <v>0</v>
      </c>
    </row>
    <row r="24" spans="1:22" s="6" customFormat="1" ht="20.100000000000001" customHeight="1" x14ac:dyDescent="0.2">
      <c r="A24" s="493">
        <v>5437</v>
      </c>
      <c r="B24" s="35" t="s">
        <v>46</v>
      </c>
      <c r="C24" s="102">
        <f>38</f>
        <v>38</v>
      </c>
      <c r="D24" s="91">
        <v>29.45</v>
      </c>
      <c r="E24" s="56">
        <f t="shared" si="9"/>
        <v>1119.0999999999999</v>
      </c>
      <c r="F24" s="41"/>
      <c r="G24" s="40"/>
      <c r="H24" s="41"/>
      <c r="I24" s="41"/>
      <c r="J24" s="58"/>
      <c r="K24" s="62">
        <f t="shared" si="10"/>
        <v>0</v>
      </c>
      <c r="L24" s="482">
        <f t="shared" si="11"/>
        <v>0</v>
      </c>
      <c r="M24" s="64">
        <f t="shared" si="12"/>
        <v>0</v>
      </c>
      <c r="N24" s="243">
        <f t="shared" si="13"/>
        <v>0</v>
      </c>
      <c r="S24" s="468">
        <f t="shared" si="0"/>
        <v>0</v>
      </c>
      <c r="T24" s="468">
        <f t="shared" si="1"/>
        <v>0</v>
      </c>
      <c r="U24" s="468">
        <f t="shared" si="2"/>
        <v>0</v>
      </c>
      <c r="V24" s="468">
        <f t="shared" si="3"/>
        <v>0</v>
      </c>
    </row>
    <row r="25" spans="1:22" s="6" customFormat="1" ht="20.100000000000001" customHeight="1" x14ac:dyDescent="0.2">
      <c r="A25" s="493">
        <v>5435</v>
      </c>
      <c r="B25" s="35" t="s">
        <v>47</v>
      </c>
      <c r="C25" s="102"/>
      <c r="D25" s="91">
        <v>29.5</v>
      </c>
      <c r="E25" s="56">
        <f t="shared" si="9"/>
        <v>0</v>
      </c>
      <c r="F25" s="41">
        <v>9</v>
      </c>
      <c r="G25" s="40"/>
      <c r="H25" s="41">
        <v>9</v>
      </c>
      <c r="I25" s="41"/>
      <c r="J25" s="58"/>
      <c r="K25" s="62">
        <f t="shared" si="10"/>
        <v>9</v>
      </c>
      <c r="L25" s="482">
        <f t="shared" si="11"/>
        <v>265.5</v>
      </c>
      <c r="M25" s="64">
        <f t="shared" si="12"/>
        <v>0</v>
      </c>
      <c r="N25" s="243" t="e">
        <f t="shared" si="13"/>
        <v>#DIV/0!</v>
      </c>
      <c r="S25" s="468">
        <f t="shared" si="0"/>
        <v>0</v>
      </c>
      <c r="T25" s="468">
        <f t="shared" si="1"/>
        <v>265.5</v>
      </c>
      <c r="U25" s="468">
        <f t="shared" si="2"/>
        <v>0</v>
      </c>
      <c r="V25" s="468">
        <f t="shared" si="3"/>
        <v>0</v>
      </c>
    </row>
    <row r="26" spans="1:22" s="6" customFormat="1" ht="20.100000000000001" customHeight="1" x14ac:dyDescent="0.2">
      <c r="A26" s="493">
        <v>5436</v>
      </c>
      <c r="B26" s="35" t="s">
        <v>48</v>
      </c>
      <c r="C26" s="102">
        <f>38+86+35+80</f>
        <v>239</v>
      </c>
      <c r="D26" s="91">
        <v>25.2</v>
      </c>
      <c r="E26" s="56">
        <f t="shared" si="9"/>
        <v>6022.8</v>
      </c>
      <c r="F26" s="41">
        <v>69</v>
      </c>
      <c r="G26" s="40">
        <v>31</v>
      </c>
      <c r="H26" s="41">
        <v>38</v>
      </c>
      <c r="I26" s="41"/>
      <c r="J26" s="58"/>
      <c r="K26" s="62">
        <f t="shared" si="10"/>
        <v>69</v>
      </c>
      <c r="L26" s="482">
        <f t="shared" si="11"/>
        <v>1738.8</v>
      </c>
      <c r="M26" s="64">
        <f t="shared" si="12"/>
        <v>0</v>
      </c>
      <c r="N26" s="243">
        <f t="shared" si="13"/>
        <v>0.28870292887029286</v>
      </c>
      <c r="S26" s="468">
        <f t="shared" si="0"/>
        <v>781.19999999999993</v>
      </c>
      <c r="T26" s="468">
        <f t="shared" si="1"/>
        <v>957.6</v>
      </c>
      <c r="U26" s="468">
        <f t="shared" si="2"/>
        <v>0</v>
      </c>
      <c r="V26" s="468">
        <f t="shared" si="3"/>
        <v>0</v>
      </c>
    </row>
    <row r="27" spans="1:22" s="6" customFormat="1" ht="20.100000000000001" customHeight="1" x14ac:dyDescent="0.2">
      <c r="A27" s="493">
        <v>5438</v>
      </c>
      <c r="B27" s="35" t="s">
        <v>49</v>
      </c>
      <c r="C27" s="102"/>
      <c r="D27" s="91">
        <v>50.9</v>
      </c>
      <c r="E27" s="56">
        <f t="shared" si="9"/>
        <v>0</v>
      </c>
      <c r="F27" s="41"/>
      <c r="G27" s="40"/>
      <c r="H27" s="41"/>
      <c r="I27" s="41"/>
      <c r="J27" s="58"/>
      <c r="K27" s="62">
        <f t="shared" si="10"/>
        <v>0</v>
      </c>
      <c r="L27" s="482">
        <f t="shared" si="11"/>
        <v>0</v>
      </c>
      <c r="M27" s="64">
        <f t="shared" si="12"/>
        <v>0</v>
      </c>
      <c r="N27" s="243" t="e">
        <f t="shared" si="13"/>
        <v>#DIV/0!</v>
      </c>
      <c r="S27" s="468">
        <f t="shared" si="0"/>
        <v>0</v>
      </c>
      <c r="T27" s="468">
        <f t="shared" si="1"/>
        <v>0</v>
      </c>
      <c r="U27" s="468">
        <f t="shared" si="2"/>
        <v>0</v>
      </c>
      <c r="V27" s="468">
        <f t="shared" si="3"/>
        <v>0</v>
      </c>
    </row>
    <row r="28" spans="1:22" s="6" customFormat="1" ht="20.100000000000001" customHeight="1" x14ac:dyDescent="0.2">
      <c r="A28" s="493"/>
      <c r="B28" s="35"/>
      <c r="C28" s="102"/>
      <c r="D28" s="91"/>
      <c r="E28" s="56"/>
      <c r="F28" s="41"/>
      <c r="G28" s="40"/>
      <c r="H28" s="41"/>
      <c r="I28" s="41"/>
      <c r="J28" s="58"/>
      <c r="K28" s="62"/>
      <c r="L28" s="482"/>
      <c r="M28" s="64"/>
      <c r="N28" s="243"/>
      <c r="S28" s="468">
        <f t="shared" si="0"/>
        <v>0</v>
      </c>
      <c r="T28" s="468">
        <f t="shared" si="1"/>
        <v>0</v>
      </c>
      <c r="U28" s="468">
        <f t="shared" si="2"/>
        <v>0</v>
      </c>
      <c r="V28" s="468">
        <f t="shared" si="3"/>
        <v>0</v>
      </c>
    </row>
    <row r="29" spans="1:22" s="6" customFormat="1" ht="20.100000000000001" customHeight="1" x14ac:dyDescent="0.2">
      <c r="A29" s="493" t="s">
        <v>748</v>
      </c>
      <c r="B29" s="35" t="s">
        <v>50</v>
      </c>
      <c r="C29" s="102">
        <f>86*2+35*2+80*2</f>
        <v>402</v>
      </c>
      <c r="D29" s="91">
        <v>2.15</v>
      </c>
      <c r="E29" s="56">
        <f t="shared" si="9"/>
        <v>864.3</v>
      </c>
      <c r="F29" s="41"/>
      <c r="G29" s="40"/>
      <c r="H29" s="41"/>
      <c r="I29" s="41"/>
      <c r="J29" s="58"/>
      <c r="K29" s="62">
        <f t="shared" si="10"/>
        <v>0</v>
      </c>
      <c r="L29" s="482">
        <f t="shared" si="11"/>
        <v>0</v>
      </c>
      <c r="M29" s="64">
        <f t="shared" si="12"/>
        <v>0</v>
      </c>
      <c r="N29" s="243">
        <f t="shared" si="13"/>
        <v>0</v>
      </c>
      <c r="S29" s="468">
        <f t="shared" si="0"/>
        <v>0</v>
      </c>
      <c r="T29" s="468">
        <f t="shared" si="1"/>
        <v>0</v>
      </c>
      <c r="U29" s="468">
        <f t="shared" si="2"/>
        <v>0</v>
      </c>
      <c r="V29" s="468">
        <f t="shared" si="3"/>
        <v>0</v>
      </c>
    </row>
    <row r="30" spans="1:22" s="6" customFormat="1" ht="5.0999999999999996" customHeight="1" x14ac:dyDescent="0.2">
      <c r="A30" s="69"/>
      <c r="B30" s="49"/>
      <c r="C30" s="33"/>
      <c r="D30" s="93"/>
      <c r="E30" s="34"/>
      <c r="F30" s="41"/>
      <c r="G30" s="40"/>
      <c r="H30" s="41"/>
      <c r="I30" s="41"/>
      <c r="J30" s="58"/>
      <c r="K30" s="62"/>
      <c r="L30" s="483"/>
      <c r="M30" s="3"/>
      <c r="N30" s="243"/>
      <c r="S30" s="468">
        <f t="shared" si="0"/>
        <v>0</v>
      </c>
      <c r="T30" s="468">
        <f t="shared" si="1"/>
        <v>0</v>
      </c>
      <c r="U30" s="468">
        <f t="shared" si="2"/>
        <v>0</v>
      </c>
      <c r="V30" s="468">
        <f t="shared" si="3"/>
        <v>0</v>
      </c>
    </row>
    <row r="31" spans="1:22" s="6" customFormat="1" ht="20.100000000000001" customHeight="1" x14ac:dyDescent="0.2">
      <c r="A31" s="493">
        <v>5427</v>
      </c>
      <c r="B31" s="35" t="s">
        <v>51</v>
      </c>
      <c r="C31" s="102"/>
      <c r="D31" s="91">
        <v>465.45</v>
      </c>
      <c r="E31" s="56">
        <f>D31*C31</f>
        <v>0</v>
      </c>
      <c r="F31" s="41"/>
      <c r="G31" s="40"/>
      <c r="H31" s="41"/>
      <c r="I31" s="41"/>
      <c r="J31" s="58"/>
      <c r="K31" s="62">
        <f>G31+H31+I31+J31</f>
        <v>0</v>
      </c>
      <c r="L31" s="482">
        <f>D31*K31</f>
        <v>0</v>
      </c>
      <c r="M31" s="64">
        <f>F31-K31</f>
        <v>0</v>
      </c>
      <c r="N31" s="243" t="e">
        <f>K31/C31</f>
        <v>#DIV/0!</v>
      </c>
      <c r="S31" s="468">
        <f t="shared" si="0"/>
        <v>0</v>
      </c>
      <c r="T31" s="468">
        <f t="shared" si="1"/>
        <v>0</v>
      </c>
      <c r="U31" s="468">
        <f t="shared" si="2"/>
        <v>0</v>
      </c>
      <c r="V31" s="468">
        <f t="shared" si="3"/>
        <v>0</v>
      </c>
    </row>
    <row r="32" spans="1:22" s="6" customFormat="1" ht="20.100000000000001" customHeight="1" x14ac:dyDescent="0.2">
      <c r="A32" s="493">
        <v>5428</v>
      </c>
      <c r="B32" s="35" t="s">
        <v>52</v>
      </c>
      <c r="C32" s="102"/>
      <c r="D32" s="91">
        <v>20.9</v>
      </c>
      <c r="E32" s="56">
        <f>D32*C32</f>
        <v>0</v>
      </c>
      <c r="F32" s="41"/>
      <c r="G32" s="40"/>
      <c r="H32" s="41"/>
      <c r="I32" s="41"/>
      <c r="J32" s="58"/>
      <c r="K32" s="62">
        <f>G32+H32+I32+J32</f>
        <v>0</v>
      </c>
      <c r="L32" s="482">
        <f>D32*K32</f>
        <v>0</v>
      </c>
      <c r="M32" s="64">
        <f>F32-K32</f>
        <v>0</v>
      </c>
      <c r="N32" s="243" t="e">
        <f>K32/C32</f>
        <v>#DIV/0!</v>
      </c>
      <c r="S32" s="468">
        <f t="shared" si="0"/>
        <v>0</v>
      </c>
      <c r="T32" s="468">
        <f t="shared" si="1"/>
        <v>0</v>
      </c>
      <c r="U32" s="468">
        <f t="shared" si="2"/>
        <v>0</v>
      </c>
      <c r="V32" s="468">
        <f t="shared" si="3"/>
        <v>0</v>
      </c>
    </row>
    <row r="33" spans="1:22" s="6" customFormat="1" ht="20.100000000000001" customHeight="1" x14ac:dyDescent="0.2">
      <c r="A33" s="493">
        <v>5429</v>
      </c>
      <c r="B33" s="35" t="s">
        <v>53</v>
      </c>
      <c r="C33" s="102"/>
      <c r="D33" s="91">
        <v>20.9</v>
      </c>
      <c r="E33" s="56">
        <f>D33*C33</f>
        <v>0</v>
      </c>
      <c r="F33" s="41"/>
      <c r="G33" s="40"/>
      <c r="H33" s="41"/>
      <c r="I33" s="41"/>
      <c r="J33" s="58"/>
      <c r="K33" s="62">
        <f>G33+H33+I33+J33</f>
        <v>0</v>
      </c>
      <c r="L33" s="482">
        <f>D33*K33</f>
        <v>0</v>
      </c>
      <c r="M33" s="64">
        <f>F33-K33</f>
        <v>0</v>
      </c>
      <c r="N33" s="243" t="e">
        <f>K33/C33</f>
        <v>#DIV/0!</v>
      </c>
      <c r="S33" s="468">
        <f t="shared" si="0"/>
        <v>0</v>
      </c>
      <c r="T33" s="468">
        <f t="shared" si="1"/>
        <v>0</v>
      </c>
      <c r="U33" s="468">
        <f t="shared" si="2"/>
        <v>0</v>
      </c>
      <c r="V33" s="468">
        <f t="shared" si="3"/>
        <v>0</v>
      </c>
    </row>
    <row r="34" spans="1:22" s="6" customFormat="1" ht="20.100000000000001" customHeight="1" x14ac:dyDescent="0.2">
      <c r="A34" s="493">
        <v>5430</v>
      </c>
      <c r="B34" s="35" t="s">
        <v>81</v>
      </c>
      <c r="C34" s="102"/>
      <c r="D34" s="91">
        <v>53.6</v>
      </c>
      <c r="E34" s="56">
        <f>D34*C34</f>
        <v>0</v>
      </c>
      <c r="F34" s="41"/>
      <c r="G34" s="40"/>
      <c r="H34" s="41"/>
      <c r="I34" s="41"/>
      <c r="J34" s="58"/>
      <c r="K34" s="62">
        <f>G34+H34+I34+J34</f>
        <v>0</v>
      </c>
      <c r="L34" s="482">
        <f>D34*K34</f>
        <v>0</v>
      </c>
      <c r="M34" s="64">
        <f>F34-K34</f>
        <v>0</v>
      </c>
      <c r="N34" s="243" t="e">
        <f>K34/C34</f>
        <v>#DIV/0!</v>
      </c>
      <c r="S34" s="468">
        <f>G34*D34</f>
        <v>0</v>
      </c>
      <c r="T34" s="468">
        <f>H34*D34</f>
        <v>0</v>
      </c>
      <c r="U34" s="468">
        <f>I34*D34</f>
        <v>0</v>
      </c>
      <c r="V34" s="468">
        <f>J34*D34</f>
        <v>0</v>
      </c>
    </row>
    <row r="35" spans="1:22" s="6" customFormat="1" ht="20.100000000000001" customHeight="1" x14ac:dyDescent="0.2">
      <c r="A35" s="493">
        <v>5431</v>
      </c>
      <c r="B35" s="35" t="s">
        <v>54</v>
      </c>
      <c r="C35" s="102"/>
      <c r="D35" s="91">
        <v>62.1</v>
      </c>
      <c r="E35" s="56">
        <f>D35*C35</f>
        <v>0</v>
      </c>
      <c r="F35" s="41"/>
      <c r="G35" s="40"/>
      <c r="H35" s="41"/>
      <c r="I35" s="41"/>
      <c r="J35" s="58"/>
      <c r="K35" s="62">
        <f>G35+H35+I35+J35</f>
        <v>0</v>
      </c>
      <c r="L35" s="482">
        <f>D35*K35</f>
        <v>0</v>
      </c>
      <c r="M35" s="64">
        <f>F35-K35</f>
        <v>0</v>
      </c>
      <c r="N35" s="243" t="e">
        <f>K35/C35</f>
        <v>#DIV/0!</v>
      </c>
      <c r="S35" s="468">
        <f>G35*D35</f>
        <v>0</v>
      </c>
      <c r="T35" s="468">
        <f>H35*D35</f>
        <v>0</v>
      </c>
      <c r="U35" s="468">
        <f>I35*D35</f>
        <v>0</v>
      </c>
      <c r="V35" s="468">
        <f>J35*D35</f>
        <v>0</v>
      </c>
    </row>
    <row r="36" spans="1:22" s="6" customFormat="1" ht="5.0999999999999996" customHeight="1" x14ac:dyDescent="0.2">
      <c r="A36" s="68"/>
      <c r="B36" s="100"/>
      <c r="C36" s="103"/>
      <c r="D36" s="94"/>
      <c r="E36" s="56"/>
      <c r="F36" s="41"/>
      <c r="G36" s="42"/>
      <c r="H36" s="43"/>
      <c r="I36" s="43"/>
      <c r="J36" s="59"/>
      <c r="K36" s="62"/>
      <c r="L36" s="482"/>
      <c r="M36" s="64"/>
      <c r="N36" s="243"/>
      <c r="S36" s="468">
        <f>G36*D36</f>
        <v>0</v>
      </c>
      <c r="T36" s="468">
        <f>H36*D36</f>
        <v>0</v>
      </c>
      <c r="U36" s="468">
        <f>I36*D36</f>
        <v>0</v>
      </c>
      <c r="V36" s="468">
        <f>J36*D36</f>
        <v>0</v>
      </c>
    </row>
    <row r="37" spans="1:22" s="6" customFormat="1" ht="20.100000000000001" customHeight="1" x14ac:dyDescent="0.2">
      <c r="A37" s="493">
        <v>5432</v>
      </c>
      <c r="B37" s="35" t="s">
        <v>80</v>
      </c>
      <c r="C37" s="102">
        <f>84+50+144+70+20+50</f>
        <v>418</v>
      </c>
      <c r="D37" s="91">
        <v>313.89999999999998</v>
      </c>
      <c r="E37" s="56">
        <f>D37*C37</f>
        <v>131210.19999999998</v>
      </c>
      <c r="F37" s="41">
        <v>409</v>
      </c>
      <c r="G37" s="40">
        <v>131</v>
      </c>
      <c r="H37" s="41">
        <v>135</v>
      </c>
      <c r="I37" s="41"/>
      <c r="J37" s="58"/>
      <c r="K37" s="62">
        <f>G37+H37+I37+J37</f>
        <v>266</v>
      </c>
      <c r="L37" s="482">
        <f>D37*K37</f>
        <v>83497.399999999994</v>
      </c>
      <c r="M37" s="64">
        <f>F37-K37</f>
        <v>143</v>
      </c>
      <c r="N37" s="243">
        <f>K37/C37</f>
        <v>0.63636363636363635</v>
      </c>
      <c r="S37" s="468">
        <f>G37*D37</f>
        <v>41120.899999999994</v>
      </c>
      <c r="T37" s="468">
        <f>H37*D37</f>
        <v>42376.5</v>
      </c>
      <c r="U37" s="468">
        <f>I37*D37</f>
        <v>0</v>
      </c>
      <c r="V37" s="468">
        <f>J37*D37</f>
        <v>0</v>
      </c>
    </row>
    <row r="38" spans="1:22" s="6" customFormat="1" ht="5.0999999999999996" customHeight="1" x14ac:dyDescent="0.2">
      <c r="A38" s="69"/>
      <c r="B38" s="48"/>
      <c r="C38" s="33"/>
      <c r="D38" s="91"/>
      <c r="E38" s="34"/>
      <c r="F38" s="41"/>
      <c r="G38" s="40"/>
      <c r="H38" s="41"/>
      <c r="I38" s="41"/>
      <c r="J38" s="58"/>
      <c r="K38" s="62"/>
      <c r="L38" s="483"/>
      <c r="M38" s="3"/>
      <c r="N38" s="243"/>
      <c r="S38" s="468">
        <f t="shared" si="0"/>
        <v>0</v>
      </c>
      <c r="T38" s="468">
        <f t="shared" si="1"/>
        <v>0</v>
      </c>
      <c r="U38" s="468">
        <f t="shared" si="2"/>
        <v>0</v>
      </c>
      <c r="V38" s="468">
        <f t="shared" si="3"/>
        <v>0</v>
      </c>
    </row>
    <row r="39" spans="1:22" s="6" customFormat="1" ht="20.100000000000001" customHeight="1" x14ac:dyDescent="0.2">
      <c r="A39" s="493">
        <v>5416</v>
      </c>
      <c r="B39" s="35" t="s">
        <v>33</v>
      </c>
      <c r="C39" s="102"/>
      <c r="D39" s="91">
        <v>70.2</v>
      </c>
      <c r="E39" s="56">
        <f>D39*C39</f>
        <v>0</v>
      </c>
      <c r="F39" s="41"/>
      <c r="G39" s="40"/>
      <c r="H39" s="41"/>
      <c r="I39" s="41"/>
      <c r="J39" s="58"/>
      <c r="K39" s="62">
        <f>G39+H39+I39+J39</f>
        <v>0</v>
      </c>
      <c r="L39" s="482">
        <f>D39*K39</f>
        <v>0</v>
      </c>
      <c r="M39" s="64">
        <f>F39-K39</f>
        <v>0</v>
      </c>
      <c r="N39" s="243" t="e">
        <f>K39/C39</f>
        <v>#DIV/0!</v>
      </c>
      <c r="S39" s="468">
        <f>G39*D39</f>
        <v>0</v>
      </c>
      <c r="T39" s="468">
        <f>H39*D39</f>
        <v>0</v>
      </c>
      <c r="U39" s="468">
        <f>I39*D39</f>
        <v>0</v>
      </c>
      <c r="V39" s="468">
        <f>J39*D39</f>
        <v>0</v>
      </c>
    </row>
    <row r="40" spans="1:22" s="6" customFormat="1" ht="20.100000000000001" customHeight="1" x14ac:dyDescent="0.2">
      <c r="A40" s="493"/>
      <c r="B40" s="35"/>
      <c r="C40" s="102"/>
      <c r="D40" s="91"/>
      <c r="E40" s="56"/>
      <c r="F40" s="41"/>
      <c r="G40" s="40"/>
      <c r="H40" s="41"/>
      <c r="I40" s="41"/>
      <c r="J40" s="58"/>
      <c r="K40" s="62"/>
      <c r="L40" s="482"/>
      <c r="M40" s="64"/>
      <c r="N40" s="243"/>
      <c r="S40" s="468">
        <f>G40*D40</f>
        <v>0</v>
      </c>
      <c r="T40" s="468">
        <f>H40*D40</f>
        <v>0</v>
      </c>
      <c r="U40" s="468">
        <f>I40*D40</f>
        <v>0</v>
      </c>
      <c r="V40" s="468">
        <f>J40*D40</f>
        <v>0</v>
      </c>
    </row>
    <row r="41" spans="1:22" s="6" customFormat="1" ht="20.100000000000001" customHeight="1" x14ac:dyDescent="0.2">
      <c r="A41" s="493">
        <v>5417</v>
      </c>
      <c r="B41" s="35" t="s">
        <v>79</v>
      </c>
      <c r="C41" s="102"/>
      <c r="D41" s="91">
        <v>64.3</v>
      </c>
      <c r="E41" s="56">
        <f t="shared" ref="E41:E45" si="14">D41*C41</f>
        <v>0</v>
      </c>
      <c r="F41" s="41">
        <v>70</v>
      </c>
      <c r="G41" s="40"/>
      <c r="H41" s="41">
        <v>70</v>
      </c>
      <c r="I41" s="41"/>
      <c r="J41" s="58"/>
      <c r="K41" s="62">
        <f t="shared" ref="K41:K45" si="15">G41+H41+I41+J41</f>
        <v>70</v>
      </c>
      <c r="L41" s="482">
        <f t="shared" ref="L41:L45" si="16">D41*K41</f>
        <v>4501</v>
      </c>
      <c r="M41" s="64">
        <f t="shared" ref="M41:M45" si="17">F41-K41</f>
        <v>0</v>
      </c>
      <c r="N41" s="243" t="e">
        <f t="shared" ref="N41:N45" si="18">K41/C41</f>
        <v>#DIV/0!</v>
      </c>
      <c r="S41" s="468">
        <f t="shared" si="0"/>
        <v>0</v>
      </c>
      <c r="T41" s="468">
        <f t="shared" si="1"/>
        <v>4501</v>
      </c>
      <c r="U41" s="468">
        <f t="shared" si="2"/>
        <v>0</v>
      </c>
      <c r="V41" s="468">
        <f t="shared" si="3"/>
        <v>0</v>
      </c>
    </row>
    <row r="42" spans="1:22" s="6" customFormat="1" ht="20.100000000000001" customHeight="1" x14ac:dyDescent="0.2">
      <c r="A42" s="493">
        <v>5418</v>
      </c>
      <c r="B42" s="35" t="s">
        <v>78</v>
      </c>
      <c r="C42" s="102"/>
      <c r="D42" s="91">
        <v>126.95</v>
      </c>
      <c r="E42" s="56">
        <f t="shared" si="14"/>
        <v>0</v>
      </c>
      <c r="F42" s="41"/>
      <c r="G42" s="40"/>
      <c r="H42" s="41"/>
      <c r="I42" s="41"/>
      <c r="J42" s="58"/>
      <c r="K42" s="62">
        <f t="shared" si="15"/>
        <v>0</v>
      </c>
      <c r="L42" s="482">
        <f t="shared" si="16"/>
        <v>0</v>
      </c>
      <c r="M42" s="64">
        <f t="shared" si="17"/>
        <v>0</v>
      </c>
      <c r="N42" s="243" t="e">
        <f t="shared" si="18"/>
        <v>#DIV/0!</v>
      </c>
      <c r="S42" s="468">
        <f t="shared" si="0"/>
        <v>0</v>
      </c>
      <c r="T42" s="468">
        <f t="shared" si="1"/>
        <v>0</v>
      </c>
      <c r="U42" s="468">
        <f t="shared" si="2"/>
        <v>0</v>
      </c>
      <c r="V42" s="468">
        <f t="shared" si="3"/>
        <v>0</v>
      </c>
    </row>
    <row r="43" spans="1:22" s="6" customFormat="1" ht="20.100000000000001" customHeight="1" x14ac:dyDescent="0.2">
      <c r="A43" s="493">
        <v>5451</v>
      </c>
      <c r="B43" s="35" t="s">
        <v>128</v>
      </c>
      <c r="C43" s="102"/>
      <c r="D43" s="91">
        <v>119.45</v>
      </c>
      <c r="E43" s="56">
        <f t="shared" si="14"/>
        <v>0</v>
      </c>
      <c r="F43" s="41">
        <v>306</v>
      </c>
      <c r="G43" s="40">
        <v>306</v>
      </c>
      <c r="H43" s="41"/>
      <c r="I43" s="41"/>
      <c r="J43" s="58"/>
      <c r="K43" s="62">
        <f t="shared" si="15"/>
        <v>306</v>
      </c>
      <c r="L43" s="482">
        <f t="shared" si="16"/>
        <v>36551.700000000004</v>
      </c>
      <c r="M43" s="64">
        <f t="shared" si="17"/>
        <v>0</v>
      </c>
      <c r="N43" s="243" t="e">
        <f t="shared" si="18"/>
        <v>#DIV/0!</v>
      </c>
      <c r="S43" s="468">
        <f t="shared" si="0"/>
        <v>36551.700000000004</v>
      </c>
      <c r="T43" s="468">
        <f t="shared" si="1"/>
        <v>0</v>
      </c>
      <c r="U43" s="468">
        <f t="shared" si="2"/>
        <v>0</v>
      </c>
      <c r="V43" s="468">
        <f t="shared" si="3"/>
        <v>0</v>
      </c>
    </row>
    <row r="44" spans="1:22" s="6" customFormat="1" ht="20.100000000000001" customHeight="1" x14ac:dyDescent="0.2">
      <c r="A44" s="493">
        <v>5439</v>
      </c>
      <c r="B44" s="35" t="s">
        <v>77</v>
      </c>
      <c r="C44" s="102"/>
      <c r="D44" s="91">
        <v>13.9</v>
      </c>
      <c r="E44" s="56">
        <f t="shared" si="14"/>
        <v>0</v>
      </c>
      <c r="F44" s="41"/>
      <c r="G44" s="40"/>
      <c r="H44" s="41"/>
      <c r="I44" s="41"/>
      <c r="J44" s="58"/>
      <c r="K44" s="62">
        <f t="shared" si="15"/>
        <v>0</v>
      </c>
      <c r="L44" s="482">
        <f t="shared" si="16"/>
        <v>0</v>
      </c>
      <c r="M44" s="64">
        <f t="shared" si="17"/>
        <v>0</v>
      </c>
      <c r="N44" s="243" t="e">
        <f t="shared" si="18"/>
        <v>#DIV/0!</v>
      </c>
      <c r="S44" s="468">
        <f t="shared" si="0"/>
        <v>0</v>
      </c>
      <c r="T44" s="468">
        <f t="shared" si="1"/>
        <v>0</v>
      </c>
      <c r="U44" s="468">
        <f t="shared" si="2"/>
        <v>0</v>
      </c>
      <c r="V44" s="468">
        <f t="shared" si="3"/>
        <v>0</v>
      </c>
    </row>
    <row r="45" spans="1:22" s="6" customFormat="1" ht="20.100000000000001" customHeight="1" x14ac:dyDescent="0.2">
      <c r="A45" s="493">
        <v>5440</v>
      </c>
      <c r="B45" s="35" t="s">
        <v>76</v>
      </c>
      <c r="C45" s="102"/>
      <c r="D45" s="91">
        <v>24.6</v>
      </c>
      <c r="E45" s="56">
        <f t="shared" si="14"/>
        <v>0</v>
      </c>
      <c r="F45" s="41"/>
      <c r="G45" s="40"/>
      <c r="H45" s="41"/>
      <c r="I45" s="41"/>
      <c r="J45" s="58"/>
      <c r="K45" s="62">
        <f t="shared" si="15"/>
        <v>0</v>
      </c>
      <c r="L45" s="482">
        <f t="shared" si="16"/>
        <v>0</v>
      </c>
      <c r="M45" s="64">
        <f t="shared" si="17"/>
        <v>0</v>
      </c>
      <c r="N45" s="243" t="e">
        <f t="shared" si="18"/>
        <v>#DIV/0!</v>
      </c>
      <c r="S45" s="468">
        <f t="shared" si="0"/>
        <v>0</v>
      </c>
      <c r="T45" s="468">
        <f t="shared" si="1"/>
        <v>0</v>
      </c>
      <c r="U45" s="468">
        <f t="shared" si="2"/>
        <v>0</v>
      </c>
      <c r="V45" s="468">
        <f t="shared" si="3"/>
        <v>0</v>
      </c>
    </row>
    <row r="46" spans="1:22" s="6" customFormat="1" ht="5.0999999999999996" customHeight="1" x14ac:dyDescent="0.2">
      <c r="A46" s="68"/>
      <c r="B46" s="100"/>
      <c r="C46" s="103"/>
      <c r="D46" s="94"/>
      <c r="E46" s="56"/>
      <c r="F46" s="41"/>
      <c r="G46" s="42"/>
      <c r="H46" s="43"/>
      <c r="I46" s="43"/>
      <c r="J46" s="59"/>
      <c r="K46" s="62"/>
      <c r="L46" s="482"/>
      <c r="M46" s="64"/>
      <c r="N46" s="243"/>
      <c r="S46" s="468">
        <f t="shared" si="0"/>
        <v>0</v>
      </c>
      <c r="T46" s="468">
        <f t="shared" si="1"/>
        <v>0</v>
      </c>
      <c r="U46" s="468">
        <f t="shared" si="2"/>
        <v>0</v>
      </c>
      <c r="V46" s="468">
        <f t="shared" si="3"/>
        <v>0</v>
      </c>
    </row>
    <row r="47" spans="1:22" s="6" customFormat="1" ht="20.100000000000001" customHeight="1" x14ac:dyDescent="0.2">
      <c r="A47" s="493">
        <v>5419</v>
      </c>
      <c r="B47" s="35" t="s">
        <v>144</v>
      </c>
      <c r="C47" s="102"/>
      <c r="D47" s="91">
        <v>3.95</v>
      </c>
      <c r="E47" s="56">
        <f t="shared" ref="E47:E54" si="19">D47*C47</f>
        <v>0</v>
      </c>
      <c r="F47" s="41"/>
      <c r="G47" s="40"/>
      <c r="H47" s="41"/>
      <c r="I47" s="41"/>
      <c r="J47" s="58"/>
      <c r="K47" s="62">
        <f t="shared" ref="K47:K54" si="20">G47+H47+I47+J47</f>
        <v>0</v>
      </c>
      <c r="L47" s="482">
        <f t="shared" ref="L47:L54" si="21">D47*K47</f>
        <v>0</v>
      </c>
      <c r="M47" s="64">
        <f t="shared" ref="M47:M54" si="22">F47-K47</f>
        <v>0</v>
      </c>
      <c r="N47" s="243" t="e">
        <f t="shared" ref="N47:N54" si="23">K47/C47</f>
        <v>#DIV/0!</v>
      </c>
      <c r="S47" s="468">
        <f t="shared" si="0"/>
        <v>0</v>
      </c>
      <c r="T47" s="468">
        <f t="shared" si="1"/>
        <v>0</v>
      </c>
      <c r="U47" s="468">
        <f t="shared" si="2"/>
        <v>0</v>
      </c>
      <c r="V47" s="468">
        <f t="shared" si="3"/>
        <v>0</v>
      </c>
    </row>
    <row r="48" spans="1:22" s="6" customFormat="1" ht="20.100000000000001" customHeight="1" x14ac:dyDescent="0.2">
      <c r="A48" s="493">
        <v>5460</v>
      </c>
      <c r="B48" s="35" t="s">
        <v>143</v>
      </c>
      <c r="C48" s="102">
        <v>500</v>
      </c>
      <c r="D48" s="91">
        <v>20.6</v>
      </c>
      <c r="E48" s="56">
        <f t="shared" si="19"/>
        <v>10300</v>
      </c>
      <c r="F48" s="41"/>
      <c r="G48" s="40"/>
      <c r="H48" s="41"/>
      <c r="I48" s="41"/>
      <c r="J48" s="58"/>
      <c r="K48" s="62">
        <f t="shared" si="20"/>
        <v>0</v>
      </c>
      <c r="L48" s="482">
        <f t="shared" si="21"/>
        <v>0</v>
      </c>
      <c r="M48" s="64">
        <f t="shared" si="22"/>
        <v>0</v>
      </c>
      <c r="N48" s="243">
        <f t="shared" si="23"/>
        <v>0</v>
      </c>
      <c r="S48" s="468">
        <f t="shared" si="0"/>
        <v>0</v>
      </c>
      <c r="T48" s="468">
        <f t="shared" si="1"/>
        <v>0</v>
      </c>
      <c r="U48" s="468">
        <f t="shared" si="2"/>
        <v>0</v>
      </c>
      <c r="V48" s="468">
        <f t="shared" si="3"/>
        <v>0</v>
      </c>
    </row>
    <row r="49" spans="1:22" s="6" customFormat="1" ht="20.100000000000001" customHeight="1" x14ac:dyDescent="0.2">
      <c r="A49" s="493">
        <v>5456</v>
      </c>
      <c r="B49" s="35" t="s">
        <v>142</v>
      </c>
      <c r="C49" s="102">
        <v>500</v>
      </c>
      <c r="D49" s="91">
        <v>60.1</v>
      </c>
      <c r="E49" s="56">
        <f t="shared" si="19"/>
        <v>30050</v>
      </c>
      <c r="F49" s="41"/>
      <c r="G49" s="40"/>
      <c r="H49" s="41"/>
      <c r="I49" s="41"/>
      <c r="J49" s="58"/>
      <c r="K49" s="62">
        <f>J49+I49+H49+G49</f>
        <v>0</v>
      </c>
      <c r="L49" s="482">
        <f t="shared" si="21"/>
        <v>0</v>
      </c>
      <c r="M49" s="64">
        <f t="shared" si="22"/>
        <v>0</v>
      </c>
      <c r="N49" s="243">
        <f t="shared" si="23"/>
        <v>0</v>
      </c>
      <c r="S49" s="468">
        <f t="shared" si="0"/>
        <v>0</v>
      </c>
      <c r="T49" s="468">
        <f t="shared" si="1"/>
        <v>0</v>
      </c>
      <c r="U49" s="468">
        <f t="shared" si="2"/>
        <v>0</v>
      </c>
      <c r="V49" s="468">
        <f t="shared" si="3"/>
        <v>0</v>
      </c>
    </row>
    <row r="50" spans="1:22" s="6" customFormat="1" ht="20.100000000000001" customHeight="1" x14ac:dyDescent="0.2">
      <c r="A50" s="493">
        <v>5452</v>
      </c>
      <c r="B50" s="35" t="s">
        <v>141</v>
      </c>
      <c r="C50" s="102">
        <v>600</v>
      </c>
      <c r="D50" s="91">
        <v>121.65</v>
      </c>
      <c r="E50" s="56">
        <f t="shared" si="19"/>
        <v>72990</v>
      </c>
      <c r="F50" s="41">
        <v>600</v>
      </c>
      <c r="G50" s="40"/>
      <c r="H50" s="41">
        <v>600</v>
      </c>
      <c r="I50" s="41"/>
      <c r="J50" s="58"/>
      <c r="K50" s="62">
        <f t="shared" si="20"/>
        <v>600</v>
      </c>
      <c r="L50" s="482">
        <f t="shared" si="21"/>
        <v>72990</v>
      </c>
      <c r="M50" s="64">
        <f t="shared" si="22"/>
        <v>0</v>
      </c>
      <c r="N50" s="243">
        <f t="shared" si="23"/>
        <v>1</v>
      </c>
      <c r="S50" s="468">
        <f t="shared" si="0"/>
        <v>0</v>
      </c>
      <c r="T50" s="468">
        <f t="shared" si="1"/>
        <v>72990</v>
      </c>
      <c r="U50" s="468">
        <f t="shared" si="2"/>
        <v>0</v>
      </c>
      <c r="V50" s="468">
        <f t="shared" si="3"/>
        <v>0</v>
      </c>
    </row>
    <row r="51" spans="1:22" s="6" customFormat="1" ht="20.100000000000001" customHeight="1" x14ac:dyDescent="0.2">
      <c r="A51" s="493">
        <v>5453</v>
      </c>
      <c r="B51" s="35" t="s">
        <v>75</v>
      </c>
      <c r="C51" s="102"/>
      <c r="D51" s="91">
        <v>59.9</v>
      </c>
      <c r="E51" s="56">
        <f t="shared" si="19"/>
        <v>0</v>
      </c>
      <c r="F51" s="41"/>
      <c r="G51" s="40"/>
      <c r="H51" s="41"/>
      <c r="I51" s="41"/>
      <c r="J51" s="58"/>
      <c r="K51" s="62">
        <f>G51+H51+I51+J51</f>
        <v>0</v>
      </c>
      <c r="L51" s="482">
        <f t="shared" si="21"/>
        <v>0</v>
      </c>
      <c r="M51" s="64">
        <f t="shared" si="22"/>
        <v>0</v>
      </c>
      <c r="N51" s="243" t="e">
        <f t="shared" si="23"/>
        <v>#DIV/0!</v>
      </c>
      <c r="S51" s="468">
        <f t="shared" si="0"/>
        <v>0</v>
      </c>
      <c r="T51" s="468">
        <f t="shared" si="1"/>
        <v>0</v>
      </c>
      <c r="U51" s="468">
        <f t="shared" si="2"/>
        <v>0</v>
      </c>
      <c r="V51" s="468">
        <f t="shared" si="3"/>
        <v>0</v>
      </c>
    </row>
    <row r="52" spans="1:22" s="6" customFormat="1" ht="20.100000000000001" customHeight="1" x14ac:dyDescent="0.2">
      <c r="A52" s="493">
        <v>5457</v>
      </c>
      <c r="B52" s="35" t="s">
        <v>145</v>
      </c>
      <c r="C52" s="102">
        <v>500</v>
      </c>
      <c r="D52" s="91">
        <v>58.15</v>
      </c>
      <c r="E52" s="56">
        <f t="shared" si="19"/>
        <v>29075</v>
      </c>
      <c r="F52" s="41"/>
      <c r="G52" s="40"/>
      <c r="H52" s="41"/>
      <c r="I52" s="41"/>
      <c r="J52" s="58"/>
      <c r="K52" s="62">
        <f t="shared" si="20"/>
        <v>0</v>
      </c>
      <c r="L52" s="482">
        <f t="shared" si="21"/>
        <v>0</v>
      </c>
      <c r="M52" s="64">
        <f t="shared" si="22"/>
        <v>0</v>
      </c>
      <c r="N52" s="243">
        <f t="shared" si="23"/>
        <v>0</v>
      </c>
      <c r="S52" s="468">
        <f t="shared" si="0"/>
        <v>0</v>
      </c>
      <c r="T52" s="468">
        <f t="shared" si="1"/>
        <v>0</v>
      </c>
      <c r="U52" s="468">
        <f t="shared" si="2"/>
        <v>0</v>
      </c>
      <c r="V52" s="468">
        <f t="shared" si="3"/>
        <v>0</v>
      </c>
    </row>
    <row r="53" spans="1:22" s="6" customFormat="1" ht="20.100000000000001" customHeight="1" x14ac:dyDescent="0.2">
      <c r="A53" s="493">
        <v>5459</v>
      </c>
      <c r="B53" s="35" t="s">
        <v>146</v>
      </c>
      <c r="C53" s="102">
        <v>300</v>
      </c>
      <c r="D53" s="91">
        <v>60.8</v>
      </c>
      <c r="E53" s="56">
        <f t="shared" si="19"/>
        <v>18240</v>
      </c>
      <c r="F53" s="41"/>
      <c r="G53" s="40"/>
      <c r="H53" s="41"/>
      <c r="I53" s="41"/>
      <c r="J53" s="58"/>
      <c r="K53" s="62">
        <f t="shared" si="20"/>
        <v>0</v>
      </c>
      <c r="L53" s="482">
        <f t="shared" si="21"/>
        <v>0</v>
      </c>
      <c r="M53" s="64">
        <f t="shared" si="22"/>
        <v>0</v>
      </c>
      <c r="N53" s="243">
        <f t="shared" si="23"/>
        <v>0</v>
      </c>
      <c r="S53" s="468">
        <f t="shared" si="0"/>
        <v>0</v>
      </c>
      <c r="T53" s="468">
        <f t="shared" si="1"/>
        <v>0</v>
      </c>
      <c r="U53" s="468">
        <f t="shared" si="2"/>
        <v>0</v>
      </c>
      <c r="V53" s="468">
        <f t="shared" si="3"/>
        <v>0</v>
      </c>
    </row>
    <row r="54" spans="1:22" s="6" customFormat="1" ht="20.100000000000001" customHeight="1" x14ac:dyDescent="0.2">
      <c r="A54" s="493">
        <v>5458</v>
      </c>
      <c r="B54" s="35" t="s">
        <v>74</v>
      </c>
      <c r="C54" s="102"/>
      <c r="D54" s="91">
        <v>121.05</v>
      </c>
      <c r="E54" s="56">
        <f t="shared" si="19"/>
        <v>0</v>
      </c>
      <c r="F54" s="41"/>
      <c r="G54" s="40"/>
      <c r="H54" s="41"/>
      <c r="I54" s="41"/>
      <c r="J54" s="58"/>
      <c r="K54" s="62">
        <f t="shared" si="20"/>
        <v>0</v>
      </c>
      <c r="L54" s="482">
        <f t="shared" si="21"/>
        <v>0</v>
      </c>
      <c r="M54" s="64">
        <f t="shared" si="22"/>
        <v>0</v>
      </c>
      <c r="N54" s="243" t="e">
        <f t="shared" si="23"/>
        <v>#DIV/0!</v>
      </c>
      <c r="S54" s="468">
        <f t="shared" si="0"/>
        <v>0</v>
      </c>
      <c r="T54" s="468">
        <f t="shared" si="1"/>
        <v>0</v>
      </c>
      <c r="U54" s="468">
        <f t="shared" si="2"/>
        <v>0</v>
      </c>
      <c r="V54" s="468">
        <f t="shared" si="3"/>
        <v>0</v>
      </c>
    </row>
    <row r="55" spans="1:22" s="6" customFormat="1" ht="20.100000000000001" customHeight="1" x14ac:dyDescent="0.2">
      <c r="A55" s="493">
        <v>5454</v>
      </c>
      <c r="B55" s="35" t="s">
        <v>147</v>
      </c>
      <c r="C55" s="102"/>
      <c r="D55" s="91">
        <v>146.30000000000001</v>
      </c>
      <c r="E55" s="56">
        <f>D55*C55</f>
        <v>0</v>
      </c>
      <c r="F55" s="41"/>
      <c r="G55" s="40"/>
      <c r="H55" s="41"/>
      <c r="I55" s="41"/>
      <c r="J55" s="58"/>
      <c r="K55" s="62">
        <f>G55+H55+I55+J55</f>
        <v>0</v>
      </c>
      <c r="L55" s="482">
        <f>D55*K55</f>
        <v>0</v>
      </c>
      <c r="M55" s="64">
        <f>F55-K55</f>
        <v>0</v>
      </c>
      <c r="N55" s="243" t="e">
        <f>K55/C55</f>
        <v>#DIV/0!</v>
      </c>
      <c r="S55" s="468">
        <f t="shared" si="0"/>
        <v>0</v>
      </c>
      <c r="T55" s="468">
        <f t="shared" si="1"/>
        <v>0</v>
      </c>
      <c r="U55" s="468">
        <f t="shared" si="2"/>
        <v>0</v>
      </c>
      <c r="V55" s="468">
        <f t="shared" si="3"/>
        <v>0</v>
      </c>
    </row>
    <row r="56" spans="1:22" s="6" customFormat="1" ht="20.100000000000001" customHeight="1" x14ac:dyDescent="0.2">
      <c r="A56" s="493">
        <v>5455</v>
      </c>
      <c r="B56" s="35" t="s">
        <v>148</v>
      </c>
      <c r="C56" s="102"/>
      <c r="D56" s="91">
        <v>84.6</v>
      </c>
      <c r="E56" s="56">
        <f>D56*C56</f>
        <v>0</v>
      </c>
      <c r="F56" s="41"/>
      <c r="G56" s="40"/>
      <c r="H56" s="41"/>
      <c r="I56" s="41"/>
      <c r="J56" s="58"/>
      <c r="K56" s="62">
        <f>G56+H56+I56+J56</f>
        <v>0</v>
      </c>
      <c r="L56" s="482">
        <f>D56*K56</f>
        <v>0</v>
      </c>
      <c r="M56" s="64">
        <f>F56-K56</f>
        <v>0</v>
      </c>
      <c r="N56" s="243" t="e">
        <f>K56/C56</f>
        <v>#DIV/0!</v>
      </c>
      <c r="S56" s="468">
        <f t="shared" si="0"/>
        <v>0</v>
      </c>
      <c r="T56" s="468">
        <f t="shared" si="1"/>
        <v>0</v>
      </c>
      <c r="U56" s="468">
        <f t="shared" si="2"/>
        <v>0</v>
      </c>
      <c r="V56" s="468">
        <f t="shared" si="3"/>
        <v>0</v>
      </c>
    </row>
    <row r="57" spans="1:22" s="6" customFormat="1" ht="5.0999999999999996" customHeight="1" x14ac:dyDescent="0.2">
      <c r="A57" s="68"/>
      <c r="B57" s="45"/>
      <c r="C57" s="103"/>
      <c r="D57" s="95"/>
      <c r="E57" s="56"/>
      <c r="F57" s="41"/>
      <c r="G57" s="42"/>
      <c r="H57" s="43"/>
      <c r="I57" s="43"/>
      <c r="J57" s="59"/>
      <c r="K57" s="62"/>
      <c r="L57" s="482"/>
      <c r="M57" s="64"/>
      <c r="N57" s="243"/>
      <c r="S57" s="468">
        <f t="shared" si="0"/>
        <v>0</v>
      </c>
      <c r="T57" s="468">
        <f t="shared" si="1"/>
        <v>0</v>
      </c>
      <c r="U57" s="468">
        <f t="shared" si="2"/>
        <v>0</v>
      </c>
      <c r="V57" s="468">
        <f t="shared" si="3"/>
        <v>0</v>
      </c>
    </row>
    <row r="58" spans="1:22" s="6" customFormat="1" ht="20.100000000000001" customHeight="1" x14ac:dyDescent="0.2">
      <c r="A58" s="493">
        <v>5422</v>
      </c>
      <c r="B58" s="35" t="s">
        <v>64</v>
      </c>
      <c r="C58" s="102"/>
      <c r="D58" s="91">
        <v>26.25</v>
      </c>
      <c r="E58" s="56">
        <f>D58*C58</f>
        <v>0</v>
      </c>
      <c r="F58" s="41">
        <v>100</v>
      </c>
      <c r="G58" s="40">
        <v>100</v>
      </c>
      <c r="H58" s="41"/>
      <c r="I58" s="41"/>
      <c r="J58" s="58"/>
      <c r="K58" s="62">
        <f>G58+H58+I58+J58</f>
        <v>100</v>
      </c>
      <c r="L58" s="482">
        <f>D58*K58</f>
        <v>2625</v>
      </c>
      <c r="M58" s="64">
        <f>F58-K58</f>
        <v>0</v>
      </c>
      <c r="N58" s="243" t="e">
        <f>K58/C58</f>
        <v>#DIV/0!</v>
      </c>
      <c r="S58" s="468">
        <f t="shared" si="0"/>
        <v>2625</v>
      </c>
      <c r="T58" s="468">
        <f t="shared" si="1"/>
        <v>0</v>
      </c>
      <c r="U58" s="468">
        <f t="shared" si="2"/>
        <v>0</v>
      </c>
      <c r="V58" s="468">
        <f t="shared" si="3"/>
        <v>0</v>
      </c>
    </row>
    <row r="59" spans="1:22" s="6" customFormat="1" ht="20.100000000000001" customHeight="1" x14ac:dyDescent="0.2">
      <c r="A59" s="493">
        <v>5423</v>
      </c>
      <c r="B59" s="35" t="s">
        <v>65</v>
      </c>
      <c r="C59" s="102"/>
      <c r="D59" s="91">
        <v>21.4</v>
      </c>
      <c r="E59" s="56">
        <f>D59*C59</f>
        <v>0</v>
      </c>
      <c r="F59" s="41">
        <v>100</v>
      </c>
      <c r="G59" s="40">
        <v>100</v>
      </c>
      <c r="H59" s="41"/>
      <c r="I59" s="41"/>
      <c r="J59" s="58"/>
      <c r="K59" s="62">
        <f>G59+H59+I59+J59</f>
        <v>100</v>
      </c>
      <c r="L59" s="482">
        <f>D59*K59</f>
        <v>2140</v>
      </c>
      <c r="M59" s="64">
        <f>F59-K59</f>
        <v>0</v>
      </c>
      <c r="N59" s="243" t="e">
        <f>K59/C59</f>
        <v>#DIV/0!</v>
      </c>
      <c r="S59" s="468">
        <f t="shared" si="0"/>
        <v>2140</v>
      </c>
      <c r="T59" s="468">
        <f t="shared" si="1"/>
        <v>0</v>
      </c>
      <c r="U59" s="468">
        <f t="shared" si="2"/>
        <v>0</v>
      </c>
      <c r="V59" s="468">
        <f t="shared" si="3"/>
        <v>0</v>
      </c>
    </row>
    <row r="60" spans="1:22" s="6" customFormat="1" ht="20.100000000000001" customHeight="1" x14ac:dyDescent="0.2">
      <c r="A60" s="493">
        <v>5424</v>
      </c>
      <c r="B60" s="35" t="s">
        <v>89</v>
      </c>
      <c r="C60" s="102"/>
      <c r="D60" s="91">
        <v>9.75</v>
      </c>
      <c r="E60" s="56">
        <f>D60*C60</f>
        <v>0</v>
      </c>
      <c r="F60" s="41"/>
      <c r="G60" s="40"/>
      <c r="H60" s="41"/>
      <c r="I60" s="41"/>
      <c r="J60" s="58"/>
      <c r="K60" s="62">
        <f>G60+H60+I60+J60</f>
        <v>0</v>
      </c>
      <c r="L60" s="482">
        <f>D60*K60</f>
        <v>0</v>
      </c>
      <c r="M60" s="64">
        <f>F60-K60</f>
        <v>0</v>
      </c>
      <c r="N60" s="243" t="e">
        <f>K60/C60</f>
        <v>#DIV/0!</v>
      </c>
      <c r="S60" s="468">
        <f t="shared" si="0"/>
        <v>0</v>
      </c>
      <c r="T60" s="468">
        <f t="shared" si="1"/>
        <v>0</v>
      </c>
      <c r="U60" s="468">
        <f t="shared" si="2"/>
        <v>0</v>
      </c>
      <c r="V60" s="468">
        <f t="shared" si="3"/>
        <v>0</v>
      </c>
    </row>
    <row r="61" spans="1:22" s="6" customFormat="1" ht="20.100000000000001" customHeight="1" x14ac:dyDescent="0.2">
      <c r="A61" s="493">
        <v>5425</v>
      </c>
      <c r="B61" s="35" t="s">
        <v>73</v>
      </c>
      <c r="C61" s="102"/>
      <c r="D61" s="91">
        <v>6</v>
      </c>
      <c r="E61" s="56">
        <f>D61*C61</f>
        <v>0</v>
      </c>
      <c r="F61" s="41"/>
      <c r="G61" s="40"/>
      <c r="H61" s="41"/>
      <c r="I61" s="41"/>
      <c r="J61" s="58"/>
      <c r="K61" s="62">
        <f>G61+H61+I61+J61</f>
        <v>0</v>
      </c>
      <c r="L61" s="482">
        <f>D61*K61</f>
        <v>0</v>
      </c>
      <c r="M61" s="64">
        <f>F61-K61</f>
        <v>0</v>
      </c>
      <c r="N61" s="243" t="e">
        <f>K61/C61</f>
        <v>#DIV/0!</v>
      </c>
      <c r="S61" s="468">
        <f t="shared" si="0"/>
        <v>0</v>
      </c>
      <c r="T61" s="468">
        <f t="shared" si="1"/>
        <v>0</v>
      </c>
      <c r="U61" s="468">
        <f t="shared" si="2"/>
        <v>0</v>
      </c>
      <c r="V61" s="468">
        <f t="shared" si="3"/>
        <v>0</v>
      </c>
    </row>
    <row r="62" spans="1:22" s="6" customFormat="1" ht="20.100000000000001" customHeight="1" x14ac:dyDescent="0.2">
      <c r="A62" s="493">
        <v>5426</v>
      </c>
      <c r="B62" s="35" t="s">
        <v>62</v>
      </c>
      <c r="C62" s="102"/>
      <c r="D62" s="91">
        <v>6</v>
      </c>
      <c r="E62" s="56">
        <f>D62*C62</f>
        <v>0</v>
      </c>
      <c r="F62" s="41"/>
      <c r="G62" s="40"/>
      <c r="H62" s="41"/>
      <c r="I62" s="41"/>
      <c r="J62" s="58"/>
      <c r="K62" s="62">
        <f>G62+H62+I62+J62</f>
        <v>0</v>
      </c>
      <c r="L62" s="482">
        <f>D62*K62</f>
        <v>0</v>
      </c>
      <c r="M62" s="64">
        <f>F62-K62</f>
        <v>0</v>
      </c>
      <c r="N62" s="243" t="e">
        <f>K62/C62</f>
        <v>#DIV/0!</v>
      </c>
      <c r="S62" s="468">
        <f t="shared" si="0"/>
        <v>0</v>
      </c>
      <c r="T62" s="468">
        <f t="shared" si="1"/>
        <v>0</v>
      </c>
      <c r="U62" s="468">
        <f t="shared" si="2"/>
        <v>0</v>
      </c>
      <c r="V62" s="468">
        <f t="shared" si="3"/>
        <v>0</v>
      </c>
    </row>
    <row r="63" spans="1:22" s="6" customFormat="1" ht="5.0999999999999996" customHeight="1" x14ac:dyDescent="0.2">
      <c r="A63" s="68"/>
      <c r="B63" s="45"/>
      <c r="C63" s="103"/>
      <c r="D63" s="96"/>
      <c r="E63" s="56"/>
      <c r="F63" s="41"/>
      <c r="G63" s="42"/>
      <c r="H63" s="43"/>
      <c r="I63" s="43"/>
      <c r="J63" s="59"/>
      <c r="K63" s="62"/>
      <c r="L63" s="482"/>
      <c r="M63" s="64"/>
      <c r="N63" s="243"/>
      <c r="S63" s="468">
        <f t="shared" si="0"/>
        <v>0</v>
      </c>
      <c r="T63" s="468">
        <f t="shared" si="1"/>
        <v>0</v>
      </c>
      <c r="U63" s="468">
        <f t="shared" si="2"/>
        <v>0</v>
      </c>
      <c r="V63" s="468">
        <f t="shared" si="3"/>
        <v>0</v>
      </c>
    </row>
    <row r="64" spans="1:22" s="6" customFormat="1" ht="20.100000000000001" customHeight="1" x14ac:dyDescent="0.2">
      <c r="A64" s="493">
        <v>5441</v>
      </c>
      <c r="B64" s="35" t="s">
        <v>35</v>
      </c>
      <c r="C64" s="102"/>
      <c r="D64" s="91">
        <v>21.454999999999998</v>
      </c>
      <c r="E64" s="56">
        <f t="shared" ref="E64:E71" si="24">D64*C64</f>
        <v>0</v>
      </c>
      <c r="F64" s="41"/>
      <c r="G64" s="40"/>
      <c r="H64" s="41"/>
      <c r="I64" s="41"/>
      <c r="J64" s="58"/>
      <c r="K64" s="62">
        <f t="shared" ref="K64:K70" si="25">G64+H64+I64+J64</f>
        <v>0</v>
      </c>
      <c r="L64" s="482">
        <f t="shared" ref="L64:L69" si="26">D64*K64</f>
        <v>0</v>
      </c>
      <c r="M64" s="64">
        <f t="shared" ref="M64:M71" si="27">F64-K64</f>
        <v>0</v>
      </c>
      <c r="N64" s="243" t="e">
        <f t="shared" ref="N64:N71" si="28">K64/C64</f>
        <v>#DIV/0!</v>
      </c>
      <c r="S64" s="468">
        <f t="shared" si="0"/>
        <v>0</v>
      </c>
      <c r="T64" s="468">
        <f t="shared" si="1"/>
        <v>0</v>
      </c>
      <c r="U64" s="468">
        <f t="shared" si="2"/>
        <v>0</v>
      </c>
      <c r="V64" s="468">
        <f t="shared" si="3"/>
        <v>0</v>
      </c>
    </row>
    <row r="65" spans="1:22" s="6" customFormat="1" ht="20.100000000000001" customHeight="1" x14ac:dyDescent="0.2">
      <c r="A65" s="493">
        <v>5442</v>
      </c>
      <c r="B65" s="35" t="s">
        <v>36</v>
      </c>
      <c r="C65" s="102"/>
      <c r="D65" s="91">
        <v>20.9</v>
      </c>
      <c r="E65" s="56">
        <f t="shared" si="24"/>
        <v>0</v>
      </c>
      <c r="F65" s="41"/>
      <c r="G65" s="40"/>
      <c r="H65" s="41"/>
      <c r="I65" s="41"/>
      <c r="J65" s="58"/>
      <c r="K65" s="62">
        <f t="shared" si="25"/>
        <v>0</v>
      </c>
      <c r="L65" s="482">
        <f t="shared" si="26"/>
        <v>0</v>
      </c>
      <c r="M65" s="64">
        <f t="shared" si="27"/>
        <v>0</v>
      </c>
      <c r="N65" s="243" t="e">
        <f t="shared" si="28"/>
        <v>#DIV/0!</v>
      </c>
      <c r="S65" s="468">
        <f t="shared" si="0"/>
        <v>0</v>
      </c>
      <c r="T65" s="468">
        <f t="shared" si="1"/>
        <v>0</v>
      </c>
      <c r="U65" s="468">
        <f t="shared" si="2"/>
        <v>0</v>
      </c>
      <c r="V65" s="468">
        <f t="shared" si="3"/>
        <v>0</v>
      </c>
    </row>
    <row r="66" spans="1:22" s="6" customFormat="1" ht="20.100000000000001" customHeight="1" x14ac:dyDescent="0.2">
      <c r="A66" s="493">
        <v>5443</v>
      </c>
      <c r="B66" s="35" t="s">
        <v>37</v>
      </c>
      <c r="C66" s="102"/>
      <c r="D66" s="91">
        <v>20.9</v>
      </c>
      <c r="E66" s="56">
        <f t="shared" si="24"/>
        <v>0</v>
      </c>
      <c r="F66" s="41"/>
      <c r="G66" s="40"/>
      <c r="H66" s="41"/>
      <c r="I66" s="41"/>
      <c r="J66" s="58"/>
      <c r="K66" s="62">
        <f t="shared" si="25"/>
        <v>0</v>
      </c>
      <c r="L66" s="482">
        <f t="shared" si="26"/>
        <v>0</v>
      </c>
      <c r="M66" s="64">
        <f t="shared" si="27"/>
        <v>0</v>
      </c>
      <c r="N66" s="243" t="e">
        <f t="shared" si="28"/>
        <v>#DIV/0!</v>
      </c>
      <c r="S66" s="468">
        <f t="shared" si="0"/>
        <v>0</v>
      </c>
      <c r="T66" s="468">
        <f t="shared" si="1"/>
        <v>0</v>
      </c>
      <c r="U66" s="468">
        <f t="shared" si="2"/>
        <v>0</v>
      </c>
      <c r="V66" s="468">
        <f t="shared" si="3"/>
        <v>0</v>
      </c>
    </row>
    <row r="67" spans="1:22" s="6" customFormat="1" ht="20.100000000000001" customHeight="1" x14ac:dyDescent="0.2">
      <c r="A67" s="493">
        <v>5444</v>
      </c>
      <c r="B67" s="35" t="s">
        <v>38</v>
      </c>
      <c r="C67" s="102"/>
      <c r="D67" s="91">
        <v>20.9</v>
      </c>
      <c r="E67" s="56">
        <f t="shared" si="24"/>
        <v>0</v>
      </c>
      <c r="F67" s="41"/>
      <c r="G67" s="40"/>
      <c r="H67" s="41"/>
      <c r="I67" s="41"/>
      <c r="J67" s="58"/>
      <c r="K67" s="62">
        <f t="shared" si="25"/>
        <v>0</v>
      </c>
      <c r="L67" s="482">
        <f t="shared" si="26"/>
        <v>0</v>
      </c>
      <c r="M67" s="64">
        <f t="shared" si="27"/>
        <v>0</v>
      </c>
      <c r="N67" s="243" t="e">
        <f t="shared" si="28"/>
        <v>#DIV/0!</v>
      </c>
      <c r="S67" s="468">
        <f t="shared" si="0"/>
        <v>0</v>
      </c>
      <c r="T67" s="468">
        <f t="shared" si="1"/>
        <v>0</v>
      </c>
      <c r="U67" s="468">
        <f t="shared" si="2"/>
        <v>0</v>
      </c>
      <c r="V67" s="468">
        <f t="shared" si="3"/>
        <v>0</v>
      </c>
    </row>
    <row r="68" spans="1:22" s="6" customFormat="1" ht="20.100000000000001" customHeight="1" x14ac:dyDescent="0.2">
      <c r="A68" s="493">
        <v>5445</v>
      </c>
      <c r="B68" s="35" t="s">
        <v>39</v>
      </c>
      <c r="C68" s="102"/>
      <c r="D68" s="91">
        <v>20.9</v>
      </c>
      <c r="E68" s="56">
        <f t="shared" si="24"/>
        <v>0</v>
      </c>
      <c r="F68" s="41"/>
      <c r="G68" s="40"/>
      <c r="H68" s="41"/>
      <c r="I68" s="41"/>
      <c r="J68" s="58"/>
      <c r="K68" s="62">
        <f>G68+H68+I68+J68</f>
        <v>0</v>
      </c>
      <c r="L68" s="482">
        <f t="shared" si="26"/>
        <v>0</v>
      </c>
      <c r="M68" s="64">
        <f t="shared" si="27"/>
        <v>0</v>
      </c>
      <c r="N68" s="243" t="e">
        <f t="shared" si="28"/>
        <v>#DIV/0!</v>
      </c>
      <c r="S68" s="468">
        <f t="shared" si="0"/>
        <v>0</v>
      </c>
      <c r="T68" s="468">
        <f t="shared" si="1"/>
        <v>0</v>
      </c>
      <c r="U68" s="468">
        <f t="shared" si="2"/>
        <v>0</v>
      </c>
      <c r="V68" s="468">
        <f t="shared" si="3"/>
        <v>0</v>
      </c>
    </row>
    <row r="69" spans="1:22" s="6" customFormat="1" ht="20.100000000000001" customHeight="1" x14ac:dyDescent="0.2">
      <c r="A69" s="493">
        <v>5447</v>
      </c>
      <c r="B69" s="35" t="s">
        <v>58</v>
      </c>
      <c r="C69" s="102"/>
      <c r="D69" s="91">
        <v>20.9</v>
      </c>
      <c r="E69" s="56">
        <f t="shared" si="24"/>
        <v>0</v>
      </c>
      <c r="F69" s="41">
        <v>32</v>
      </c>
      <c r="G69" s="40">
        <v>32</v>
      </c>
      <c r="H69" s="41"/>
      <c r="I69" s="41"/>
      <c r="J69" s="58"/>
      <c r="K69" s="62">
        <f t="shared" si="25"/>
        <v>32</v>
      </c>
      <c r="L69" s="482">
        <f t="shared" si="26"/>
        <v>668.8</v>
      </c>
      <c r="M69" s="64">
        <f t="shared" si="27"/>
        <v>0</v>
      </c>
      <c r="N69" s="243" t="e">
        <f t="shared" si="28"/>
        <v>#DIV/0!</v>
      </c>
      <c r="S69" s="468">
        <f t="shared" si="0"/>
        <v>668.8</v>
      </c>
      <c r="T69" s="468">
        <f t="shared" si="1"/>
        <v>0</v>
      </c>
      <c r="U69" s="468">
        <f t="shared" si="2"/>
        <v>0</v>
      </c>
      <c r="V69" s="468">
        <f t="shared" si="3"/>
        <v>0</v>
      </c>
    </row>
    <row r="70" spans="1:22" s="6" customFormat="1" ht="20.100000000000001" customHeight="1" x14ac:dyDescent="0.2">
      <c r="A70" s="493">
        <v>5448</v>
      </c>
      <c r="B70" s="35" t="s">
        <v>123</v>
      </c>
      <c r="C70" s="102"/>
      <c r="D70" s="91">
        <v>20.9</v>
      </c>
      <c r="E70" s="56">
        <f t="shared" si="24"/>
        <v>0</v>
      </c>
      <c r="F70" s="41"/>
      <c r="G70" s="40"/>
      <c r="H70" s="41"/>
      <c r="I70" s="41"/>
      <c r="J70" s="58"/>
      <c r="K70" s="62">
        <f t="shared" si="25"/>
        <v>0</v>
      </c>
      <c r="L70" s="482">
        <f>D70*K70</f>
        <v>0</v>
      </c>
      <c r="M70" s="64">
        <f t="shared" si="27"/>
        <v>0</v>
      </c>
      <c r="N70" s="243" t="e">
        <f t="shared" si="28"/>
        <v>#DIV/0!</v>
      </c>
      <c r="S70" s="468">
        <f t="shared" si="0"/>
        <v>0</v>
      </c>
      <c r="T70" s="468">
        <f t="shared" si="1"/>
        <v>0</v>
      </c>
      <c r="U70" s="468">
        <f t="shared" si="2"/>
        <v>0</v>
      </c>
      <c r="V70" s="468">
        <f t="shared" si="3"/>
        <v>0</v>
      </c>
    </row>
    <row r="71" spans="1:22" s="6" customFormat="1" ht="20.100000000000001" customHeight="1" x14ac:dyDescent="0.2">
      <c r="A71" s="493">
        <v>5446</v>
      </c>
      <c r="B71" s="35" t="s">
        <v>124</v>
      </c>
      <c r="C71" s="102"/>
      <c r="D71" s="91">
        <v>21.95</v>
      </c>
      <c r="E71" s="56">
        <f t="shared" si="24"/>
        <v>0</v>
      </c>
      <c r="F71" s="41"/>
      <c r="G71" s="40"/>
      <c r="H71" s="41"/>
      <c r="I71" s="41"/>
      <c r="J71" s="58"/>
      <c r="K71" s="62">
        <f>G71+H71+I71+J71</f>
        <v>0</v>
      </c>
      <c r="L71" s="482">
        <f>D71*K71</f>
        <v>0</v>
      </c>
      <c r="M71" s="64">
        <f t="shared" si="27"/>
        <v>0</v>
      </c>
      <c r="N71" s="243" t="e">
        <f t="shared" si="28"/>
        <v>#DIV/0!</v>
      </c>
      <c r="S71" s="468">
        <f t="shared" si="0"/>
        <v>0</v>
      </c>
      <c r="T71" s="468">
        <f t="shared" si="1"/>
        <v>0</v>
      </c>
      <c r="U71" s="468">
        <f t="shared" si="2"/>
        <v>0</v>
      </c>
      <c r="V71" s="468">
        <f t="shared" si="3"/>
        <v>0</v>
      </c>
    </row>
    <row r="72" spans="1:22" s="6" customFormat="1" ht="5.0999999999999996" customHeight="1" x14ac:dyDescent="0.2">
      <c r="A72" s="68"/>
      <c r="B72" s="45"/>
      <c r="C72" s="103"/>
      <c r="D72" s="96"/>
      <c r="E72" s="56"/>
      <c r="F72" s="41"/>
      <c r="G72" s="42"/>
      <c r="H72" s="43"/>
      <c r="I72" s="43"/>
      <c r="J72" s="59"/>
      <c r="K72" s="62"/>
      <c r="L72" s="482"/>
      <c r="M72" s="64"/>
      <c r="N72" s="243"/>
      <c r="S72" s="468">
        <f t="shared" ref="S72:S94" si="29">G72*D72</f>
        <v>0</v>
      </c>
      <c r="T72" s="468">
        <f t="shared" ref="T72:T94" si="30">H72*D72</f>
        <v>0</v>
      </c>
      <c r="U72" s="468">
        <f t="shared" ref="U72:U94" si="31">I72*D72</f>
        <v>0</v>
      </c>
      <c r="V72" s="468">
        <f t="shared" ref="V72:V94" si="32">J72*D72</f>
        <v>0</v>
      </c>
    </row>
    <row r="73" spans="1:22" s="6" customFormat="1" ht="20.100000000000001" customHeight="1" x14ac:dyDescent="0.2">
      <c r="A73" s="493">
        <v>5420</v>
      </c>
      <c r="B73" s="35" t="s">
        <v>87</v>
      </c>
      <c r="C73" s="102">
        <v>50</v>
      </c>
      <c r="D73" s="91">
        <v>398.2</v>
      </c>
      <c r="E73" s="56">
        <f>D73*C73</f>
        <v>19910</v>
      </c>
      <c r="F73" s="41"/>
      <c r="G73" s="40"/>
      <c r="H73" s="41"/>
      <c r="I73" s="41"/>
      <c r="J73" s="58"/>
      <c r="K73" s="62">
        <f>G73+H73+I73+J73</f>
        <v>0</v>
      </c>
      <c r="L73" s="482">
        <f>D73*K73</f>
        <v>0</v>
      </c>
      <c r="M73" s="64">
        <f>F73-K73</f>
        <v>0</v>
      </c>
      <c r="N73" s="243">
        <f>K73/C73</f>
        <v>0</v>
      </c>
      <c r="S73" s="468">
        <f t="shared" si="29"/>
        <v>0</v>
      </c>
      <c r="T73" s="468">
        <f t="shared" si="30"/>
        <v>0</v>
      </c>
      <c r="U73" s="468">
        <f t="shared" si="31"/>
        <v>0</v>
      </c>
      <c r="V73" s="468">
        <f t="shared" si="32"/>
        <v>0</v>
      </c>
    </row>
    <row r="74" spans="1:22" s="6" customFormat="1" ht="20.100000000000001" customHeight="1" x14ac:dyDescent="0.2">
      <c r="A74" s="493">
        <v>5421</v>
      </c>
      <c r="B74" s="35" t="s">
        <v>88</v>
      </c>
      <c r="C74" s="102">
        <v>50</v>
      </c>
      <c r="D74" s="91">
        <v>430.45</v>
      </c>
      <c r="E74" s="56">
        <f>D74*C74</f>
        <v>21522.5</v>
      </c>
      <c r="F74" s="41"/>
      <c r="G74" s="40"/>
      <c r="H74" s="41"/>
      <c r="I74" s="41"/>
      <c r="J74" s="58"/>
      <c r="K74" s="62">
        <f>G74+H74+I74+J74</f>
        <v>0</v>
      </c>
      <c r="L74" s="482">
        <f>D74*K74</f>
        <v>0</v>
      </c>
      <c r="M74" s="64">
        <f>F74-K74</f>
        <v>0</v>
      </c>
      <c r="N74" s="243">
        <f>K74/C74</f>
        <v>0</v>
      </c>
      <c r="S74" s="468">
        <f t="shared" si="29"/>
        <v>0</v>
      </c>
      <c r="T74" s="468">
        <f t="shared" si="30"/>
        <v>0</v>
      </c>
      <c r="U74" s="468">
        <f t="shared" si="31"/>
        <v>0</v>
      </c>
      <c r="V74" s="468">
        <f t="shared" si="32"/>
        <v>0</v>
      </c>
    </row>
    <row r="75" spans="1:22" s="6" customFormat="1" ht="5.0999999999999996" customHeight="1" x14ac:dyDescent="0.2">
      <c r="A75" s="68"/>
      <c r="B75" s="45"/>
      <c r="C75" s="103"/>
      <c r="D75" s="96"/>
      <c r="E75" s="56"/>
      <c r="F75" s="41"/>
      <c r="G75" s="42"/>
      <c r="H75" s="43"/>
      <c r="I75" s="43"/>
      <c r="J75" s="59"/>
      <c r="K75" s="62"/>
      <c r="L75" s="482"/>
      <c r="M75" s="64"/>
      <c r="N75" s="243"/>
      <c r="S75" s="468">
        <f t="shared" si="29"/>
        <v>0</v>
      </c>
      <c r="T75" s="468">
        <f t="shared" si="30"/>
        <v>0</v>
      </c>
      <c r="U75" s="468">
        <f t="shared" si="31"/>
        <v>0</v>
      </c>
      <c r="V75" s="468">
        <f t="shared" si="32"/>
        <v>0</v>
      </c>
    </row>
    <row r="76" spans="1:22" s="6" customFormat="1" ht="20.100000000000001" customHeight="1" x14ac:dyDescent="0.2">
      <c r="A76" s="493">
        <v>4389</v>
      </c>
      <c r="B76" s="35" t="s">
        <v>135</v>
      </c>
      <c r="C76" s="102"/>
      <c r="D76" s="91">
        <v>328.06</v>
      </c>
      <c r="E76" s="56">
        <f t="shared" ref="E76:E93" si="33">D76*C76</f>
        <v>0</v>
      </c>
      <c r="F76" s="41"/>
      <c r="G76" s="40"/>
      <c r="H76" s="41"/>
      <c r="I76" s="41"/>
      <c r="J76" s="58"/>
      <c r="K76" s="62">
        <f t="shared" ref="K76:K93" si="34">G76+H76+I76+J76</f>
        <v>0</v>
      </c>
      <c r="L76" s="482">
        <f t="shared" ref="L76:L90" si="35">D76*K76</f>
        <v>0</v>
      </c>
      <c r="M76" s="64">
        <f t="shared" ref="M76:M93" si="36">F76-K76</f>
        <v>0</v>
      </c>
      <c r="N76" s="243" t="e">
        <f t="shared" ref="N76:N93" si="37">K76/C76</f>
        <v>#DIV/0!</v>
      </c>
      <c r="S76" s="468">
        <f t="shared" si="29"/>
        <v>0</v>
      </c>
      <c r="T76" s="468">
        <f t="shared" si="30"/>
        <v>0</v>
      </c>
      <c r="U76" s="468">
        <f t="shared" si="31"/>
        <v>0</v>
      </c>
      <c r="V76" s="468">
        <f t="shared" si="32"/>
        <v>0</v>
      </c>
    </row>
    <row r="77" spans="1:22" s="6" customFormat="1" ht="20.100000000000001" customHeight="1" x14ac:dyDescent="0.2">
      <c r="A77" s="493">
        <v>4390</v>
      </c>
      <c r="B77" s="35" t="s">
        <v>137</v>
      </c>
      <c r="C77" s="102"/>
      <c r="D77" s="91">
        <v>358.96</v>
      </c>
      <c r="E77" s="56">
        <f t="shared" si="33"/>
        <v>0</v>
      </c>
      <c r="F77" s="41"/>
      <c r="G77" s="40"/>
      <c r="H77" s="41"/>
      <c r="I77" s="41"/>
      <c r="J77" s="58"/>
      <c r="K77" s="62">
        <f t="shared" si="34"/>
        <v>0</v>
      </c>
      <c r="L77" s="482">
        <f t="shared" si="35"/>
        <v>0</v>
      </c>
      <c r="M77" s="64">
        <f t="shared" si="36"/>
        <v>0</v>
      </c>
      <c r="N77" s="243" t="e">
        <f t="shared" si="37"/>
        <v>#DIV/0!</v>
      </c>
      <c r="S77" s="468">
        <f t="shared" si="29"/>
        <v>0</v>
      </c>
      <c r="T77" s="468">
        <f t="shared" si="30"/>
        <v>0</v>
      </c>
      <c r="U77" s="468">
        <f t="shared" si="31"/>
        <v>0</v>
      </c>
      <c r="V77" s="468">
        <f t="shared" si="32"/>
        <v>0</v>
      </c>
    </row>
    <row r="78" spans="1:22" s="6" customFormat="1" ht="20.100000000000001" customHeight="1" x14ac:dyDescent="0.2">
      <c r="A78" s="493" t="s">
        <v>346</v>
      </c>
      <c r="B78" s="35" t="s">
        <v>347</v>
      </c>
      <c r="C78" s="102"/>
      <c r="D78" s="91">
        <v>433</v>
      </c>
      <c r="E78" s="56">
        <f t="shared" si="33"/>
        <v>0</v>
      </c>
      <c r="F78" s="41"/>
      <c r="G78" s="40"/>
      <c r="H78" s="41"/>
      <c r="I78" s="41"/>
      <c r="J78" s="58"/>
      <c r="K78" s="62">
        <f t="shared" si="34"/>
        <v>0</v>
      </c>
      <c r="L78" s="482">
        <f t="shared" si="35"/>
        <v>0</v>
      </c>
      <c r="M78" s="64">
        <f t="shared" si="36"/>
        <v>0</v>
      </c>
      <c r="N78" s="243" t="e">
        <f t="shared" si="37"/>
        <v>#DIV/0!</v>
      </c>
      <c r="S78" s="468">
        <f t="shared" si="29"/>
        <v>0</v>
      </c>
      <c r="T78" s="468">
        <f t="shared" si="30"/>
        <v>0</v>
      </c>
      <c r="U78" s="468">
        <f t="shared" si="31"/>
        <v>0</v>
      </c>
      <c r="V78" s="468">
        <f t="shared" si="32"/>
        <v>0</v>
      </c>
    </row>
    <row r="79" spans="1:22" s="6" customFormat="1" ht="20.100000000000001" customHeight="1" x14ac:dyDescent="0.2">
      <c r="A79" s="493">
        <v>5461</v>
      </c>
      <c r="B79" s="35" t="s">
        <v>348</v>
      </c>
      <c r="C79" s="102"/>
      <c r="D79" s="91">
        <v>57.2</v>
      </c>
      <c r="E79" s="56">
        <f t="shared" si="33"/>
        <v>0</v>
      </c>
      <c r="F79" s="41"/>
      <c r="G79" s="40"/>
      <c r="H79" s="41"/>
      <c r="I79" s="41"/>
      <c r="J79" s="58"/>
      <c r="K79" s="62">
        <f t="shared" si="34"/>
        <v>0</v>
      </c>
      <c r="L79" s="482">
        <f t="shared" si="35"/>
        <v>0</v>
      </c>
      <c r="M79" s="64">
        <f t="shared" si="36"/>
        <v>0</v>
      </c>
      <c r="N79" s="243" t="e">
        <f t="shared" si="37"/>
        <v>#DIV/0!</v>
      </c>
      <c r="S79" s="468">
        <f t="shared" si="29"/>
        <v>0</v>
      </c>
      <c r="T79" s="468">
        <f t="shared" si="30"/>
        <v>0</v>
      </c>
      <c r="U79" s="468">
        <f t="shared" si="31"/>
        <v>0</v>
      </c>
      <c r="V79" s="468">
        <f t="shared" si="32"/>
        <v>0</v>
      </c>
    </row>
    <row r="80" spans="1:22" s="6" customFormat="1" ht="20.100000000000001" customHeight="1" x14ac:dyDescent="0.2">
      <c r="A80" s="493">
        <v>5449</v>
      </c>
      <c r="B80" s="35" t="s">
        <v>604</v>
      </c>
      <c r="C80" s="102"/>
      <c r="D80" s="91">
        <v>109.8</v>
      </c>
      <c r="E80" s="56">
        <f>D80*C80</f>
        <v>0</v>
      </c>
      <c r="F80" s="41"/>
      <c r="G80" s="40"/>
      <c r="H80" s="41"/>
      <c r="I80" s="41"/>
      <c r="J80" s="58"/>
      <c r="K80" s="62">
        <f>G80+H80+I80+J80</f>
        <v>0</v>
      </c>
      <c r="L80" s="482">
        <f>D80*K80</f>
        <v>0</v>
      </c>
      <c r="M80" s="64">
        <f>F80-K80</f>
        <v>0</v>
      </c>
      <c r="N80" s="243" t="e">
        <f>K80/C80</f>
        <v>#DIV/0!</v>
      </c>
      <c r="S80" s="468">
        <f t="shared" si="29"/>
        <v>0</v>
      </c>
      <c r="T80" s="468">
        <f t="shared" si="30"/>
        <v>0</v>
      </c>
      <c r="U80" s="468">
        <f t="shared" si="31"/>
        <v>0</v>
      </c>
      <c r="V80" s="468">
        <f t="shared" si="32"/>
        <v>0</v>
      </c>
    </row>
    <row r="81" spans="1:22" s="6" customFormat="1" ht="20.100000000000001" customHeight="1" x14ac:dyDescent="0.2">
      <c r="A81" s="493" t="s">
        <v>150</v>
      </c>
      <c r="B81" s="35" t="s">
        <v>151</v>
      </c>
      <c r="C81" s="102"/>
      <c r="D81" s="91">
        <v>99.5</v>
      </c>
      <c r="E81" s="56">
        <f t="shared" si="33"/>
        <v>0</v>
      </c>
      <c r="F81" s="41"/>
      <c r="G81" s="40"/>
      <c r="H81" s="41"/>
      <c r="I81" s="41"/>
      <c r="J81" s="58"/>
      <c r="K81" s="62">
        <f>G81+H81+I81+J81</f>
        <v>0</v>
      </c>
      <c r="L81" s="482">
        <f>D81*K81</f>
        <v>0</v>
      </c>
      <c r="M81" s="64">
        <f>F81-K81</f>
        <v>0</v>
      </c>
      <c r="N81" s="243" t="e">
        <f>K81/C81</f>
        <v>#DIV/0!</v>
      </c>
      <c r="S81" s="468">
        <f t="shared" si="29"/>
        <v>0</v>
      </c>
      <c r="T81" s="468">
        <f t="shared" si="30"/>
        <v>0</v>
      </c>
      <c r="U81" s="468">
        <f t="shared" si="31"/>
        <v>0</v>
      </c>
      <c r="V81" s="468">
        <f t="shared" si="32"/>
        <v>0</v>
      </c>
    </row>
    <row r="82" spans="1:22" s="6" customFormat="1" ht="20.100000000000001" customHeight="1" x14ac:dyDescent="0.2">
      <c r="A82" s="493">
        <v>4656</v>
      </c>
      <c r="B82" s="35" t="s">
        <v>152</v>
      </c>
      <c r="C82" s="102"/>
      <c r="D82" s="91">
        <v>99.5</v>
      </c>
      <c r="E82" s="56">
        <f t="shared" si="33"/>
        <v>0</v>
      </c>
      <c r="F82" s="41"/>
      <c r="G82" s="40"/>
      <c r="H82" s="41"/>
      <c r="I82" s="41"/>
      <c r="J82" s="58"/>
      <c r="K82" s="62">
        <f t="shared" si="34"/>
        <v>0</v>
      </c>
      <c r="L82" s="482">
        <f t="shared" si="35"/>
        <v>0</v>
      </c>
      <c r="M82" s="64">
        <f t="shared" si="36"/>
        <v>0</v>
      </c>
      <c r="N82" s="243" t="e">
        <f t="shared" si="37"/>
        <v>#DIV/0!</v>
      </c>
      <c r="S82" s="468">
        <f t="shared" si="29"/>
        <v>0</v>
      </c>
      <c r="T82" s="468">
        <f t="shared" si="30"/>
        <v>0</v>
      </c>
      <c r="U82" s="468">
        <f t="shared" si="31"/>
        <v>0</v>
      </c>
      <c r="V82" s="468">
        <f t="shared" si="32"/>
        <v>0</v>
      </c>
    </row>
    <row r="83" spans="1:22" s="6" customFormat="1" ht="20.100000000000001" customHeight="1" x14ac:dyDescent="0.2">
      <c r="A83" s="493"/>
      <c r="B83" s="35"/>
      <c r="C83" s="102"/>
      <c r="D83" s="91"/>
      <c r="E83" s="56">
        <f t="shared" si="33"/>
        <v>0</v>
      </c>
      <c r="F83" s="41"/>
      <c r="G83" s="40"/>
      <c r="H83" s="41"/>
      <c r="I83" s="41"/>
      <c r="J83" s="58"/>
      <c r="K83" s="62">
        <f t="shared" si="34"/>
        <v>0</v>
      </c>
      <c r="L83" s="482">
        <f t="shared" si="35"/>
        <v>0</v>
      </c>
      <c r="M83" s="64">
        <f t="shared" si="36"/>
        <v>0</v>
      </c>
      <c r="N83" s="243" t="e">
        <f t="shared" si="37"/>
        <v>#DIV/0!</v>
      </c>
      <c r="S83" s="468">
        <f t="shared" si="29"/>
        <v>0</v>
      </c>
      <c r="T83" s="468">
        <f t="shared" si="30"/>
        <v>0</v>
      </c>
      <c r="U83" s="468">
        <f t="shared" si="31"/>
        <v>0</v>
      </c>
      <c r="V83" s="468">
        <f t="shared" si="32"/>
        <v>0</v>
      </c>
    </row>
    <row r="84" spans="1:22" s="6" customFormat="1" ht="20.100000000000001" customHeight="1" x14ac:dyDescent="0.2">
      <c r="A84" s="493">
        <v>4717</v>
      </c>
      <c r="B84" s="35" t="s">
        <v>153</v>
      </c>
      <c r="C84" s="102"/>
      <c r="D84" s="91">
        <v>362</v>
      </c>
      <c r="E84" s="56">
        <f>D84*C84</f>
        <v>0</v>
      </c>
      <c r="F84" s="41"/>
      <c r="G84" s="40"/>
      <c r="H84" s="41"/>
      <c r="I84" s="41"/>
      <c r="J84" s="58"/>
      <c r="K84" s="62">
        <f>G84+H84+I84+J84</f>
        <v>0</v>
      </c>
      <c r="L84" s="482">
        <f>D84*K84</f>
        <v>0</v>
      </c>
      <c r="M84" s="64">
        <f>F84-K84</f>
        <v>0</v>
      </c>
      <c r="N84" s="243" t="e">
        <f>K84/C84</f>
        <v>#DIV/0!</v>
      </c>
      <c r="S84" s="468">
        <f t="shared" si="29"/>
        <v>0</v>
      </c>
      <c r="T84" s="468">
        <f t="shared" si="30"/>
        <v>0</v>
      </c>
      <c r="U84" s="468">
        <f t="shared" si="31"/>
        <v>0</v>
      </c>
      <c r="V84" s="468">
        <f t="shared" si="32"/>
        <v>0</v>
      </c>
    </row>
    <row r="85" spans="1:22" s="6" customFormat="1" ht="20.100000000000001" customHeight="1" x14ac:dyDescent="0.2">
      <c r="A85" s="68"/>
      <c r="B85" s="244"/>
      <c r="C85" s="265"/>
      <c r="D85" s="248"/>
      <c r="E85" s="56">
        <f t="shared" si="33"/>
        <v>0</v>
      </c>
      <c r="F85" s="267"/>
      <c r="G85" s="42"/>
      <c r="H85" s="43"/>
      <c r="I85" s="43"/>
      <c r="J85" s="59"/>
      <c r="K85" s="62">
        <f t="shared" si="34"/>
        <v>0</v>
      </c>
      <c r="L85" s="482">
        <f t="shared" si="35"/>
        <v>0</v>
      </c>
      <c r="M85" s="64">
        <f t="shared" si="36"/>
        <v>0</v>
      </c>
      <c r="N85" s="243" t="e">
        <f t="shared" si="37"/>
        <v>#DIV/0!</v>
      </c>
      <c r="S85" s="468">
        <f t="shared" si="29"/>
        <v>0</v>
      </c>
      <c r="T85" s="468">
        <f t="shared" si="30"/>
        <v>0</v>
      </c>
      <c r="U85" s="468">
        <f t="shared" si="31"/>
        <v>0</v>
      </c>
      <c r="V85" s="468">
        <f t="shared" si="32"/>
        <v>0</v>
      </c>
    </row>
    <row r="86" spans="1:22" s="6" customFormat="1" ht="20.100000000000001" customHeight="1" x14ac:dyDescent="0.2">
      <c r="A86" s="68"/>
      <c r="B86" s="244"/>
      <c r="C86" s="46"/>
      <c r="D86" s="453"/>
      <c r="E86" s="56">
        <f>D86*C86</f>
        <v>0</v>
      </c>
      <c r="F86" s="267"/>
      <c r="G86" s="42"/>
      <c r="H86" s="43"/>
      <c r="I86" s="43"/>
      <c r="J86" s="59"/>
      <c r="K86" s="62">
        <f>G86+H86+I86+J86</f>
        <v>0</v>
      </c>
      <c r="L86" s="482">
        <f>D86*K86</f>
        <v>0</v>
      </c>
      <c r="M86" s="64">
        <f>F86-K86</f>
        <v>0</v>
      </c>
      <c r="N86" s="243" t="e">
        <f>K86/C86</f>
        <v>#DIV/0!</v>
      </c>
      <c r="S86" s="468">
        <f t="shared" si="29"/>
        <v>0</v>
      </c>
      <c r="T86" s="468">
        <f t="shared" si="30"/>
        <v>0</v>
      </c>
      <c r="U86" s="468">
        <f t="shared" si="31"/>
        <v>0</v>
      </c>
      <c r="V86" s="468">
        <f t="shared" si="32"/>
        <v>0</v>
      </c>
    </row>
    <row r="87" spans="1:22" s="6" customFormat="1" ht="20.100000000000001" customHeight="1" x14ac:dyDescent="0.2">
      <c r="A87" s="68"/>
      <c r="B87" s="244"/>
      <c r="C87" s="46"/>
      <c r="D87" s="453"/>
      <c r="E87" s="56">
        <f>D87*C87</f>
        <v>0</v>
      </c>
      <c r="F87" s="267"/>
      <c r="G87" s="42"/>
      <c r="H87" s="43"/>
      <c r="I87" s="43"/>
      <c r="J87" s="59"/>
      <c r="K87" s="62">
        <f>G87+H87+I87+J87</f>
        <v>0</v>
      </c>
      <c r="L87" s="482">
        <f>D87*K87</f>
        <v>0</v>
      </c>
      <c r="M87" s="64">
        <f>F87-K87</f>
        <v>0</v>
      </c>
      <c r="N87" s="243" t="e">
        <f>K87/C87</f>
        <v>#DIV/0!</v>
      </c>
      <c r="S87" s="468">
        <f t="shared" si="29"/>
        <v>0</v>
      </c>
      <c r="T87" s="468">
        <f t="shared" si="30"/>
        <v>0</v>
      </c>
      <c r="U87" s="468">
        <f t="shared" si="31"/>
        <v>0</v>
      </c>
      <c r="V87" s="468">
        <f t="shared" si="32"/>
        <v>0</v>
      </c>
    </row>
    <row r="88" spans="1:22" s="6" customFormat="1" ht="20.100000000000001" customHeight="1" x14ac:dyDescent="0.2">
      <c r="A88" s="68"/>
      <c r="B88" s="244"/>
      <c r="C88" s="265"/>
      <c r="D88" s="248"/>
      <c r="E88" s="56">
        <f t="shared" si="33"/>
        <v>0</v>
      </c>
      <c r="F88" s="267"/>
      <c r="G88" s="42"/>
      <c r="H88" s="43"/>
      <c r="I88" s="43"/>
      <c r="J88" s="59"/>
      <c r="K88" s="62">
        <f t="shared" si="34"/>
        <v>0</v>
      </c>
      <c r="L88" s="482">
        <f t="shared" ref="L88" si="38">D88*K88</f>
        <v>0</v>
      </c>
      <c r="M88" s="64">
        <f t="shared" ref="M88:M89" si="39">F88-K88</f>
        <v>0</v>
      </c>
      <c r="N88" s="243" t="e">
        <f t="shared" ref="N88:N89" si="40">K88/C88</f>
        <v>#DIV/0!</v>
      </c>
      <c r="S88" s="468">
        <f t="shared" si="29"/>
        <v>0</v>
      </c>
      <c r="T88" s="468">
        <f t="shared" si="30"/>
        <v>0</v>
      </c>
      <c r="U88" s="468">
        <f t="shared" si="31"/>
        <v>0</v>
      </c>
      <c r="V88" s="468">
        <f t="shared" si="32"/>
        <v>0</v>
      </c>
    </row>
    <row r="89" spans="1:22" s="6" customFormat="1" ht="20.100000000000001" customHeight="1" x14ac:dyDescent="0.2">
      <c r="A89" s="493"/>
      <c r="B89" s="35" t="s">
        <v>131</v>
      </c>
      <c r="C89" s="102"/>
      <c r="D89" s="91">
        <v>696.3</v>
      </c>
      <c r="E89" s="56">
        <f t="shared" si="33"/>
        <v>0</v>
      </c>
      <c r="F89" s="41"/>
      <c r="G89" s="40"/>
      <c r="H89" s="41"/>
      <c r="I89" s="41"/>
      <c r="J89" s="58"/>
      <c r="K89" s="62">
        <f>G89+H89+I89+J89</f>
        <v>0</v>
      </c>
      <c r="L89" s="482">
        <f t="shared" si="35"/>
        <v>0</v>
      </c>
      <c r="M89" s="64">
        <f t="shared" si="39"/>
        <v>0</v>
      </c>
      <c r="N89" s="243" t="e">
        <f t="shared" si="40"/>
        <v>#DIV/0!</v>
      </c>
      <c r="S89" s="468">
        <f t="shared" si="29"/>
        <v>0</v>
      </c>
      <c r="T89" s="468">
        <f t="shared" si="30"/>
        <v>0</v>
      </c>
      <c r="U89" s="468">
        <f t="shared" si="31"/>
        <v>0</v>
      </c>
      <c r="V89" s="468">
        <f t="shared" si="32"/>
        <v>0</v>
      </c>
    </row>
    <row r="90" spans="1:22" s="6" customFormat="1" ht="20.100000000000001" customHeight="1" x14ac:dyDescent="0.2">
      <c r="A90" s="493"/>
      <c r="B90" s="35" t="s">
        <v>31</v>
      </c>
      <c r="C90" s="102"/>
      <c r="D90" s="91">
        <v>1500</v>
      </c>
      <c r="E90" s="56">
        <f t="shared" si="33"/>
        <v>0</v>
      </c>
      <c r="F90" s="41"/>
      <c r="G90" s="40"/>
      <c r="H90" s="41">
        <f>1+5</f>
        <v>6</v>
      </c>
      <c r="I90" s="41"/>
      <c r="J90" s="58"/>
      <c r="K90" s="62">
        <f t="shared" si="34"/>
        <v>6</v>
      </c>
      <c r="L90" s="482">
        <f t="shared" si="35"/>
        <v>9000</v>
      </c>
      <c r="M90" s="64">
        <f t="shared" si="36"/>
        <v>-6</v>
      </c>
      <c r="N90" s="243" t="e">
        <f t="shared" si="37"/>
        <v>#DIV/0!</v>
      </c>
      <c r="S90" s="468">
        <f t="shared" si="29"/>
        <v>0</v>
      </c>
      <c r="T90" s="468">
        <f t="shared" si="30"/>
        <v>9000</v>
      </c>
      <c r="U90" s="468">
        <f t="shared" si="31"/>
        <v>0</v>
      </c>
      <c r="V90" s="468">
        <f t="shared" si="32"/>
        <v>0</v>
      </c>
    </row>
    <row r="91" spans="1:22" s="6" customFormat="1" ht="20.100000000000001" customHeight="1" x14ac:dyDescent="0.2">
      <c r="A91" s="493"/>
      <c r="B91" s="35" t="s">
        <v>29</v>
      </c>
      <c r="C91" s="102"/>
      <c r="D91" s="91">
        <v>600</v>
      </c>
      <c r="E91" s="56">
        <f t="shared" si="33"/>
        <v>0</v>
      </c>
      <c r="F91" s="41"/>
      <c r="G91" s="40"/>
      <c r="H91" s="41"/>
      <c r="I91" s="41"/>
      <c r="J91" s="58"/>
      <c r="K91" s="62">
        <f t="shared" si="34"/>
        <v>0</v>
      </c>
      <c r="L91" s="482">
        <f>D91*K91</f>
        <v>0</v>
      </c>
      <c r="M91" s="64">
        <f t="shared" si="36"/>
        <v>0</v>
      </c>
      <c r="N91" s="243" t="e">
        <f>K91/C91</f>
        <v>#DIV/0!</v>
      </c>
      <c r="S91" s="468">
        <f t="shared" si="29"/>
        <v>0</v>
      </c>
      <c r="T91" s="468">
        <f t="shared" si="30"/>
        <v>0</v>
      </c>
      <c r="U91" s="468">
        <f t="shared" si="31"/>
        <v>0</v>
      </c>
      <c r="V91" s="468">
        <f t="shared" si="32"/>
        <v>0</v>
      </c>
    </row>
    <row r="92" spans="1:22" s="6" customFormat="1" ht="20.100000000000001" customHeight="1" x14ac:dyDescent="0.2">
      <c r="A92" s="68"/>
      <c r="B92" s="244"/>
      <c r="C92" s="265"/>
      <c r="D92" s="248"/>
      <c r="E92" s="56">
        <f t="shared" si="33"/>
        <v>0</v>
      </c>
      <c r="F92" s="267"/>
      <c r="G92" s="42"/>
      <c r="H92" s="43"/>
      <c r="I92" s="43"/>
      <c r="J92" s="59"/>
      <c r="K92" s="62">
        <f t="shared" si="34"/>
        <v>0</v>
      </c>
      <c r="L92" s="482">
        <f>D92*K92</f>
        <v>0</v>
      </c>
      <c r="M92" s="64">
        <f t="shared" si="36"/>
        <v>0</v>
      </c>
      <c r="N92" s="243" t="e">
        <f>K92/C92</f>
        <v>#DIV/0!</v>
      </c>
      <c r="S92" s="468">
        <f t="shared" si="29"/>
        <v>0</v>
      </c>
      <c r="T92" s="468">
        <f t="shared" si="30"/>
        <v>0</v>
      </c>
      <c r="U92" s="468">
        <f t="shared" si="31"/>
        <v>0</v>
      </c>
      <c r="V92" s="468">
        <f t="shared" si="32"/>
        <v>0</v>
      </c>
    </row>
    <row r="93" spans="1:22" s="6" customFormat="1" ht="20.100000000000001" customHeight="1" thickBot="1" x14ac:dyDescent="0.25">
      <c r="A93" s="68"/>
      <c r="B93" s="39" t="s">
        <v>18</v>
      </c>
      <c r="C93" s="104">
        <v>1</v>
      </c>
      <c r="D93" s="94">
        <v>1695</v>
      </c>
      <c r="E93" s="56">
        <f t="shared" si="33"/>
        <v>1695</v>
      </c>
      <c r="F93" s="41">
        <v>1</v>
      </c>
      <c r="G93" s="42"/>
      <c r="H93" s="43"/>
      <c r="I93" s="43"/>
      <c r="J93" s="59"/>
      <c r="K93" s="62">
        <f t="shared" si="34"/>
        <v>0</v>
      </c>
      <c r="L93" s="482">
        <f>D93*K93</f>
        <v>0</v>
      </c>
      <c r="M93" s="64">
        <f t="shared" si="36"/>
        <v>1</v>
      </c>
      <c r="N93" s="243">
        <f t="shared" si="37"/>
        <v>0</v>
      </c>
      <c r="S93" s="468">
        <f t="shared" si="29"/>
        <v>0</v>
      </c>
      <c r="T93" s="468">
        <f t="shared" si="30"/>
        <v>0</v>
      </c>
      <c r="U93" s="468">
        <f t="shared" si="31"/>
        <v>0</v>
      </c>
      <c r="V93" s="468">
        <f t="shared" si="32"/>
        <v>0</v>
      </c>
    </row>
    <row r="94" spans="1:22" s="6" customFormat="1" ht="20.100000000000001" customHeight="1" thickBot="1" x14ac:dyDescent="0.25">
      <c r="A94" s="84"/>
      <c r="B94" s="84"/>
      <c r="C94" s="84"/>
      <c r="D94" s="84"/>
      <c r="E94" s="84"/>
      <c r="F94" s="18"/>
      <c r="G94" s="20"/>
      <c r="H94" s="20"/>
      <c r="I94" s="20"/>
      <c r="J94" s="20"/>
      <c r="K94" s="18"/>
      <c r="L94" s="484"/>
      <c r="M94" s="73"/>
      <c r="S94" s="468">
        <f t="shared" si="29"/>
        <v>0</v>
      </c>
      <c r="T94" s="468">
        <f t="shared" si="30"/>
        <v>0</v>
      </c>
      <c r="U94" s="468">
        <f t="shared" si="31"/>
        <v>0</v>
      </c>
      <c r="V94" s="468">
        <f t="shared" si="32"/>
        <v>0</v>
      </c>
    </row>
    <row r="95" spans="1:22" s="6" customFormat="1" ht="20.100000000000001" customHeight="1" thickBot="1" x14ac:dyDescent="0.3">
      <c r="A95" s="12"/>
      <c r="B95" s="574" t="s">
        <v>19</v>
      </c>
      <c r="C95" s="575"/>
      <c r="D95" s="576"/>
      <c r="E95" s="66">
        <f>SUM(E7:E93)</f>
        <v>1905228.35</v>
      </c>
      <c r="F95" s="467"/>
      <c r="G95" s="479">
        <f>S95/E95</f>
        <v>0.24847068856601887</v>
      </c>
      <c r="H95" s="479">
        <f>T95/E95</f>
        <v>0.15955494258732816</v>
      </c>
      <c r="I95" s="479">
        <f>U95/E95</f>
        <v>0</v>
      </c>
      <c r="J95" s="479">
        <f>V95/E95</f>
        <v>0</v>
      </c>
      <c r="K95" s="466" t="s">
        <v>28</v>
      </c>
      <c r="L95" s="25">
        <f>SUM(L7:L94)</f>
        <v>777382</v>
      </c>
      <c r="M95" s="470">
        <f>L95/E95</f>
        <v>0.40802563115334706</v>
      </c>
      <c r="S95" s="469">
        <f>SUM(S7:S93)</f>
        <v>473393.4</v>
      </c>
      <c r="T95" s="469">
        <f t="shared" ref="T95:V95" si="41">SUM(T7:T93)</f>
        <v>303988.59999999998</v>
      </c>
      <c r="U95" s="469">
        <f t="shared" si="41"/>
        <v>0</v>
      </c>
      <c r="V95" s="469">
        <f t="shared" si="41"/>
        <v>0</v>
      </c>
    </row>
    <row r="96" spans="1:22" s="6" customFormat="1" ht="20.100000000000001" customHeight="1" thickBot="1" x14ac:dyDescent="0.3">
      <c r="A96" s="13"/>
      <c r="B96" s="559" t="s">
        <v>20</v>
      </c>
      <c r="C96" s="560"/>
      <c r="D96" s="561"/>
      <c r="E96" s="66">
        <f>'июнь 2019'!F157</f>
        <v>4315275.7</v>
      </c>
      <c r="F96" s="467"/>
      <c r="G96" s="480">
        <f>'июнь 2019'!H157</f>
        <v>8.9151893585848983E-3</v>
      </c>
      <c r="H96" s="480">
        <f>'июнь 2019'!I157</f>
        <v>1.6367042318987869E-2</v>
      </c>
      <c r="I96" s="480">
        <f>'июнь 2019'!J157</f>
        <v>0</v>
      </c>
      <c r="J96" s="478">
        <f>'июнь 2019'!K157</f>
        <v>0</v>
      </c>
      <c r="K96" s="466" t="s">
        <v>28</v>
      </c>
      <c r="L96" s="25">
        <f>'июнь 2019'!L157</f>
        <v>112525.2</v>
      </c>
      <c r="M96" s="470">
        <f>L96/E96</f>
        <v>2.6076016417676394E-2</v>
      </c>
    </row>
    <row r="97" spans="1:14" s="6" customFormat="1" ht="20.100000000000001" customHeight="1" thickBot="1" x14ac:dyDescent="0.35">
      <c r="A97" s="10"/>
      <c r="B97" s="565" t="s">
        <v>21</v>
      </c>
      <c r="C97" s="566"/>
      <c r="D97" s="567"/>
      <c r="E97" s="67">
        <f>SUM(E95:E96)</f>
        <v>6220504.0500000007</v>
      </c>
      <c r="F97" s="467"/>
      <c r="G97" s="480">
        <f>(S95+'июнь 2019'!H157)/E97</f>
        <v>7.6102098014901115E-2</v>
      </c>
      <c r="H97" s="480">
        <f>(T95+'июнь 2019'!I157)/E97</f>
        <v>4.886880772419757E-2</v>
      </c>
      <c r="I97" s="480">
        <f>(U95+'июнь 2019'!J157)/E97</f>
        <v>0</v>
      </c>
      <c r="J97" s="478">
        <f>(V95+'июнь 2019'!K157)/E97</f>
        <v>0</v>
      </c>
      <c r="K97" s="466" t="s">
        <v>28</v>
      </c>
      <c r="L97" s="71">
        <f>SUM(L95:L96)</f>
        <v>889907.19999999995</v>
      </c>
      <c r="M97" s="471">
        <f>L97/E97</f>
        <v>0.14306030393147962</v>
      </c>
    </row>
    <row r="98" spans="1:14" s="6" customFormat="1" ht="20.100000000000001" customHeight="1" x14ac:dyDescent="0.2">
      <c r="A98" s="10"/>
      <c r="B98" s="10"/>
      <c r="C98" s="10"/>
      <c r="D98" s="10"/>
      <c r="E98" s="10"/>
      <c r="F98" s="13"/>
      <c r="G98" s="13"/>
      <c r="H98" s="13"/>
      <c r="I98" s="13" t="s">
        <v>25</v>
      </c>
      <c r="J98" s="13"/>
      <c r="K98" s="13"/>
      <c r="L98" s="240"/>
      <c r="M98" s="51"/>
      <c r="N98" s="23"/>
    </row>
    <row r="99" spans="1:14" s="6" customFormat="1" ht="20.100000000000001" customHeight="1" thickBot="1" x14ac:dyDescent="0.25">
      <c r="A99" s="10"/>
      <c r="B99" s="10"/>
      <c r="C99" s="14"/>
      <c r="D99" s="10"/>
      <c r="E99" s="10"/>
      <c r="F99" s="14"/>
      <c r="G99" s="14"/>
      <c r="H99" s="14"/>
      <c r="I99" s="26" t="s">
        <v>27</v>
      </c>
      <c r="J99" s="14"/>
      <c r="K99" s="14"/>
      <c r="L99" s="87"/>
      <c r="M99" s="52"/>
      <c r="N99" s="23"/>
    </row>
    <row r="100" spans="1:14" s="6" customFormat="1" ht="20.100000000000001" customHeight="1" thickBot="1" x14ac:dyDescent="0.25">
      <c r="A100" s="10"/>
      <c r="B100" s="10"/>
      <c r="C100" s="10"/>
      <c r="D100" s="10"/>
      <c r="E100" s="10"/>
      <c r="F100" s="13"/>
      <c r="G100" s="13"/>
      <c r="H100" s="13"/>
      <c r="I100" s="31" t="s">
        <v>26</v>
      </c>
      <c r="J100" s="13"/>
      <c r="K100" s="13"/>
      <c r="L100" s="71">
        <f>L97+L98+L99</f>
        <v>889907.19999999995</v>
      </c>
      <c r="M100" s="63"/>
      <c r="N100" s="23"/>
    </row>
    <row r="101" spans="1:14" s="6" customFormat="1" ht="20.100000000000001" customHeight="1" x14ac:dyDescent="0.2">
      <c r="A101" s="15"/>
      <c r="B101" s="11"/>
      <c r="C101" s="15"/>
      <c r="D101" s="236" t="s">
        <v>24</v>
      </c>
      <c r="E101" s="17"/>
      <c r="F101" s="19"/>
      <c r="G101" s="21"/>
      <c r="H101" s="13"/>
      <c r="I101" s="13"/>
      <c r="J101" s="13"/>
      <c r="K101" s="13"/>
      <c r="L101" s="23"/>
    </row>
    <row r="102" spans="1:14" s="6" customFormat="1" ht="20.100000000000001" customHeight="1" x14ac:dyDescent="0.2">
      <c r="A102" s="10"/>
      <c r="B102" s="10"/>
      <c r="C102" s="10"/>
      <c r="D102" s="10"/>
      <c r="E102" s="10"/>
      <c r="F102" s="13"/>
      <c r="G102" s="13"/>
      <c r="H102" s="13"/>
      <c r="I102" s="13"/>
      <c r="J102" s="13"/>
      <c r="K102" s="13"/>
    </row>
    <row r="103" spans="1:14" s="6" customFormat="1" ht="20.100000000000001" customHeight="1" x14ac:dyDescent="0.2">
      <c r="A103" s="10"/>
      <c r="B103" s="10"/>
      <c r="C103" s="255">
        <v>1000</v>
      </c>
      <c r="D103" s="254" t="s">
        <v>140</v>
      </c>
      <c r="E103" s="251"/>
      <c r="F103" s="13"/>
      <c r="G103" s="13"/>
      <c r="H103" s="13"/>
      <c r="I103" s="13"/>
      <c r="J103" s="13"/>
      <c r="K103" s="13"/>
    </row>
    <row r="104" spans="1:14" s="6" customFormat="1" ht="20.100000000000001" customHeight="1" x14ac:dyDescent="0.2">
      <c r="A104" s="10"/>
      <c r="B104" s="10"/>
      <c r="C104" s="10"/>
      <c r="D104" s="10"/>
      <c r="E104" s="10"/>
      <c r="F104" s="13"/>
      <c r="G104" s="13"/>
      <c r="H104" s="13"/>
      <c r="I104" s="13"/>
      <c r="K104" s="13"/>
      <c r="L104" s="24"/>
    </row>
    <row r="105" spans="1:14" s="6" customFormat="1" ht="20.100000000000001" customHeight="1" x14ac:dyDescent="0.2">
      <c r="A105" s="10"/>
      <c r="B105" s="10"/>
      <c r="C105" s="10"/>
      <c r="D105" s="10"/>
      <c r="E105" s="10"/>
      <c r="F105" s="13"/>
      <c r="G105" s="13"/>
      <c r="H105" s="13"/>
      <c r="I105" s="13"/>
      <c r="J105" s="13"/>
      <c r="K105" s="13"/>
      <c r="L105" s="23"/>
    </row>
    <row r="106" spans="1:14" s="6" customFormat="1" ht="20.100000000000001" customHeight="1" x14ac:dyDescent="0.2">
      <c r="A106" s="10"/>
      <c r="B106" s="10"/>
      <c r="C106" s="10"/>
      <c r="D106" s="10"/>
      <c r="E106" s="10"/>
      <c r="F106" s="13"/>
      <c r="G106" s="13"/>
      <c r="H106" s="13"/>
      <c r="I106" s="13"/>
      <c r="J106" s="13"/>
      <c r="K106" s="13"/>
      <c r="L106" s="23"/>
    </row>
    <row r="107" spans="1:14" s="6" customFormat="1" ht="20.100000000000001" customHeight="1" x14ac:dyDescent="0.2">
      <c r="A107" s="10"/>
      <c r="B107" s="10"/>
      <c r="C107" s="10"/>
      <c r="D107" s="10"/>
      <c r="E107" s="10"/>
      <c r="F107" s="13"/>
      <c r="G107" s="13"/>
      <c r="H107" s="13"/>
      <c r="I107" s="13"/>
      <c r="J107" s="13"/>
      <c r="K107" s="13"/>
      <c r="L107" s="23"/>
    </row>
    <row r="108" spans="1:14" s="6" customFormat="1" ht="15" customHeight="1" x14ac:dyDescent="0.2">
      <c r="A108" s="10"/>
      <c r="B108" s="10"/>
      <c r="C108" s="10"/>
      <c r="D108" s="10"/>
      <c r="E108" s="10"/>
      <c r="F108" s="13"/>
      <c r="G108" s="13"/>
      <c r="H108" s="13"/>
      <c r="I108" s="13"/>
      <c r="J108" s="13"/>
      <c r="K108" s="13"/>
      <c r="L108" s="23"/>
    </row>
    <row r="109" spans="1:14" s="6" customFormat="1" ht="15" customHeight="1" x14ac:dyDescent="0.2">
      <c r="A109" s="10"/>
      <c r="B109" s="10"/>
      <c r="C109" s="10"/>
      <c r="D109" s="10"/>
      <c r="E109" s="10"/>
      <c r="F109" s="13"/>
      <c r="G109" s="13"/>
      <c r="H109" s="13"/>
      <c r="I109" s="13"/>
      <c r="J109" s="13"/>
      <c r="K109" s="13"/>
      <c r="L109" s="13"/>
    </row>
    <row r="110" spans="1:14" s="7" customFormat="1" ht="15" customHeight="1" x14ac:dyDescent="0.2">
      <c r="A110" s="10"/>
      <c r="B110" s="10"/>
      <c r="C110" s="10"/>
      <c r="D110" s="10"/>
      <c r="E110" s="10"/>
      <c r="F110" s="13"/>
      <c r="G110" s="13"/>
      <c r="H110" s="13"/>
      <c r="I110" s="13"/>
      <c r="J110" s="13"/>
      <c r="K110" s="13"/>
      <c r="L110" s="10"/>
    </row>
    <row r="111" spans="1:14" s="8" customFormat="1" ht="15" customHeight="1" x14ac:dyDescent="0.2">
      <c r="A111" s="10"/>
      <c r="B111" s="10"/>
      <c r="C111" s="10"/>
      <c r="D111" s="10"/>
      <c r="E111" s="10"/>
      <c r="F111" s="13"/>
      <c r="G111" s="13"/>
      <c r="H111" s="13"/>
      <c r="I111" s="13"/>
      <c r="J111" s="13"/>
      <c r="K111" s="13"/>
      <c r="L111" s="10"/>
    </row>
    <row r="112" spans="1:14" s="8" customFormat="1" ht="15" customHeight="1" x14ac:dyDescent="0.2">
      <c r="A112" s="10"/>
      <c r="B112" s="10"/>
      <c r="C112" s="10"/>
      <c r="D112" s="10"/>
      <c r="E112" s="10"/>
      <c r="F112" s="13"/>
      <c r="G112" s="13"/>
      <c r="H112" s="13"/>
      <c r="I112" s="13"/>
      <c r="J112" s="13"/>
      <c r="K112" s="13"/>
      <c r="L112" s="9"/>
    </row>
    <row r="113" spans="1:16" ht="15" customHeight="1" x14ac:dyDescent="0.25">
      <c r="A113" s="10"/>
      <c r="B113" s="10"/>
      <c r="C113" s="10"/>
      <c r="D113" s="10"/>
      <c r="E113" s="10"/>
      <c r="F113" s="13"/>
      <c r="G113" s="13"/>
      <c r="H113" s="13"/>
      <c r="I113" s="13"/>
      <c r="J113" s="13"/>
      <c r="K113" s="13"/>
    </row>
    <row r="114" spans="1:16" s="9" customFormat="1" ht="15" customHeight="1" x14ac:dyDescent="0.25">
      <c r="A114" s="10"/>
      <c r="B114" s="10"/>
      <c r="C114" s="10"/>
      <c r="D114" s="10"/>
      <c r="E114" s="10"/>
      <c r="F114" s="13"/>
      <c r="G114" s="13"/>
      <c r="H114" s="13"/>
      <c r="I114" s="13"/>
      <c r="J114" s="13"/>
      <c r="K114" s="13"/>
      <c r="M114" s="4"/>
      <c r="N114" s="4"/>
      <c r="O114" s="5"/>
      <c r="P114" s="5"/>
    </row>
    <row r="115" spans="1:16" s="9" customFormat="1" ht="15" customHeight="1" x14ac:dyDescent="0.25">
      <c r="A115" s="10"/>
      <c r="B115" s="10"/>
      <c r="C115" s="10"/>
      <c r="D115" s="10"/>
      <c r="E115" s="10"/>
      <c r="F115" s="13"/>
      <c r="G115" s="13"/>
      <c r="H115" s="13"/>
      <c r="I115" s="13"/>
      <c r="J115" s="13"/>
      <c r="K115" s="13"/>
      <c r="M115" s="4"/>
      <c r="N115" s="4"/>
      <c r="O115" s="5"/>
      <c r="P115" s="5"/>
    </row>
    <row r="116" spans="1:16" s="9" customFormat="1" ht="15" customHeight="1" x14ac:dyDescent="0.25">
      <c r="A116" s="10"/>
      <c r="B116" s="10"/>
      <c r="C116" s="10"/>
      <c r="D116" s="10"/>
      <c r="E116" s="10"/>
      <c r="F116" s="13"/>
      <c r="G116" s="13"/>
      <c r="H116" s="13"/>
      <c r="I116" s="13"/>
      <c r="J116" s="13"/>
      <c r="K116" s="13"/>
      <c r="M116" s="4"/>
      <c r="N116" s="4"/>
      <c r="O116" s="5"/>
      <c r="P116" s="5"/>
    </row>
    <row r="117" spans="1:16" s="9" customFormat="1" ht="15" customHeight="1" x14ac:dyDescent="0.25">
      <c r="A117" s="10"/>
      <c r="B117" s="10"/>
      <c r="C117" s="10"/>
      <c r="D117" s="10"/>
      <c r="E117" s="10"/>
      <c r="F117" s="13"/>
      <c r="G117" s="13"/>
      <c r="H117" s="13"/>
      <c r="I117" s="13"/>
      <c r="J117" s="13"/>
      <c r="K117" s="13"/>
      <c r="M117" s="4"/>
      <c r="N117" s="4"/>
      <c r="O117" s="5"/>
      <c r="P117" s="5"/>
    </row>
    <row r="118" spans="1:16" s="9" customFormat="1" ht="15" customHeight="1" x14ac:dyDescent="0.25">
      <c r="A118" s="10"/>
      <c r="B118" s="10"/>
      <c r="C118" s="10"/>
      <c r="D118" s="10"/>
      <c r="E118" s="10"/>
      <c r="F118" s="13"/>
      <c r="G118" s="13"/>
      <c r="H118" s="13"/>
      <c r="I118" s="13"/>
      <c r="J118" s="13"/>
      <c r="K118" s="13"/>
      <c r="M118" s="4"/>
      <c r="N118" s="4"/>
      <c r="O118" s="5"/>
      <c r="P118" s="5"/>
    </row>
    <row r="119" spans="1:16" s="9" customFormat="1" ht="15" customHeight="1" x14ac:dyDescent="0.25">
      <c r="A119" s="10"/>
      <c r="B119" s="10"/>
      <c r="C119" s="10"/>
      <c r="D119" s="10"/>
      <c r="E119" s="10"/>
      <c r="F119" s="13"/>
      <c r="G119" s="13"/>
      <c r="H119" s="13"/>
      <c r="I119" s="13"/>
      <c r="J119" s="13"/>
      <c r="K119" s="13"/>
      <c r="M119" s="4"/>
      <c r="N119" s="4"/>
      <c r="O119" s="5"/>
      <c r="P119" s="5"/>
    </row>
    <row r="120" spans="1:16" s="9" customFormat="1" ht="15" customHeight="1" x14ac:dyDescent="0.25">
      <c r="A120" s="10"/>
      <c r="B120" s="10"/>
      <c r="C120" s="10"/>
      <c r="D120" s="10"/>
      <c r="E120" s="10"/>
      <c r="F120" s="13"/>
      <c r="G120" s="13"/>
      <c r="H120" s="13"/>
      <c r="I120" s="13"/>
      <c r="J120" s="13"/>
      <c r="K120" s="13"/>
      <c r="M120" s="4"/>
      <c r="N120" s="4"/>
      <c r="O120" s="5"/>
      <c r="P120" s="5"/>
    </row>
    <row r="121" spans="1:16" s="9" customFormat="1" ht="15" customHeight="1" x14ac:dyDescent="0.25">
      <c r="A121" s="10"/>
      <c r="B121" s="10"/>
      <c r="C121" s="10"/>
      <c r="D121" s="10"/>
      <c r="E121" s="10"/>
      <c r="F121" s="13"/>
      <c r="G121" s="13"/>
      <c r="H121" s="13"/>
      <c r="I121" s="13"/>
      <c r="J121" s="13"/>
      <c r="K121" s="13"/>
      <c r="M121" s="4"/>
      <c r="N121" s="4"/>
      <c r="O121" s="5"/>
      <c r="P121" s="5"/>
    </row>
    <row r="122" spans="1:16" s="9" customFormat="1" ht="15" customHeight="1" x14ac:dyDescent="0.25">
      <c r="A122" s="10"/>
      <c r="B122" s="10"/>
      <c r="C122" s="10"/>
      <c r="D122" s="10"/>
      <c r="E122" s="10"/>
      <c r="F122" s="13"/>
      <c r="G122" s="13"/>
      <c r="H122" s="13"/>
      <c r="I122" s="13"/>
      <c r="J122" s="13"/>
      <c r="K122" s="13"/>
      <c r="M122" s="4"/>
      <c r="N122" s="4"/>
      <c r="O122" s="5"/>
      <c r="P122" s="5"/>
    </row>
    <row r="123" spans="1:16" s="9" customFormat="1" ht="15" customHeight="1" x14ac:dyDescent="0.25">
      <c r="A123" s="10"/>
      <c r="B123" s="10"/>
      <c r="C123" s="10"/>
      <c r="D123" s="10"/>
      <c r="E123" s="10"/>
      <c r="F123" s="13"/>
      <c r="G123" s="13"/>
      <c r="H123" s="13"/>
      <c r="I123" s="13"/>
      <c r="J123" s="13"/>
      <c r="K123" s="13"/>
      <c r="M123" s="4"/>
      <c r="N123" s="4"/>
      <c r="O123" s="5"/>
      <c r="P123" s="5"/>
    </row>
    <row r="124" spans="1:16" s="9" customFormat="1" ht="15" customHeight="1" x14ac:dyDescent="0.25">
      <c r="A124" s="10"/>
      <c r="B124" s="10"/>
      <c r="C124" s="10"/>
      <c r="D124" s="10"/>
      <c r="E124" s="10"/>
      <c r="F124" s="13"/>
      <c r="G124" s="13"/>
      <c r="H124" s="13"/>
      <c r="I124" s="13"/>
      <c r="J124" s="13"/>
      <c r="K124" s="13"/>
      <c r="M124" s="4"/>
      <c r="N124" s="4"/>
      <c r="O124" s="5"/>
      <c r="P124" s="5"/>
    </row>
    <row r="125" spans="1:16" s="9" customFormat="1" ht="15" customHeight="1" x14ac:dyDescent="0.25">
      <c r="A125" s="10"/>
      <c r="B125" s="10"/>
      <c r="C125" s="10"/>
      <c r="D125" s="10"/>
      <c r="E125" s="10"/>
      <c r="F125" s="13"/>
      <c r="G125" s="13"/>
      <c r="H125" s="13"/>
      <c r="I125" s="13"/>
      <c r="J125" s="13"/>
      <c r="K125" s="13"/>
      <c r="M125" s="4"/>
      <c r="N125" s="4"/>
      <c r="O125" s="5"/>
      <c r="P125" s="5"/>
    </row>
    <row r="126" spans="1:16" s="9" customFormat="1" ht="15" customHeight="1" x14ac:dyDescent="0.25">
      <c r="A126" s="10"/>
      <c r="B126" s="10"/>
      <c r="C126" s="10"/>
      <c r="D126" s="10"/>
      <c r="E126" s="10"/>
      <c r="F126" s="13"/>
      <c r="G126" s="13"/>
      <c r="H126" s="13"/>
      <c r="I126" s="13"/>
      <c r="J126" s="13"/>
      <c r="K126" s="13"/>
      <c r="M126" s="4"/>
      <c r="N126" s="4"/>
      <c r="O126" s="5"/>
      <c r="P126" s="5"/>
    </row>
    <row r="127" spans="1:16" s="9" customFormat="1" ht="15" customHeight="1" x14ac:dyDescent="0.25">
      <c r="A127" s="10"/>
      <c r="B127" s="10"/>
      <c r="C127" s="10"/>
      <c r="D127" s="10"/>
      <c r="E127" s="10"/>
      <c r="F127" s="13"/>
      <c r="G127" s="13"/>
      <c r="H127" s="13"/>
      <c r="I127" s="13"/>
      <c r="J127" s="13"/>
      <c r="K127" s="13"/>
      <c r="M127" s="4"/>
      <c r="N127" s="4"/>
      <c r="O127" s="5"/>
      <c r="P127" s="5"/>
    </row>
    <row r="128" spans="1:16" s="9" customFormat="1" ht="15" customHeight="1" x14ac:dyDescent="0.25">
      <c r="A128" s="10"/>
      <c r="B128" s="10"/>
      <c r="C128" s="10"/>
      <c r="D128" s="10"/>
      <c r="E128" s="10"/>
      <c r="F128" s="13"/>
      <c r="G128" s="13"/>
      <c r="H128" s="13"/>
      <c r="I128" s="13"/>
      <c r="J128" s="13"/>
      <c r="K128" s="13"/>
      <c r="M128" s="4"/>
      <c r="N128" s="4"/>
      <c r="O128" s="5"/>
      <c r="P128" s="5"/>
    </row>
    <row r="129" spans="1:16" s="9" customFormat="1" ht="15" customHeight="1" x14ac:dyDescent="0.25">
      <c r="A129" s="10"/>
      <c r="B129" s="10"/>
      <c r="C129" s="10"/>
      <c r="D129" s="10"/>
      <c r="E129" s="10"/>
      <c r="F129" s="13"/>
      <c r="G129" s="13"/>
      <c r="H129" s="13"/>
      <c r="I129" s="13"/>
      <c r="J129" s="13"/>
      <c r="K129" s="13"/>
      <c r="M129" s="4"/>
      <c r="N129" s="4"/>
      <c r="O129" s="5"/>
      <c r="P129" s="5"/>
    </row>
    <row r="130" spans="1:16" s="9" customFormat="1" ht="15" customHeight="1" x14ac:dyDescent="0.25">
      <c r="A130" s="10"/>
      <c r="B130" s="10"/>
      <c r="C130" s="10"/>
      <c r="D130" s="10"/>
      <c r="E130" s="10"/>
      <c r="F130" s="13"/>
      <c r="G130" s="13"/>
      <c r="H130" s="13"/>
      <c r="I130" s="13"/>
      <c r="J130" s="13"/>
      <c r="K130" s="13"/>
      <c r="M130" s="4"/>
      <c r="N130" s="4"/>
      <c r="O130" s="5"/>
      <c r="P130" s="5"/>
    </row>
    <row r="131" spans="1:16" s="9" customFormat="1" ht="15" customHeight="1" x14ac:dyDescent="0.25">
      <c r="A131" s="10"/>
      <c r="B131" s="10"/>
      <c r="C131" s="10"/>
      <c r="D131" s="10"/>
      <c r="E131" s="10"/>
      <c r="F131" s="13"/>
      <c r="G131" s="13"/>
      <c r="H131" s="13"/>
      <c r="I131" s="13"/>
      <c r="J131" s="13"/>
      <c r="K131" s="13"/>
      <c r="M131" s="4"/>
      <c r="N131" s="4"/>
      <c r="O131" s="5"/>
      <c r="P131" s="5"/>
    </row>
    <row r="132" spans="1:16" s="9" customFormat="1" ht="15" customHeight="1" x14ac:dyDescent="0.25">
      <c r="A132" s="10"/>
      <c r="B132" s="10"/>
      <c r="C132" s="10"/>
      <c r="D132" s="10"/>
      <c r="E132" s="10"/>
      <c r="F132" s="13"/>
      <c r="G132" s="13"/>
      <c r="H132" s="13"/>
      <c r="I132" s="13"/>
      <c r="J132" s="13"/>
      <c r="K132" s="13"/>
      <c r="M132" s="4"/>
      <c r="N132" s="4"/>
      <c r="O132" s="5"/>
      <c r="P132" s="5"/>
    </row>
    <row r="133" spans="1:16" s="9" customFormat="1" ht="15" customHeight="1" x14ac:dyDescent="0.25">
      <c r="A133" s="10"/>
      <c r="B133" s="10"/>
      <c r="C133" s="10"/>
      <c r="D133" s="10"/>
      <c r="E133" s="10"/>
      <c r="F133" s="13"/>
      <c r="G133" s="13"/>
      <c r="H133" s="13"/>
      <c r="I133" s="13"/>
      <c r="J133" s="13"/>
      <c r="K133" s="13"/>
      <c r="M133" s="4"/>
      <c r="N133" s="4"/>
      <c r="O133" s="5"/>
      <c r="P133" s="5"/>
    </row>
    <row r="134" spans="1:16" s="9" customFormat="1" ht="15" customHeight="1" x14ac:dyDescent="0.25">
      <c r="A134" s="10"/>
      <c r="B134" s="10"/>
      <c r="C134" s="10"/>
      <c r="D134" s="10"/>
      <c r="E134" s="10"/>
      <c r="F134" s="13"/>
      <c r="G134" s="13"/>
      <c r="H134" s="13"/>
      <c r="I134" s="13"/>
      <c r="J134" s="13"/>
      <c r="K134" s="13"/>
      <c r="M134" s="4"/>
      <c r="N134" s="4"/>
      <c r="O134" s="5"/>
      <c r="P134" s="5"/>
    </row>
    <row r="135" spans="1:16" s="9" customFormat="1" ht="15" customHeight="1" x14ac:dyDescent="0.25">
      <c r="A135" s="10"/>
      <c r="B135" s="10"/>
      <c r="C135" s="10"/>
      <c r="D135" s="10"/>
      <c r="E135" s="10"/>
      <c r="F135" s="13"/>
      <c r="G135" s="13"/>
      <c r="H135" s="13"/>
      <c r="I135" s="13"/>
      <c r="J135" s="13"/>
      <c r="K135" s="13"/>
      <c r="M135" s="4"/>
      <c r="N135" s="4"/>
      <c r="O135" s="5"/>
      <c r="P135" s="5"/>
    </row>
    <row r="136" spans="1:16" s="9" customFormat="1" ht="15" customHeight="1" x14ac:dyDescent="0.25">
      <c r="A136" s="10"/>
      <c r="B136" s="10"/>
      <c r="C136" s="10"/>
      <c r="D136" s="10"/>
      <c r="E136" s="10"/>
      <c r="F136" s="13"/>
      <c r="G136" s="13"/>
      <c r="H136" s="13"/>
      <c r="I136" s="13"/>
      <c r="J136" s="13"/>
      <c r="K136" s="13"/>
      <c r="M136" s="4"/>
      <c r="N136" s="4"/>
      <c r="O136" s="5"/>
      <c r="P136" s="5"/>
    </row>
    <row r="137" spans="1:16" s="9" customFormat="1" ht="15" customHeight="1" x14ac:dyDescent="0.25">
      <c r="A137" s="10"/>
      <c r="B137" s="10"/>
      <c r="C137" s="10"/>
      <c r="D137" s="10"/>
      <c r="E137" s="10"/>
      <c r="F137" s="13"/>
      <c r="G137" s="13"/>
      <c r="H137" s="13"/>
      <c r="I137" s="13"/>
      <c r="J137" s="13"/>
      <c r="K137" s="13"/>
      <c r="M137" s="4"/>
      <c r="N137" s="4"/>
      <c r="O137" s="5"/>
      <c r="P137" s="5"/>
    </row>
    <row r="138" spans="1:16" s="9" customFormat="1" ht="15" customHeight="1" x14ac:dyDescent="0.25">
      <c r="A138" s="10"/>
      <c r="B138" s="10"/>
      <c r="C138" s="10"/>
      <c r="D138" s="10"/>
      <c r="E138" s="10"/>
      <c r="F138" s="13"/>
      <c r="G138" s="13"/>
      <c r="H138" s="13"/>
      <c r="I138" s="13"/>
      <c r="J138" s="13"/>
      <c r="K138" s="13"/>
      <c r="M138" s="4"/>
      <c r="N138" s="4"/>
      <c r="O138" s="5"/>
      <c r="P138" s="5"/>
    </row>
    <row r="139" spans="1:16" s="9" customFormat="1" ht="15" customHeight="1" x14ac:dyDescent="0.25">
      <c r="A139" s="10"/>
      <c r="B139" s="10"/>
      <c r="C139" s="10"/>
      <c r="D139" s="10"/>
      <c r="E139" s="10"/>
      <c r="F139" s="13"/>
      <c r="G139" s="13"/>
      <c r="H139" s="13"/>
      <c r="I139" s="13"/>
      <c r="J139" s="13"/>
      <c r="K139" s="13"/>
      <c r="M139" s="4"/>
      <c r="N139" s="4"/>
      <c r="O139" s="5"/>
      <c r="P139" s="5"/>
    </row>
    <row r="140" spans="1:16" s="9" customFormat="1" ht="15" customHeight="1" x14ac:dyDescent="0.25">
      <c r="A140" s="10"/>
      <c r="B140" s="10"/>
      <c r="C140" s="10"/>
      <c r="D140" s="10"/>
      <c r="E140" s="10"/>
      <c r="F140" s="13"/>
      <c r="G140" s="13"/>
      <c r="H140" s="13"/>
      <c r="I140" s="13"/>
      <c r="J140" s="13"/>
      <c r="K140" s="13"/>
      <c r="M140" s="4"/>
      <c r="N140" s="4"/>
      <c r="O140" s="5"/>
      <c r="P140" s="5"/>
    </row>
    <row r="141" spans="1:16" s="9" customFormat="1" ht="15" customHeight="1" x14ac:dyDescent="0.25">
      <c r="A141" s="10"/>
      <c r="B141" s="10"/>
      <c r="C141" s="10"/>
      <c r="D141" s="10"/>
      <c r="E141" s="10"/>
      <c r="F141" s="13"/>
      <c r="G141" s="13"/>
      <c r="H141" s="13"/>
      <c r="I141" s="13"/>
      <c r="J141" s="13"/>
      <c r="K141" s="13"/>
      <c r="M141" s="4"/>
      <c r="N141" s="4"/>
      <c r="O141" s="5"/>
      <c r="P141" s="5"/>
    </row>
    <row r="142" spans="1:16" s="9" customFormat="1" ht="15" customHeight="1" x14ac:dyDescent="0.25">
      <c r="A142" s="10"/>
      <c r="B142" s="10"/>
      <c r="C142" s="10"/>
      <c r="D142" s="10"/>
      <c r="E142" s="10"/>
      <c r="F142" s="13"/>
      <c r="G142" s="13"/>
      <c r="H142" s="13"/>
      <c r="I142" s="13"/>
      <c r="J142" s="13"/>
      <c r="K142" s="13"/>
      <c r="M142" s="4"/>
      <c r="N142" s="4"/>
      <c r="O142" s="5"/>
      <c r="P142" s="5"/>
    </row>
    <row r="143" spans="1:16" s="9" customFormat="1" ht="15" customHeight="1" x14ac:dyDescent="0.25">
      <c r="A143" s="10"/>
      <c r="B143" s="10"/>
      <c r="C143" s="10"/>
      <c r="D143" s="10"/>
      <c r="E143" s="10"/>
      <c r="F143" s="13"/>
      <c r="G143" s="13"/>
      <c r="H143" s="13"/>
      <c r="I143" s="13"/>
      <c r="J143" s="13"/>
      <c r="K143" s="13"/>
      <c r="M143" s="4"/>
      <c r="N143" s="4"/>
      <c r="O143" s="5"/>
      <c r="P143" s="5"/>
    </row>
    <row r="144" spans="1:16" s="9" customFormat="1" ht="15" customHeight="1" x14ac:dyDescent="0.25">
      <c r="A144" s="10"/>
      <c r="B144" s="10"/>
      <c r="C144" s="10"/>
      <c r="D144" s="10"/>
      <c r="E144" s="10"/>
      <c r="F144" s="13"/>
      <c r="G144" s="13"/>
      <c r="H144" s="13"/>
      <c r="I144" s="13"/>
      <c r="J144" s="13"/>
      <c r="K144" s="13"/>
      <c r="M144" s="4"/>
      <c r="N144" s="4"/>
      <c r="O144" s="5"/>
      <c r="P144" s="5"/>
    </row>
    <row r="145" spans="1:16" s="9" customFormat="1" ht="15" customHeight="1" x14ac:dyDescent="0.25">
      <c r="A145" s="10"/>
      <c r="B145" s="10"/>
      <c r="C145" s="10"/>
      <c r="D145" s="10"/>
      <c r="E145" s="10"/>
      <c r="F145" s="13"/>
      <c r="G145" s="13"/>
      <c r="H145" s="13"/>
      <c r="I145" s="13"/>
      <c r="J145" s="13"/>
      <c r="K145" s="13"/>
      <c r="M145" s="4"/>
      <c r="N145" s="4"/>
      <c r="O145" s="5"/>
      <c r="P145" s="5"/>
    </row>
    <row r="146" spans="1:16" s="9" customFormat="1" ht="15" customHeight="1" x14ac:dyDescent="0.25">
      <c r="A146" s="10"/>
      <c r="B146" s="10"/>
      <c r="C146" s="10"/>
      <c r="D146" s="10"/>
      <c r="E146" s="10"/>
      <c r="F146" s="13"/>
      <c r="G146" s="13"/>
      <c r="H146" s="13"/>
      <c r="I146" s="13"/>
      <c r="J146" s="13"/>
      <c r="K146" s="13"/>
      <c r="M146" s="4"/>
      <c r="N146" s="4"/>
      <c r="O146" s="5"/>
      <c r="P146" s="5"/>
    </row>
    <row r="147" spans="1:16" s="9" customFormat="1" ht="15" customHeight="1" x14ac:dyDescent="0.25">
      <c r="A147" s="10"/>
      <c r="B147" s="10"/>
      <c r="C147" s="10"/>
      <c r="D147" s="10"/>
      <c r="E147" s="10"/>
      <c r="F147" s="13"/>
      <c r="G147" s="13"/>
      <c r="H147" s="13"/>
      <c r="I147" s="13"/>
      <c r="J147" s="13"/>
      <c r="K147" s="13"/>
      <c r="M147" s="4"/>
      <c r="N147" s="4"/>
      <c r="O147" s="5"/>
      <c r="P147" s="5"/>
    </row>
    <row r="148" spans="1:16" s="9" customFormat="1" ht="15" customHeight="1" x14ac:dyDescent="0.25">
      <c r="A148" s="10"/>
      <c r="B148" s="10"/>
      <c r="C148" s="10"/>
      <c r="D148" s="10"/>
      <c r="E148" s="10"/>
      <c r="F148" s="13"/>
      <c r="G148" s="13"/>
      <c r="H148" s="13"/>
      <c r="I148" s="13"/>
      <c r="J148" s="13"/>
      <c r="K148" s="13"/>
      <c r="M148" s="4"/>
      <c r="N148" s="4"/>
      <c r="O148" s="5"/>
      <c r="P148" s="5"/>
    </row>
    <row r="149" spans="1:16" s="9" customFormat="1" ht="15" customHeight="1" x14ac:dyDescent="0.25">
      <c r="A149" s="10"/>
      <c r="B149" s="10"/>
      <c r="C149" s="10"/>
      <c r="D149" s="10"/>
      <c r="E149" s="10"/>
      <c r="F149" s="13"/>
      <c r="G149" s="13"/>
      <c r="H149" s="13"/>
      <c r="I149" s="13"/>
      <c r="J149" s="13"/>
      <c r="K149" s="13"/>
      <c r="M149" s="4"/>
      <c r="N149" s="4"/>
      <c r="O149" s="5"/>
      <c r="P149" s="5"/>
    </row>
    <row r="150" spans="1:16" s="9" customFormat="1" ht="15" customHeight="1" x14ac:dyDescent="0.25">
      <c r="A150" s="10"/>
      <c r="B150" s="10"/>
      <c r="C150" s="10"/>
      <c r="D150" s="10"/>
      <c r="E150" s="10"/>
      <c r="F150" s="13"/>
      <c r="G150" s="13"/>
      <c r="H150" s="13"/>
      <c r="I150" s="13"/>
      <c r="J150" s="13"/>
      <c r="K150" s="13"/>
      <c r="M150" s="4"/>
      <c r="N150" s="4"/>
      <c r="O150" s="5"/>
      <c r="P150" s="5"/>
    </row>
    <row r="151" spans="1:16" s="9" customFormat="1" ht="15" customHeight="1" x14ac:dyDescent="0.25">
      <c r="A151" s="10"/>
      <c r="B151" s="10"/>
      <c r="C151" s="10"/>
      <c r="D151" s="10"/>
      <c r="E151" s="10"/>
      <c r="F151" s="13"/>
      <c r="G151" s="13"/>
      <c r="H151" s="13"/>
      <c r="I151" s="13"/>
      <c r="J151" s="13"/>
      <c r="K151" s="13"/>
      <c r="M151" s="4"/>
      <c r="N151" s="4"/>
      <c r="O151" s="5"/>
      <c r="P151" s="5"/>
    </row>
    <row r="152" spans="1:16" s="9" customFormat="1" ht="15" customHeight="1" x14ac:dyDescent="0.25">
      <c r="A152" s="10"/>
      <c r="B152" s="10"/>
      <c r="C152" s="10"/>
      <c r="D152" s="10"/>
      <c r="E152" s="10"/>
      <c r="F152" s="13"/>
      <c r="G152" s="13"/>
      <c r="H152" s="13"/>
      <c r="I152" s="13"/>
      <c r="J152" s="13"/>
      <c r="K152" s="13"/>
      <c r="M152" s="4"/>
      <c r="N152" s="4"/>
      <c r="O152" s="5"/>
      <c r="P152" s="5"/>
    </row>
    <row r="153" spans="1:16" s="9" customFormat="1" ht="15" customHeight="1" x14ac:dyDescent="0.25">
      <c r="A153" s="10"/>
      <c r="B153" s="10"/>
      <c r="C153" s="10"/>
      <c r="D153" s="10"/>
      <c r="E153" s="10"/>
      <c r="F153" s="13"/>
      <c r="G153" s="13"/>
      <c r="H153" s="13"/>
      <c r="I153" s="13"/>
      <c r="J153" s="13"/>
      <c r="K153" s="13"/>
      <c r="M153" s="4"/>
      <c r="N153" s="4"/>
      <c r="O153" s="5"/>
      <c r="P153" s="5"/>
    </row>
    <row r="154" spans="1:16" s="9" customFormat="1" ht="15" customHeight="1" x14ac:dyDescent="0.25">
      <c r="A154" s="10"/>
      <c r="B154" s="10"/>
      <c r="C154" s="10"/>
      <c r="D154" s="10"/>
      <c r="E154" s="10"/>
      <c r="F154" s="13"/>
      <c r="G154" s="13"/>
      <c r="H154" s="13"/>
      <c r="I154" s="13"/>
      <c r="J154" s="13"/>
      <c r="K154" s="13"/>
      <c r="M154" s="4"/>
      <c r="N154" s="4"/>
      <c r="O154" s="5"/>
      <c r="P154" s="5"/>
    </row>
    <row r="155" spans="1:16" s="9" customFormat="1" ht="15" customHeight="1" x14ac:dyDescent="0.25">
      <c r="A155" s="10"/>
      <c r="B155" s="10"/>
      <c r="C155" s="10"/>
      <c r="D155" s="10"/>
      <c r="E155" s="10"/>
      <c r="F155" s="13"/>
      <c r="G155" s="13"/>
      <c r="H155" s="13"/>
      <c r="I155" s="13"/>
      <c r="J155" s="13"/>
      <c r="K155" s="13"/>
      <c r="M155" s="4"/>
      <c r="N155" s="4"/>
      <c r="O155" s="5"/>
      <c r="P155" s="5"/>
    </row>
    <row r="156" spans="1:16" s="9" customFormat="1" ht="15" customHeight="1" x14ac:dyDescent="0.25">
      <c r="A156" s="10"/>
      <c r="B156" s="10"/>
      <c r="C156" s="10"/>
      <c r="D156" s="10"/>
      <c r="E156" s="10"/>
      <c r="F156" s="13"/>
      <c r="G156" s="13"/>
      <c r="H156" s="13"/>
      <c r="I156" s="13"/>
      <c r="J156" s="13"/>
      <c r="K156" s="13"/>
      <c r="M156" s="4"/>
      <c r="N156" s="4"/>
      <c r="O156" s="5"/>
      <c r="P156" s="5"/>
    </row>
    <row r="157" spans="1:16" s="9" customFormat="1" ht="15" customHeight="1" x14ac:dyDescent="0.25">
      <c r="A157" s="10"/>
      <c r="B157" s="10"/>
      <c r="C157" s="10"/>
      <c r="D157" s="10"/>
      <c r="E157" s="10"/>
      <c r="F157" s="13"/>
      <c r="G157" s="13"/>
      <c r="H157" s="13"/>
      <c r="I157" s="13"/>
      <c r="J157" s="13"/>
      <c r="K157" s="13"/>
      <c r="M157" s="4"/>
      <c r="N157" s="4"/>
      <c r="O157" s="5"/>
      <c r="P157" s="5"/>
    </row>
    <row r="158" spans="1:16" s="9" customFormat="1" ht="15" customHeight="1" x14ac:dyDescent="0.25">
      <c r="A158" s="10"/>
      <c r="B158" s="10"/>
      <c r="C158" s="10"/>
      <c r="D158" s="10"/>
      <c r="E158" s="10"/>
      <c r="F158" s="13"/>
      <c r="G158" s="13"/>
      <c r="H158" s="13"/>
      <c r="I158" s="13"/>
      <c r="J158" s="13"/>
      <c r="K158" s="13"/>
      <c r="M158" s="4"/>
      <c r="N158" s="4"/>
      <c r="O158" s="5"/>
      <c r="P158" s="5"/>
    </row>
    <row r="159" spans="1:16" s="9" customFormat="1" ht="15" customHeight="1" x14ac:dyDescent="0.25">
      <c r="A159" s="10"/>
      <c r="B159" s="10"/>
      <c r="C159" s="10"/>
      <c r="D159" s="10"/>
      <c r="E159" s="10"/>
      <c r="F159" s="13"/>
      <c r="G159" s="13"/>
      <c r="H159" s="13"/>
      <c r="I159" s="13"/>
      <c r="J159" s="13"/>
      <c r="K159" s="13"/>
      <c r="M159" s="4"/>
      <c r="N159" s="4"/>
      <c r="O159" s="5"/>
      <c r="P159" s="5"/>
    </row>
    <row r="160" spans="1:16" s="9" customFormat="1" ht="15" customHeight="1" x14ac:dyDescent="0.25">
      <c r="A160" s="10"/>
      <c r="B160" s="10"/>
      <c r="C160" s="10"/>
      <c r="D160" s="10"/>
      <c r="E160" s="10"/>
      <c r="F160" s="13"/>
      <c r="G160" s="13"/>
      <c r="H160" s="13"/>
      <c r="I160" s="13"/>
      <c r="J160" s="13"/>
      <c r="K160" s="13"/>
      <c r="M160" s="4"/>
      <c r="N160" s="4"/>
      <c r="O160" s="5"/>
      <c r="P160" s="5"/>
    </row>
    <row r="161" spans="1:16" s="9" customFormat="1" ht="15" customHeight="1" x14ac:dyDescent="0.25">
      <c r="A161" s="10"/>
      <c r="B161" s="10"/>
      <c r="C161" s="10"/>
      <c r="D161" s="10"/>
      <c r="E161" s="10"/>
      <c r="F161" s="13"/>
      <c r="G161" s="13"/>
      <c r="H161" s="13"/>
      <c r="I161" s="13"/>
      <c r="J161" s="13"/>
      <c r="K161" s="13"/>
      <c r="M161" s="4"/>
      <c r="N161" s="4"/>
      <c r="O161" s="5"/>
      <c r="P161" s="5"/>
    </row>
    <row r="162" spans="1:16" s="9" customFormat="1" ht="15" customHeight="1" x14ac:dyDescent="0.25">
      <c r="A162" s="10"/>
      <c r="B162" s="10"/>
      <c r="C162" s="10"/>
      <c r="D162" s="10"/>
      <c r="E162" s="10"/>
      <c r="F162" s="13"/>
      <c r="G162" s="13"/>
      <c r="H162" s="13"/>
      <c r="I162" s="13"/>
      <c r="J162" s="13"/>
      <c r="K162" s="13"/>
      <c r="M162" s="4"/>
      <c r="N162" s="4"/>
      <c r="O162" s="5"/>
      <c r="P162" s="5"/>
    </row>
    <row r="163" spans="1:16" s="9" customFormat="1" ht="15" customHeight="1" x14ac:dyDescent="0.25">
      <c r="A163" s="10"/>
      <c r="B163" s="10"/>
      <c r="C163" s="10"/>
      <c r="D163" s="10"/>
      <c r="E163" s="10"/>
      <c r="F163" s="13"/>
      <c r="G163" s="13"/>
      <c r="H163" s="13"/>
      <c r="I163" s="13"/>
      <c r="J163" s="13"/>
      <c r="K163" s="13"/>
      <c r="M163" s="4"/>
      <c r="N163" s="4"/>
      <c r="O163" s="5"/>
      <c r="P163" s="5"/>
    </row>
    <row r="164" spans="1:16" s="9" customFormat="1" ht="15" customHeight="1" x14ac:dyDescent="0.25">
      <c r="A164" s="10"/>
      <c r="B164" s="10"/>
      <c r="C164" s="10"/>
      <c r="D164" s="10"/>
      <c r="E164" s="10"/>
      <c r="F164" s="10"/>
      <c r="G164" s="13"/>
      <c r="H164" s="13"/>
      <c r="I164" s="13"/>
      <c r="J164" s="13"/>
      <c r="K164" s="13"/>
      <c r="M164" s="4"/>
      <c r="N164" s="4"/>
      <c r="O164" s="5"/>
      <c r="P164" s="5"/>
    </row>
    <row r="165" spans="1:16" s="9" customFormat="1" ht="1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M165" s="4"/>
      <c r="N165" s="4"/>
      <c r="O165" s="5"/>
      <c r="P165" s="5"/>
    </row>
    <row r="166" spans="1:16" s="9" customFormat="1" ht="1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M166" s="4"/>
      <c r="N166" s="4"/>
      <c r="O166" s="5"/>
      <c r="P166" s="5"/>
    </row>
    <row r="167" spans="1:16" s="9" customFormat="1" ht="1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M167" s="4"/>
      <c r="N167" s="4"/>
      <c r="O167" s="5"/>
      <c r="P167" s="5"/>
    </row>
    <row r="168" spans="1:16" s="9" customFormat="1" ht="1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M168" s="4"/>
      <c r="N168" s="4"/>
      <c r="O168" s="5"/>
      <c r="P168" s="5"/>
    </row>
    <row r="169" spans="1:16" s="9" customFormat="1" ht="1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M169" s="4"/>
      <c r="N169" s="4"/>
      <c r="O169" s="5"/>
      <c r="P169" s="5"/>
    </row>
    <row r="170" spans="1:16" s="9" customFormat="1" ht="1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M170" s="4"/>
      <c r="N170" s="4"/>
      <c r="O170" s="5"/>
      <c r="P170" s="5"/>
    </row>
    <row r="171" spans="1:16" s="9" customFormat="1" ht="1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M171" s="4"/>
      <c r="N171" s="4"/>
      <c r="O171" s="5"/>
      <c r="P171" s="5"/>
    </row>
    <row r="172" spans="1:16" s="9" customFormat="1" ht="1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M172" s="4"/>
      <c r="N172" s="4"/>
      <c r="O172" s="5"/>
      <c r="P172" s="5"/>
    </row>
    <row r="173" spans="1:16" s="9" customFormat="1" ht="1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M173" s="4"/>
      <c r="N173" s="4"/>
      <c r="O173" s="5"/>
      <c r="P173" s="5"/>
    </row>
    <row r="174" spans="1:16" s="9" customFormat="1" ht="1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M174" s="4"/>
      <c r="N174" s="4"/>
      <c r="O174" s="5"/>
      <c r="P174" s="5"/>
    </row>
    <row r="175" spans="1:16" s="9" customFormat="1" ht="1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M175" s="4"/>
      <c r="N175" s="4"/>
      <c r="O175" s="5"/>
      <c r="P175" s="5"/>
    </row>
    <row r="176" spans="1:16" s="9" customFormat="1" ht="1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M176" s="4"/>
      <c r="N176" s="4"/>
      <c r="O176" s="5"/>
      <c r="P176" s="5"/>
    </row>
    <row r="177" spans="1:16" s="9" customFormat="1" ht="1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M177" s="4"/>
      <c r="N177" s="4"/>
      <c r="O177" s="5"/>
      <c r="P177" s="5"/>
    </row>
    <row r="178" spans="1:16" s="9" customFormat="1" ht="1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M178" s="4"/>
      <c r="N178" s="4"/>
      <c r="O178" s="5"/>
      <c r="P178" s="5"/>
    </row>
    <row r="179" spans="1:16" s="9" customFormat="1" ht="1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M179" s="4"/>
      <c r="N179" s="4"/>
      <c r="O179" s="5"/>
      <c r="P179" s="5"/>
    </row>
    <row r="180" spans="1:16" s="9" customFormat="1" ht="1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M180" s="4"/>
      <c r="N180" s="4"/>
      <c r="O180" s="5"/>
      <c r="P180" s="5"/>
    </row>
    <row r="181" spans="1:16" s="9" customFormat="1" ht="1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M181" s="4"/>
      <c r="N181" s="4"/>
      <c r="O181" s="5"/>
      <c r="P181" s="5"/>
    </row>
    <row r="182" spans="1:16" s="9" customFormat="1" ht="1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M182" s="4"/>
      <c r="N182" s="4"/>
      <c r="O182" s="5"/>
      <c r="P182" s="5"/>
    </row>
    <row r="183" spans="1:16" s="9" customFormat="1" ht="1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M183" s="4"/>
      <c r="N183" s="4"/>
      <c r="O183" s="5"/>
      <c r="P183" s="5"/>
    </row>
    <row r="184" spans="1:16" s="9" customFormat="1" ht="1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M184" s="4"/>
      <c r="N184" s="4"/>
      <c r="O184" s="5"/>
      <c r="P184" s="5"/>
    </row>
    <row r="185" spans="1:16" s="9" customFormat="1" ht="1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M185" s="4"/>
      <c r="N185" s="4"/>
      <c r="O185" s="5"/>
      <c r="P185" s="5"/>
    </row>
    <row r="186" spans="1:16" s="9" customFormat="1" ht="1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M186" s="4"/>
      <c r="N186" s="4"/>
      <c r="O186" s="5"/>
      <c r="P186" s="5"/>
    </row>
    <row r="187" spans="1:16" s="9" customFormat="1" ht="1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M187" s="4"/>
      <c r="N187" s="4"/>
      <c r="O187" s="5"/>
      <c r="P187" s="5"/>
    </row>
    <row r="188" spans="1:16" s="9" customFormat="1" ht="1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M188" s="4"/>
      <c r="N188" s="4"/>
      <c r="O188" s="5"/>
      <c r="P188" s="5"/>
    </row>
    <row r="189" spans="1:16" s="9" customFormat="1" ht="1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M189" s="4"/>
      <c r="N189" s="4"/>
      <c r="O189" s="5"/>
      <c r="P189" s="5"/>
    </row>
    <row r="190" spans="1:16" s="9" customFormat="1" ht="1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M190" s="4"/>
      <c r="N190" s="4"/>
      <c r="O190" s="5"/>
      <c r="P190" s="5"/>
    </row>
    <row r="191" spans="1:16" s="9" customFormat="1" ht="1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M191" s="4"/>
      <c r="N191" s="4"/>
      <c r="O191" s="5"/>
      <c r="P191" s="5"/>
    </row>
    <row r="192" spans="1:16" s="9" customFormat="1" ht="1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M192" s="4"/>
      <c r="N192" s="4"/>
      <c r="O192" s="5"/>
      <c r="P192" s="5"/>
    </row>
    <row r="193" spans="1:16" s="9" customFormat="1" ht="1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M193" s="4"/>
      <c r="N193" s="4"/>
      <c r="O193" s="5"/>
      <c r="P193" s="5"/>
    </row>
    <row r="194" spans="1:16" s="9" customFormat="1" ht="1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M194" s="4"/>
      <c r="N194" s="4"/>
      <c r="O194" s="5"/>
      <c r="P194" s="5"/>
    </row>
    <row r="195" spans="1:16" s="9" customFormat="1" ht="1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M195" s="4"/>
      <c r="N195" s="4"/>
      <c r="O195" s="5"/>
      <c r="P195" s="5"/>
    </row>
    <row r="196" spans="1:16" s="9" customFormat="1" ht="1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M196" s="4"/>
      <c r="N196" s="4"/>
      <c r="O196" s="5"/>
      <c r="P196" s="5"/>
    </row>
    <row r="197" spans="1:16" s="9" customFormat="1" ht="1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M197" s="4"/>
      <c r="N197" s="4"/>
      <c r="O197" s="5"/>
      <c r="P197" s="5"/>
    </row>
    <row r="198" spans="1:16" s="9" customFormat="1" ht="1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M198" s="4"/>
      <c r="N198" s="4"/>
      <c r="O198" s="5"/>
      <c r="P198" s="5"/>
    </row>
    <row r="199" spans="1:16" s="9" customFormat="1" ht="1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M199" s="4"/>
      <c r="N199" s="4"/>
      <c r="O199" s="5"/>
      <c r="P199" s="5"/>
    </row>
    <row r="200" spans="1:16" s="9" customFormat="1" ht="1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M200" s="4"/>
      <c r="N200" s="4"/>
      <c r="O200" s="5"/>
      <c r="P200" s="5"/>
    </row>
    <row r="201" spans="1:16" s="9" customFormat="1" ht="1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M201" s="4"/>
      <c r="N201" s="4"/>
      <c r="O201" s="5"/>
      <c r="P201" s="5"/>
    </row>
    <row r="202" spans="1:16" s="9" customFormat="1" ht="1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M202" s="4"/>
      <c r="N202" s="4"/>
      <c r="O202" s="5"/>
      <c r="P202" s="5"/>
    </row>
    <row r="203" spans="1:16" s="9" customFormat="1" ht="1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M203" s="4"/>
      <c r="N203" s="4"/>
      <c r="O203" s="5"/>
      <c r="P203" s="5"/>
    </row>
    <row r="204" spans="1:16" s="9" customFormat="1" ht="1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M204" s="4"/>
      <c r="N204" s="4"/>
      <c r="O204" s="5"/>
      <c r="P204" s="5"/>
    </row>
    <row r="205" spans="1:16" s="9" customFormat="1" ht="1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4"/>
      <c r="N205" s="4"/>
      <c r="O205" s="5"/>
      <c r="P205" s="5"/>
    </row>
    <row r="206" spans="1:16" s="9" customFormat="1" ht="1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M206" s="4"/>
      <c r="N206" s="4"/>
      <c r="O206" s="5"/>
      <c r="P206" s="5"/>
    </row>
    <row r="207" spans="1:16" s="9" customFormat="1" ht="1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M207" s="4"/>
      <c r="N207" s="4"/>
      <c r="O207" s="5"/>
      <c r="P207" s="5"/>
    </row>
    <row r="208" spans="1:16" s="9" customFormat="1" ht="1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M208" s="4"/>
      <c r="N208" s="4"/>
      <c r="O208" s="5"/>
      <c r="P208" s="5"/>
    </row>
    <row r="209" spans="1:16" s="9" customFormat="1" ht="1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M209" s="4"/>
      <c r="N209" s="4"/>
      <c r="O209" s="5"/>
      <c r="P209" s="5"/>
    </row>
    <row r="210" spans="1:16" s="9" customFormat="1" ht="1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M210" s="4"/>
      <c r="N210" s="4"/>
      <c r="O210" s="5"/>
      <c r="P210" s="5"/>
    </row>
    <row r="211" spans="1:16" s="9" customFormat="1" ht="1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M211" s="4"/>
      <c r="N211" s="4"/>
      <c r="O211" s="5"/>
      <c r="P211" s="5"/>
    </row>
    <row r="212" spans="1:16" s="9" customFormat="1" ht="1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M212" s="4"/>
      <c r="N212" s="4"/>
      <c r="O212" s="5"/>
      <c r="P212" s="5"/>
    </row>
    <row r="213" spans="1:16" s="9" customFormat="1" ht="1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M213" s="4"/>
      <c r="N213" s="4"/>
      <c r="O213" s="5"/>
      <c r="P213" s="5"/>
    </row>
    <row r="214" spans="1:16" s="9" customFormat="1" ht="1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M214" s="4"/>
      <c r="N214" s="4"/>
      <c r="O214" s="5"/>
      <c r="P214" s="5"/>
    </row>
    <row r="215" spans="1:16" s="9" customFormat="1" ht="1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M215" s="4"/>
      <c r="N215" s="4"/>
      <c r="O215" s="5"/>
      <c r="P215" s="5"/>
    </row>
    <row r="216" spans="1:16" s="9" customFormat="1" ht="1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M216" s="4"/>
      <c r="N216" s="4"/>
      <c r="O216" s="5"/>
      <c r="P216" s="5"/>
    </row>
    <row r="217" spans="1:16" s="9" customFormat="1" ht="1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M217" s="4"/>
      <c r="N217" s="4"/>
      <c r="O217" s="5"/>
      <c r="P217" s="5"/>
    </row>
    <row r="218" spans="1:16" s="9" customFormat="1" ht="1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M218" s="4"/>
      <c r="N218" s="4"/>
      <c r="O218" s="5"/>
      <c r="P218" s="5"/>
    </row>
    <row r="219" spans="1:16" s="9" customFormat="1" ht="1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M219" s="4"/>
      <c r="N219" s="4"/>
      <c r="O219" s="5"/>
      <c r="P219" s="5"/>
    </row>
    <row r="220" spans="1:16" s="9" customFormat="1" ht="1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M220" s="4"/>
      <c r="N220" s="4"/>
      <c r="O220" s="5"/>
      <c r="P220" s="5"/>
    </row>
    <row r="221" spans="1:16" s="9" customFormat="1" ht="1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M221" s="4"/>
      <c r="N221" s="4"/>
      <c r="O221" s="5"/>
      <c r="P221" s="5"/>
    </row>
    <row r="222" spans="1:16" s="9" customFormat="1" ht="1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M222" s="4"/>
      <c r="N222" s="4"/>
      <c r="O222" s="5"/>
      <c r="P222" s="5"/>
    </row>
    <row r="223" spans="1:16" s="9" customFormat="1" ht="1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M223" s="4"/>
      <c r="N223" s="4"/>
      <c r="O223" s="5"/>
      <c r="P223" s="5"/>
    </row>
    <row r="224" spans="1:16" s="9" customFormat="1" ht="1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M224" s="4"/>
      <c r="N224" s="4"/>
      <c r="O224" s="5"/>
      <c r="P224" s="5"/>
    </row>
    <row r="225" spans="1:16" s="9" customFormat="1" ht="1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M225" s="4"/>
      <c r="N225" s="4"/>
      <c r="O225" s="5"/>
      <c r="P225" s="5"/>
    </row>
    <row r="226" spans="1:16" s="9" customFormat="1" ht="1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M226" s="4"/>
      <c r="N226" s="4"/>
      <c r="O226" s="5"/>
      <c r="P226" s="5"/>
    </row>
    <row r="227" spans="1:16" s="9" customFormat="1" ht="1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M227" s="4"/>
      <c r="N227" s="4"/>
      <c r="O227" s="5"/>
      <c r="P227" s="5"/>
    </row>
    <row r="228" spans="1:16" s="9" customFormat="1" ht="1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M228" s="4"/>
      <c r="N228" s="4"/>
      <c r="O228" s="5"/>
      <c r="P228" s="5"/>
    </row>
    <row r="229" spans="1:16" s="9" customFormat="1" ht="1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M229" s="4"/>
      <c r="N229" s="4"/>
      <c r="O229" s="5"/>
      <c r="P229" s="5"/>
    </row>
    <row r="230" spans="1:16" s="9" customFormat="1" ht="1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M230" s="4"/>
      <c r="N230" s="4"/>
      <c r="O230" s="5"/>
      <c r="P230" s="5"/>
    </row>
    <row r="231" spans="1:16" s="9" customFormat="1" ht="1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M231" s="4"/>
      <c r="N231" s="4"/>
      <c r="O231" s="5"/>
      <c r="P231" s="5"/>
    </row>
    <row r="232" spans="1:16" s="9" customFormat="1" ht="1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M232" s="4"/>
      <c r="N232" s="4"/>
      <c r="O232" s="5"/>
      <c r="P232" s="5"/>
    </row>
    <row r="233" spans="1:16" s="9" customFormat="1" ht="1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M233" s="4"/>
      <c r="N233" s="4"/>
      <c r="O233" s="5"/>
      <c r="P233" s="5"/>
    </row>
    <row r="234" spans="1:16" s="9" customFormat="1" ht="1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M234" s="4"/>
      <c r="N234" s="4"/>
      <c r="O234" s="5"/>
      <c r="P234" s="5"/>
    </row>
    <row r="235" spans="1:16" s="9" customForma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M235" s="4"/>
      <c r="N235" s="4"/>
      <c r="O235" s="5"/>
      <c r="P235" s="5"/>
    </row>
    <row r="236" spans="1:16" s="9" customForma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M236" s="4"/>
      <c r="N236" s="4"/>
      <c r="O236" s="5"/>
      <c r="P236" s="5"/>
    </row>
    <row r="237" spans="1:16" s="9" customForma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M237" s="4"/>
      <c r="N237" s="4"/>
      <c r="O237" s="5"/>
      <c r="P237" s="5"/>
    </row>
    <row r="238" spans="1:16" s="9" customForma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M238" s="4"/>
      <c r="N238" s="4"/>
      <c r="O238" s="5"/>
      <c r="P238" s="5"/>
    </row>
    <row r="239" spans="1:16" s="9" customForma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M239" s="4"/>
      <c r="N239" s="4"/>
      <c r="O239" s="5"/>
      <c r="P239" s="5"/>
    </row>
    <row r="240" spans="1:16" s="9" customForma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M240" s="4"/>
      <c r="N240" s="4"/>
      <c r="O240" s="5"/>
      <c r="P240" s="5"/>
    </row>
    <row r="241" spans="1:16" s="9" customForma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M241" s="4"/>
      <c r="N241" s="4"/>
      <c r="O241" s="5"/>
      <c r="P241" s="5"/>
    </row>
    <row r="242" spans="1:16" s="9" customForma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M242" s="4"/>
      <c r="N242" s="4"/>
      <c r="O242" s="5"/>
      <c r="P242" s="5"/>
    </row>
    <row r="243" spans="1:16" s="9" customForma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M243" s="4"/>
      <c r="N243" s="4"/>
      <c r="O243" s="5"/>
      <c r="P243" s="5"/>
    </row>
    <row r="244" spans="1:16" s="9" customForma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M244" s="4"/>
      <c r="N244" s="4"/>
      <c r="O244" s="5"/>
      <c r="P244" s="5"/>
    </row>
    <row r="245" spans="1:16" s="9" customForma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M245" s="4"/>
      <c r="N245" s="4"/>
      <c r="O245" s="5"/>
      <c r="P245" s="5"/>
    </row>
    <row r="246" spans="1:16" s="9" customForma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M246" s="4"/>
      <c r="N246" s="4"/>
      <c r="O246" s="5"/>
      <c r="P246" s="5"/>
    </row>
    <row r="247" spans="1:16" s="9" customForma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M247" s="4"/>
      <c r="N247" s="4"/>
      <c r="O247" s="5"/>
      <c r="P247" s="5"/>
    </row>
    <row r="248" spans="1:16" s="9" customForma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M248" s="4"/>
      <c r="N248" s="4"/>
      <c r="O248" s="5"/>
      <c r="P248" s="5"/>
    </row>
    <row r="249" spans="1:16" s="9" customForma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M249" s="4"/>
      <c r="N249" s="4"/>
      <c r="O249" s="5"/>
      <c r="P249" s="5"/>
    </row>
    <row r="250" spans="1:16" s="9" customForma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M250" s="4"/>
      <c r="N250" s="4"/>
      <c r="O250" s="5"/>
      <c r="P250" s="5"/>
    </row>
    <row r="251" spans="1:16" s="9" customForma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M251" s="4"/>
      <c r="N251" s="4"/>
      <c r="O251" s="5"/>
      <c r="P251" s="5"/>
    </row>
    <row r="252" spans="1:16" s="9" customForma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M252" s="4"/>
      <c r="N252" s="4"/>
      <c r="O252" s="5"/>
      <c r="P252" s="5"/>
    </row>
    <row r="253" spans="1:16" s="9" customForma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M253" s="4"/>
      <c r="N253" s="4"/>
      <c r="O253" s="5"/>
      <c r="P253" s="5"/>
    </row>
    <row r="254" spans="1:16" s="9" customForma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M254" s="4"/>
      <c r="N254" s="4"/>
      <c r="O254" s="5"/>
      <c r="P254" s="5"/>
    </row>
    <row r="255" spans="1:16" s="9" customForma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M255" s="4"/>
      <c r="N255" s="4"/>
      <c r="O255" s="5"/>
      <c r="P255" s="5"/>
    </row>
    <row r="256" spans="1:16" s="9" customForma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M256" s="4"/>
      <c r="N256" s="4"/>
      <c r="O256" s="5"/>
      <c r="P256" s="5"/>
    </row>
    <row r="257" spans="1:16" s="9" customForma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M257" s="4"/>
      <c r="N257" s="4"/>
      <c r="O257" s="5"/>
      <c r="P257" s="5"/>
    </row>
    <row r="258" spans="1:16" s="9" customForma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M258" s="4"/>
      <c r="N258" s="4"/>
      <c r="O258" s="5"/>
      <c r="P258" s="5"/>
    </row>
    <row r="259" spans="1:16" s="9" customForma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M259" s="4"/>
      <c r="N259" s="4"/>
      <c r="O259" s="5"/>
      <c r="P259" s="5"/>
    </row>
    <row r="260" spans="1:16" s="9" customForma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M260" s="4"/>
      <c r="N260" s="4"/>
      <c r="O260" s="5"/>
      <c r="P260" s="5"/>
    </row>
    <row r="261" spans="1:16" s="9" customForma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M261" s="4"/>
      <c r="N261" s="4"/>
      <c r="O261" s="5"/>
      <c r="P261" s="5"/>
    </row>
    <row r="262" spans="1:16" s="9" customForma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M262" s="4"/>
      <c r="N262" s="4"/>
      <c r="O262" s="5"/>
      <c r="P262" s="5"/>
    </row>
    <row r="263" spans="1:16" s="9" customForma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M263" s="4"/>
      <c r="N263" s="4"/>
      <c r="O263" s="5"/>
      <c r="P263" s="5"/>
    </row>
    <row r="264" spans="1:16" s="9" customForma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M264" s="4"/>
      <c r="N264" s="4"/>
      <c r="O264" s="5"/>
      <c r="P264" s="5"/>
    </row>
    <row r="265" spans="1:16" s="9" customForma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M265" s="4"/>
      <c r="N265" s="4"/>
      <c r="O265" s="5"/>
      <c r="P265" s="5"/>
    </row>
    <row r="266" spans="1:16" s="9" customForma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M266" s="4"/>
      <c r="N266" s="4"/>
      <c r="O266" s="5"/>
      <c r="P266" s="5"/>
    </row>
    <row r="267" spans="1:16" s="9" customForma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M267" s="4"/>
      <c r="N267" s="4"/>
      <c r="O267" s="5"/>
      <c r="P267" s="5"/>
    </row>
    <row r="268" spans="1:16" s="9" customForma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M268" s="4"/>
      <c r="N268" s="4"/>
      <c r="O268" s="5"/>
      <c r="P268" s="5"/>
    </row>
    <row r="269" spans="1:16" s="9" customForma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M269" s="4"/>
      <c r="N269" s="4"/>
      <c r="O269" s="5"/>
      <c r="P269" s="5"/>
    </row>
    <row r="270" spans="1:16" s="9" customForma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M270" s="4"/>
      <c r="N270" s="4"/>
      <c r="O270" s="5"/>
      <c r="P270" s="5"/>
    </row>
    <row r="271" spans="1:16" s="9" customFormat="1" x14ac:dyDescent="0.25">
      <c r="A271" s="10"/>
      <c r="B271" s="10"/>
      <c r="D271" s="10"/>
      <c r="F271" s="10"/>
      <c r="G271" s="10"/>
      <c r="H271" s="10"/>
      <c r="I271" s="10"/>
      <c r="J271" s="10"/>
      <c r="K271" s="10"/>
      <c r="M271" s="4"/>
      <c r="N271" s="4"/>
      <c r="O271" s="5"/>
      <c r="P271" s="5"/>
    </row>
    <row r="272" spans="1:16" s="9" customFormat="1" x14ac:dyDescent="0.25">
      <c r="A272" s="10"/>
      <c r="B272" s="10"/>
      <c r="D272" s="10"/>
      <c r="F272" s="10"/>
      <c r="G272" s="10"/>
      <c r="H272" s="10"/>
      <c r="I272" s="10"/>
      <c r="J272" s="10"/>
      <c r="K272" s="10"/>
      <c r="M272" s="4"/>
      <c r="N272" s="4"/>
      <c r="O272" s="5"/>
      <c r="P272" s="5"/>
    </row>
    <row r="273" spans="1:16" s="9" customFormat="1" x14ac:dyDescent="0.25">
      <c r="A273" s="10"/>
      <c r="B273" s="10"/>
      <c r="D273" s="10"/>
      <c r="F273" s="10"/>
      <c r="G273" s="10"/>
      <c r="H273" s="10"/>
      <c r="I273" s="10"/>
      <c r="J273" s="10"/>
      <c r="K273" s="10"/>
      <c r="M273" s="4"/>
      <c r="N273" s="4"/>
      <c r="O273" s="5"/>
      <c r="P273" s="5"/>
    </row>
    <row r="274" spans="1:16" s="9" customFormat="1" x14ac:dyDescent="0.25">
      <c r="A274" s="10"/>
      <c r="D274" s="10"/>
      <c r="F274" s="10"/>
      <c r="G274" s="10"/>
      <c r="H274" s="10"/>
      <c r="I274" s="10"/>
      <c r="J274" s="10"/>
      <c r="K274" s="10"/>
      <c r="M274" s="4"/>
      <c r="N274" s="4"/>
      <c r="O274" s="5"/>
      <c r="P274" s="5"/>
    </row>
    <row r="275" spans="1:16" s="9" customFormat="1" x14ac:dyDescent="0.25">
      <c r="A275" s="10"/>
      <c r="F275" s="10"/>
      <c r="G275" s="10"/>
      <c r="H275" s="10"/>
      <c r="I275" s="10"/>
      <c r="J275" s="10"/>
      <c r="K275" s="10"/>
      <c r="M275" s="4"/>
      <c r="N275" s="4"/>
      <c r="O275" s="5"/>
      <c r="P275" s="5"/>
    </row>
    <row r="276" spans="1:16" s="9" customFormat="1" x14ac:dyDescent="0.25">
      <c r="A276" s="10"/>
      <c r="F276" s="10"/>
      <c r="G276" s="10"/>
      <c r="H276" s="10"/>
      <c r="I276" s="10"/>
      <c r="J276" s="10"/>
      <c r="K276" s="10"/>
      <c r="M276" s="4"/>
      <c r="N276" s="4"/>
      <c r="O276" s="5"/>
      <c r="P276" s="5"/>
    </row>
    <row r="277" spans="1:16" s="9" customFormat="1" x14ac:dyDescent="0.25">
      <c r="A277" s="10"/>
      <c r="F277" s="10"/>
      <c r="G277" s="10"/>
      <c r="H277" s="10"/>
      <c r="I277" s="10"/>
      <c r="J277" s="10"/>
      <c r="K277" s="10"/>
      <c r="M277" s="4"/>
      <c r="N277" s="4"/>
      <c r="O277" s="5"/>
      <c r="P277" s="5"/>
    </row>
    <row r="278" spans="1:16" s="9" customFormat="1" x14ac:dyDescent="0.25">
      <c r="A278" s="10"/>
      <c r="F278" s="10"/>
      <c r="G278" s="10"/>
      <c r="H278" s="10"/>
      <c r="I278" s="10"/>
      <c r="J278" s="10"/>
      <c r="K278" s="10"/>
      <c r="M278" s="4"/>
      <c r="N278" s="4"/>
      <c r="O278" s="5"/>
      <c r="P278" s="5"/>
    </row>
    <row r="279" spans="1:16" s="9" customFormat="1" x14ac:dyDescent="0.25">
      <c r="A279" s="10"/>
      <c r="F279" s="10"/>
      <c r="G279" s="10"/>
      <c r="H279" s="10"/>
      <c r="I279" s="10"/>
      <c r="J279" s="10"/>
      <c r="K279" s="10"/>
      <c r="M279" s="4"/>
      <c r="N279" s="4"/>
      <c r="O279" s="5"/>
      <c r="P279" s="5"/>
    </row>
    <row r="280" spans="1:16" s="9" customFormat="1" x14ac:dyDescent="0.25">
      <c r="A280" s="10"/>
      <c r="F280" s="10"/>
      <c r="G280" s="10"/>
      <c r="H280" s="10"/>
      <c r="I280" s="10"/>
      <c r="J280" s="10"/>
      <c r="K280" s="10"/>
      <c r="M280" s="4"/>
      <c r="N280" s="4"/>
      <c r="O280" s="5"/>
      <c r="P280" s="5"/>
    </row>
    <row r="281" spans="1:16" s="9" customFormat="1" x14ac:dyDescent="0.25">
      <c r="A281" s="10"/>
      <c r="F281" s="10"/>
      <c r="G281" s="10"/>
      <c r="H281" s="10"/>
      <c r="I281" s="10"/>
      <c r="J281" s="10"/>
      <c r="K281" s="10"/>
      <c r="M281" s="4"/>
      <c r="N281" s="4"/>
      <c r="O281" s="5"/>
      <c r="P281" s="5"/>
    </row>
    <row r="282" spans="1:16" s="9" customFormat="1" x14ac:dyDescent="0.25">
      <c r="A282" s="10"/>
      <c r="F282" s="10"/>
      <c r="G282" s="10"/>
      <c r="H282" s="10"/>
      <c r="I282" s="10"/>
      <c r="J282" s="10"/>
      <c r="K282" s="10"/>
      <c r="M282" s="4"/>
      <c r="N282" s="4"/>
      <c r="O282" s="5"/>
      <c r="P282" s="5"/>
    </row>
    <row r="283" spans="1:16" s="9" customFormat="1" x14ac:dyDescent="0.25">
      <c r="F283" s="10"/>
      <c r="G283" s="10"/>
      <c r="H283" s="10"/>
      <c r="I283" s="10"/>
      <c r="J283" s="10"/>
      <c r="K283" s="10"/>
      <c r="M283" s="4"/>
      <c r="N283" s="4"/>
      <c r="O283" s="5"/>
      <c r="P283" s="5"/>
    </row>
    <row r="284" spans="1:16" s="9" customFormat="1" x14ac:dyDescent="0.25">
      <c r="G284" s="10"/>
      <c r="H284" s="10"/>
      <c r="I284" s="10"/>
      <c r="J284" s="10"/>
      <c r="K284" s="10"/>
      <c r="M284" s="4"/>
      <c r="N284" s="4"/>
      <c r="O284" s="5"/>
      <c r="P284" s="5"/>
    </row>
    <row r="20069" spans="10:16" s="9" customFormat="1" x14ac:dyDescent="0.25">
      <c r="J20069" s="9">
        <v>0</v>
      </c>
      <c r="M20069" s="4"/>
      <c r="N20069" s="4"/>
      <c r="O20069" s="5"/>
      <c r="P20069" s="5"/>
    </row>
  </sheetData>
  <sheetProtection formatColumns="0"/>
  <customSheetViews>
    <customSheetView guid="{06317133-151B-4DBC-8EB3-9345BA061F91}" scale="60" showPageBreaks="1" fitToPage="1" printArea="1" hiddenColumns="1">
      <pane ySplit="6" topLeftCell="A64" activePane="bottomLeft" state="frozen"/>
      <selection pane="bottomLeft" activeCell="A48" sqref="A48:XFD48"/>
      <pageMargins left="0.11811023622047245" right="0" top="0.11811023622047245" bottom="0.11811023622047245" header="0" footer="0"/>
      <printOptions horizontalCentered="1"/>
      <pageSetup paperSize="9" orientation="landscape" r:id="rId1"/>
      <headerFooter>
        <oddFooter>&amp;L&amp;A&amp;Rлист &amp;P    листов &amp;N</oddFooter>
      </headerFooter>
    </customSheetView>
    <customSheetView guid="{375BA386-B398-4A0E-AF86-4319F1FDDF11}" scale="90" fitToPage="1" hiddenColumns="1">
      <pane ySplit="6" topLeftCell="A73" activePane="bottomLeft" state="frozen"/>
      <selection pane="bottomLeft" activeCell="C38" sqref="C38"/>
      <pageMargins left="0.11811023622047245" right="0" top="0.11811023622047245" bottom="0.11811023622047245" header="0" footer="0"/>
      <printOptions horizontalCentered="1"/>
      <pageSetup paperSize="9" orientation="landscape" r:id="rId2"/>
      <headerFooter>
        <oddFooter>&amp;L&amp;A&amp;Rлист &amp;P    листов &amp;N</oddFooter>
      </headerFooter>
    </customSheetView>
    <customSheetView guid="{45C31AC1-6FB2-488C-94EA-BCF9E79D0043}" scale="90" fitToPage="1" hiddenColumns="1">
      <pane ySplit="6" topLeftCell="A31" activePane="bottomLeft" state="frozen"/>
      <selection pane="bottomLeft" activeCell="C37" sqref="C37"/>
      <pageMargins left="0.11811023622047245" right="0" top="0.11811023622047245" bottom="0.11811023622047245" header="0" footer="0"/>
      <printOptions horizontalCentered="1"/>
      <pageSetup paperSize="9" orientation="landscape" r:id="rId3"/>
      <headerFooter>
        <oddFooter>&amp;L&amp;A&amp;Rлист &amp;P    листов &amp;N</oddFooter>
      </headerFooter>
    </customSheetView>
    <customSheetView guid="{845EA106-2CB5-4F86-BBCF-D0DE18153B1C}" scale="90" fitToPage="1" hiddenColumns="1">
      <pane ySplit="6" topLeftCell="A31" activePane="bottomLeft" state="frozen"/>
      <selection pane="bottomLeft" activeCell="C37" sqref="C37"/>
      <pageMargins left="0.11811023622047245" right="0" top="0.11811023622047245" bottom="0.11811023622047245" header="0" footer="0"/>
      <printOptions horizontalCentered="1"/>
      <pageSetup paperSize="9" orientation="landscape" r:id="rId4"/>
      <headerFooter>
        <oddFooter>&amp;L&amp;A&amp;Rлист &amp;P    листов &amp;N</oddFooter>
      </headerFooter>
    </customSheetView>
    <customSheetView guid="{C29DA669-F4F9-44CD-9569-E796ADF74A86}" scale="90" showPageBreaks="1" fitToPage="1" printArea="1" hiddenColumns="1">
      <pane ySplit="6" topLeftCell="A31" activePane="bottomLeft" state="frozen"/>
      <selection pane="bottomLeft" activeCell="C37" sqref="C37"/>
      <pageMargins left="0.11811023622047245" right="0" top="0.11811023622047245" bottom="0.11811023622047245" header="0" footer="0"/>
      <printOptions horizontalCentered="1"/>
      <pageSetup paperSize="9" orientation="landscape" r:id="rId5"/>
      <headerFooter>
        <oddFooter>&amp;L&amp;A&amp;Rлист &amp;P    листов &amp;N</oddFooter>
      </headerFooter>
    </customSheetView>
    <customSheetView guid="{A1BD6C0C-B1B9-4F48-A6B1-3BFD273F4CD7}" scale="90" showPageBreaks="1" fitToPage="1" printArea="1" hiddenColumns="1">
      <pane ySplit="6" topLeftCell="A79" activePane="bottomLeft" state="frozen"/>
      <selection pane="bottomLeft" activeCell="AA14" sqref="AA14"/>
      <pageMargins left="0.11811023622047245" right="0" top="0.11811023622047245" bottom="0.11811023622047245" header="0" footer="0"/>
      <printOptions horizontalCentered="1"/>
      <pageSetup paperSize="9" orientation="landscape" r:id="rId6"/>
      <headerFooter>
        <oddFooter>&amp;L&amp;A&amp;Rлист &amp;P    листов &amp;N</oddFooter>
      </headerFooter>
    </customSheetView>
    <customSheetView guid="{D42288F7-1871-4EF6-BC87-1B9EF747C744}" scale="60" fitToPage="1" hiddenColumns="1">
      <pane ySplit="6" topLeftCell="A7" activePane="bottomLeft" state="frozen"/>
      <selection pane="bottomLeft" activeCell="L29" sqref="L29"/>
      <pageMargins left="0.11811023622047245" right="0" top="0.11811023622047245" bottom="0.11811023622047245" header="0" footer="0"/>
      <printOptions horizontalCentered="1"/>
      <pageSetup paperSize="9" orientation="landscape" r:id="rId7"/>
      <headerFooter>
        <oddFooter>&amp;L&amp;A&amp;Rлист &amp;P    листов &amp;N</oddFooter>
      </headerFooter>
    </customSheetView>
    <customSheetView guid="{8C638750-2D78-446E-B8DA-A6202AF1ED31}" scale="80" showPageBreaks="1" fitToPage="1" printArea="1" hiddenColumns="1">
      <pane ySplit="6" topLeftCell="A73" activePane="bottomLeft" state="frozen"/>
      <selection pane="bottomLeft" activeCell="G60" sqref="G60"/>
      <pageMargins left="0.11811023622047245" right="0" top="0.11811023622047245" bottom="0.11811023622047245" header="0" footer="0"/>
      <printOptions horizontalCentered="1"/>
      <pageSetup paperSize="9" orientation="landscape" r:id="rId8"/>
      <headerFooter>
        <oddFooter>&amp;L&amp;A&amp;Rлист &amp;P    листов &amp;N</oddFooter>
      </headerFooter>
    </customSheetView>
  </customSheetViews>
  <mergeCells count="21">
    <mergeCell ref="B96:D96"/>
    <mergeCell ref="B97:D97"/>
    <mergeCell ref="G5:J5"/>
    <mergeCell ref="K5:K6"/>
    <mergeCell ref="L5:L6"/>
    <mergeCell ref="M5:M6"/>
    <mergeCell ref="N5:N6"/>
    <mergeCell ref="B95:D95"/>
    <mergeCell ref="A5:A6"/>
    <mergeCell ref="B5:B6"/>
    <mergeCell ref="C5:C6"/>
    <mergeCell ref="D5:D6"/>
    <mergeCell ref="E5:E6"/>
    <mergeCell ref="F5:F6"/>
    <mergeCell ref="A1:B1"/>
    <mergeCell ref="I1:K1"/>
    <mergeCell ref="A2:B2"/>
    <mergeCell ref="I2:K2"/>
    <mergeCell ref="A3:B3"/>
    <mergeCell ref="C3:E3"/>
    <mergeCell ref="I3:K3"/>
  </mergeCells>
  <printOptions horizontalCentered="1"/>
  <pageMargins left="0.11811023622047245" right="0" top="0.11811023622047245" bottom="0.11811023622047245" header="0" footer="0"/>
  <pageSetup paperSize="9" orientation="landscape" r:id="rId9"/>
  <headerFooter>
    <oddFooter>&amp;L&amp;A&amp;Rлист &amp;P    листов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72"/>
  <sheetViews>
    <sheetView tabSelected="1" zoomScale="80" zoomScaleNormal="80" zoomScaleSheetLayoutView="90" workbookViewId="0">
      <pane ySplit="7" topLeftCell="A145" activePane="bottomLeft" state="frozen"/>
      <selection activeCell="B1" sqref="B1"/>
      <selection pane="bottomLeft" activeCell="G151" sqref="G151"/>
    </sheetView>
  </sheetViews>
  <sheetFormatPr defaultColWidth="8.85546875" defaultRowHeight="12.75" x14ac:dyDescent="0.2"/>
  <cols>
    <col min="1" max="1" width="7.28515625" style="549" customWidth="1"/>
    <col min="2" max="2" width="27.85546875" style="549" customWidth="1"/>
    <col min="3" max="3" width="53.28515625" style="549" customWidth="1"/>
    <col min="4" max="4" width="7" style="279" customWidth="1"/>
    <col min="5" max="5" width="14" style="549" customWidth="1"/>
    <col min="6" max="6" width="15.7109375" style="549" customWidth="1"/>
    <col min="7" max="11" width="7.7109375" style="549" customWidth="1"/>
    <col min="12" max="12" width="16.7109375" style="549" customWidth="1"/>
    <col min="13" max="13" width="14.7109375" style="549" customWidth="1"/>
    <col min="14" max="14" width="14.140625" style="549" customWidth="1"/>
    <col min="15" max="15" width="23.5703125" style="282" customWidth="1"/>
    <col min="16" max="17" width="9.140625" style="282" customWidth="1"/>
    <col min="18" max="18" width="8.85546875" style="549"/>
    <col min="19" max="22" width="8.85546875" style="549" hidden="1" customWidth="1"/>
    <col min="23" max="16384" width="8.85546875" style="549"/>
  </cols>
  <sheetData>
    <row r="1" spans="1:22" ht="12" customHeight="1" x14ac:dyDescent="0.2">
      <c r="A1" s="581" t="s">
        <v>0</v>
      </c>
      <c r="B1" s="581"/>
      <c r="C1" s="547"/>
      <c r="I1" s="279"/>
      <c r="J1" s="582" t="s">
        <v>1</v>
      </c>
      <c r="K1" s="582"/>
      <c r="L1" s="582"/>
      <c r="M1" s="582"/>
      <c r="N1" s="548"/>
    </row>
    <row r="2" spans="1:22" ht="12" customHeight="1" x14ac:dyDescent="0.2">
      <c r="A2" s="581" t="s">
        <v>2</v>
      </c>
      <c r="B2" s="581"/>
      <c r="C2" s="547"/>
      <c r="J2" s="583" t="s">
        <v>3</v>
      </c>
      <c r="K2" s="583"/>
      <c r="L2" s="583"/>
      <c r="M2" s="583"/>
    </row>
    <row r="3" spans="1:22" ht="12" customHeight="1" x14ac:dyDescent="0.2">
      <c r="A3" s="581" t="s">
        <v>4</v>
      </c>
      <c r="B3" s="581"/>
      <c r="C3" s="547"/>
      <c r="J3" s="583" t="s">
        <v>127</v>
      </c>
      <c r="K3" s="583"/>
      <c r="L3" s="583"/>
      <c r="M3" s="583"/>
    </row>
    <row r="4" spans="1:22" ht="19.899999999999999" customHeight="1" x14ac:dyDescent="0.3">
      <c r="C4" s="592" t="s">
        <v>159</v>
      </c>
      <c r="D4" s="592"/>
      <c r="E4" s="593" t="s">
        <v>838</v>
      </c>
      <c r="F4" s="593"/>
      <c r="G4" s="593"/>
    </row>
    <row r="5" spans="1:22" ht="3" customHeight="1" thickBot="1" x14ac:dyDescent="0.25">
      <c r="E5" s="549" t="s">
        <v>160</v>
      </c>
    </row>
    <row r="6" spans="1:22" ht="12.75" customHeight="1" thickBot="1" x14ac:dyDescent="0.25">
      <c r="A6" s="584" t="s">
        <v>5</v>
      </c>
      <c r="B6" s="585" t="s">
        <v>161</v>
      </c>
      <c r="C6" s="591" t="s">
        <v>6</v>
      </c>
      <c r="D6" s="585" t="s">
        <v>162</v>
      </c>
      <c r="E6" s="587" t="s">
        <v>8</v>
      </c>
      <c r="F6" s="596" t="s">
        <v>163</v>
      </c>
      <c r="G6" s="587" t="s">
        <v>164</v>
      </c>
      <c r="H6" s="589" t="s">
        <v>11</v>
      </c>
      <c r="I6" s="590"/>
      <c r="J6" s="590"/>
      <c r="K6" s="590"/>
      <c r="L6" s="584" t="s">
        <v>12</v>
      </c>
      <c r="M6" s="591" t="s">
        <v>165</v>
      </c>
      <c r="N6" s="546"/>
      <c r="O6" s="284" t="s">
        <v>166</v>
      </c>
    </row>
    <row r="7" spans="1:22" ht="39.6" customHeight="1" thickBot="1" x14ac:dyDescent="0.25">
      <c r="A7" s="584"/>
      <c r="B7" s="586"/>
      <c r="C7" s="591"/>
      <c r="D7" s="586"/>
      <c r="E7" s="588"/>
      <c r="F7" s="597"/>
      <c r="G7" s="588"/>
      <c r="H7" s="285" t="s">
        <v>167</v>
      </c>
      <c r="I7" s="545" t="s">
        <v>168</v>
      </c>
      <c r="J7" s="545" t="s">
        <v>169</v>
      </c>
      <c r="K7" s="545" t="s">
        <v>170</v>
      </c>
      <c r="L7" s="584"/>
      <c r="M7" s="591"/>
      <c r="N7" s="287" t="s">
        <v>171</v>
      </c>
      <c r="O7" s="288" t="s">
        <v>172</v>
      </c>
      <c r="P7" s="289" t="s">
        <v>173</v>
      </c>
    </row>
    <row r="8" spans="1:22" s="301" customFormat="1" x14ac:dyDescent="0.2">
      <c r="A8" s="290" t="s">
        <v>174</v>
      </c>
      <c r="B8" s="538" t="s">
        <v>175</v>
      </c>
      <c r="C8" s="527" t="s">
        <v>176</v>
      </c>
      <c r="D8" s="293"/>
      <c r="E8" s="313">
        <v>8.5</v>
      </c>
      <c r="F8" s="380">
        <f t="shared" ref="F8:F81" si="0">E8*D8</f>
        <v>0</v>
      </c>
      <c r="G8" s="296"/>
      <c r="H8" s="317"/>
      <c r="I8" s="296"/>
      <c r="J8" s="296"/>
      <c r="K8" s="318"/>
      <c r="L8" s="297">
        <f t="shared" ref="L8:L80" si="1">E8*(H8+I8+J8+K8)</f>
        <v>0</v>
      </c>
      <c r="M8" s="298"/>
      <c r="N8" s="298"/>
      <c r="O8" s="299"/>
      <c r="P8" s="300"/>
      <c r="S8" s="301">
        <f t="shared" ref="S8" si="2">H8*E8</f>
        <v>0</v>
      </c>
      <c r="T8" s="301">
        <f t="shared" ref="T8" si="3">I8*E8</f>
        <v>0</v>
      </c>
      <c r="U8" s="301">
        <f t="shared" ref="U8" si="4">J8*E8</f>
        <v>0</v>
      </c>
      <c r="V8" s="301">
        <f t="shared" ref="V8" si="5">K8*E8</f>
        <v>0</v>
      </c>
    </row>
    <row r="9" spans="1:22" s="301" customFormat="1" x14ac:dyDescent="0.2">
      <c r="A9" s="511" t="s">
        <v>177</v>
      </c>
      <c r="B9" s="291" t="s">
        <v>175</v>
      </c>
      <c r="C9" s="527" t="s">
        <v>178</v>
      </c>
      <c r="D9" s="293"/>
      <c r="E9" s="313">
        <v>9</v>
      </c>
      <c r="F9" s="379">
        <f>E9*D9</f>
        <v>0</v>
      </c>
      <c r="G9" s="296"/>
      <c r="H9" s="296"/>
      <c r="I9" s="296"/>
      <c r="J9" s="296"/>
      <c r="K9" s="296"/>
      <c r="L9" s="297">
        <f>E9*(H9+I9+J9+K9)</f>
        <v>0</v>
      </c>
      <c r="M9" s="298"/>
      <c r="N9" s="298"/>
      <c r="O9" s="315"/>
      <c r="P9" s="300"/>
      <c r="S9" s="301">
        <f t="shared" ref="S9:S82" si="6">H9*E9</f>
        <v>0</v>
      </c>
      <c r="T9" s="301">
        <f t="shared" ref="T9:T82" si="7">I9*E9</f>
        <v>0</v>
      </c>
      <c r="U9" s="301">
        <f t="shared" ref="U9:U82" si="8">J9*E9</f>
        <v>0</v>
      </c>
      <c r="V9" s="301">
        <f t="shared" ref="V9:V82" si="9">K9*E9</f>
        <v>0</v>
      </c>
    </row>
    <row r="10" spans="1:22" s="301" customFormat="1" x14ac:dyDescent="0.2">
      <c r="A10" s="290" t="s">
        <v>179</v>
      </c>
      <c r="B10" s="291" t="s">
        <v>175</v>
      </c>
      <c r="C10" s="527" t="s">
        <v>180</v>
      </c>
      <c r="D10" s="293"/>
      <c r="E10" s="313">
        <v>13.45</v>
      </c>
      <c r="F10" s="379">
        <f t="shared" si="0"/>
        <v>0</v>
      </c>
      <c r="G10" s="296"/>
      <c r="H10" s="296"/>
      <c r="I10" s="296"/>
      <c r="J10" s="296"/>
      <c r="K10" s="296"/>
      <c r="L10" s="297">
        <f t="shared" si="1"/>
        <v>0</v>
      </c>
      <c r="M10" s="298"/>
      <c r="N10" s="298"/>
      <c r="O10" s="315"/>
      <c r="P10" s="300"/>
      <c r="S10" s="301">
        <f t="shared" si="6"/>
        <v>0</v>
      </c>
      <c r="T10" s="301">
        <f t="shared" si="7"/>
        <v>0</v>
      </c>
      <c r="U10" s="301">
        <f t="shared" si="8"/>
        <v>0</v>
      </c>
      <c r="V10" s="301">
        <f t="shared" si="9"/>
        <v>0</v>
      </c>
    </row>
    <row r="11" spans="1:22" s="301" customFormat="1" x14ac:dyDescent="0.2">
      <c r="A11" s="511" t="s">
        <v>181</v>
      </c>
      <c r="B11" s="291" t="s">
        <v>175</v>
      </c>
      <c r="C11" s="527" t="s">
        <v>182</v>
      </c>
      <c r="D11" s="293"/>
      <c r="E11" s="313">
        <v>7.8</v>
      </c>
      <c r="F11" s="379">
        <f t="shared" si="0"/>
        <v>0</v>
      </c>
      <c r="G11" s="296"/>
      <c r="H11" s="296"/>
      <c r="I11" s="296"/>
      <c r="J11" s="296"/>
      <c r="K11" s="296"/>
      <c r="L11" s="297">
        <f t="shared" si="1"/>
        <v>0</v>
      </c>
      <c r="M11" s="298"/>
      <c r="N11" s="298"/>
      <c r="O11" s="315"/>
      <c r="P11" s="300"/>
      <c r="S11" s="301">
        <f t="shared" si="6"/>
        <v>0</v>
      </c>
      <c r="T11" s="301">
        <f t="shared" si="7"/>
        <v>0</v>
      </c>
      <c r="U11" s="301">
        <f t="shared" si="8"/>
        <v>0</v>
      </c>
      <c r="V11" s="301">
        <f t="shared" si="9"/>
        <v>0</v>
      </c>
    </row>
    <row r="12" spans="1:22" s="301" customFormat="1" x14ac:dyDescent="0.2">
      <c r="A12" s="290" t="s">
        <v>183</v>
      </c>
      <c r="B12" s="291" t="s">
        <v>175</v>
      </c>
      <c r="C12" s="527" t="s">
        <v>184</v>
      </c>
      <c r="D12" s="293">
        <v>300</v>
      </c>
      <c r="E12" s="313">
        <v>58.3</v>
      </c>
      <c r="F12" s="379">
        <f t="shared" si="0"/>
        <v>17490</v>
      </c>
      <c r="G12" s="296"/>
      <c r="H12" s="296"/>
      <c r="I12" s="296"/>
      <c r="J12" s="296"/>
      <c r="K12" s="296"/>
      <c r="L12" s="297">
        <f t="shared" si="1"/>
        <v>0</v>
      </c>
      <c r="M12" s="298"/>
      <c r="N12" s="298"/>
      <c r="O12" s="315"/>
      <c r="P12" s="300"/>
      <c r="S12" s="301">
        <f t="shared" si="6"/>
        <v>0</v>
      </c>
      <c r="T12" s="301">
        <f t="shared" si="7"/>
        <v>0</v>
      </c>
      <c r="U12" s="301">
        <f t="shared" si="8"/>
        <v>0</v>
      </c>
      <c r="V12" s="301">
        <f t="shared" si="9"/>
        <v>0</v>
      </c>
    </row>
    <row r="13" spans="1:22" s="301" customFormat="1" x14ac:dyDescent="0.2">
      <c r="A13" s="511">
        <v>2771</v>
      </c>
      <c r="B13" s="291" t="s">
        <v>175</v>
      </c>
      <c r="C13" s="527" t="s">
        <v>185</v>
      </c>
      <c r="D13" s="293"/>
      <c r="E13" s="313">
        <v>3.16</v>
      </c>
      <c r="F13" s="379">
        <f>E13*D13</f>
        <v>0</v>
      </c>
      <c r="G13" s="296"/>
      <c r="H13" s="296"/>
      <c r="I13" s="296"/>
      <c r="J13" s="296"/>
      <c r="K13" s="296"/>
      <c r="L13" s="297">
        <f t="shared" si="1"/>
        <v>0</v>
      </c>
      <c r="M13" s="298"/>
      <c r="N13" s="298"/>
      <c r="O13" s="315"/>
      <c r="P13" s="300"/>
      <c r="S13" s="301">
        <f t="shared" si="6"/>
        <v>0</v>
      </c>
      <c r="T13" s="301">
        <f t="shared" si="7"/>
        <v>0</v>
      </c>
      <c r="U13" s="301">
        <f t="shared" si="8"/>
        <v>0</v>
      </c>
      <c r="V13" s="301">
        <f t="shared" si="9"/>
        <v>0</v>
      </c>
    </row>
    <row r="14" spans="1:22" s="301" customFormat="1" x14ac:dyDescent="0.2">
      <c r="A14" s="290">
        <v>2772</v>
      </c>
      <c r="B14" s="291" t="s">
        <v>175</v>
      </c>
      <c r="C14" s="527" t="s">
        <v>186</v>
      </c>
      <c r="D14" s="293"/>
      <c r="E14" s="313">
        <v>3.16</v>
      </c>
      <c r="F14" s="379">
        <f t="shared" si="0"/>
        <v>0</v>
      </c>
      <c r="G14" s="296"/>
      <c r="H14" s="296"/>
      <c r="I14" s="296"/>
      <c r="J14" s="296"/>
      <c r="K14" s="296"/>
      <c r="L14" s="297">
        <f t="shared" si="1"/>
        <v>0</v>
      </c>
      <c r="M14" s="298"/>
      <c r="N14" s="298"/>
      <c r="O14" s="315"/>
      <c r="P14" s="300"/>
      <c r="S14" s="301">
        <f t="shared" si="6"/>
        <v>0</v>
      </c>
      <c r="T14" s="301">
        <f t="shared" si="7"/>
        <v>0</v>
      </c>
      <c r="U14" s="301">
        <f t="shared" si="8"/>
        <v>0</v>
      </c>
      <c r="V14" s="301">
        <f t="shared" si="9"/>
        <v>0</v>
      </c>
    </row>
    <row r="15" spans="1:22" s="301" customFormat="1" x14ac:dyDescent="0.2">
      <c r="A15" s="290">
        <v>2773</v>
      </c>
      <c r="B15" s="291" t="s">
        <v>175</v>
      </c>
      <c r="C15" s="527" t="s">
        <v>187</v>
      </c>
      <c r="D15" s="293"/>
      <c r="E15" s="313">
        <v>3.16</v>
      </c>
      <c r="F15" s="379">
        <f t="shared" si="0"/>
        <v>0</v>
      </c>
      <c r="G15" s="296"/>
      <c r="H15" s="296"/>
      <c r="I15" s="296"/>
      <c r="J15" s="296"/>
      <c r="K15" s="296"/>
      <c r="L15" s="297">
        <f t="shared" si="1"/>
        <v>0</v>
      </c>
      <c r="M15" s="298"/>
      <c r="N15" s="298"/>
      <c r="O15" s="315"/>
      <c r="P15" s="300"/>
      <c r="S15" s="301">
        <f t="shared" si="6"/>
        <v>0</v>
      </c>
      <c r="T15" s="301">
        <f t="shared" si="7"/>
        <v>0</v>
      </c>
      <c r="U15" s="301">
        <f t="shared" si="8"/>
        <v>0</v>
      </c>
      <c r="V15" s="301">
        <f t="shared" si="9"/>
        <v>0</v>
      </c>
    </row>
    <row r="16" spans="1:22" s="301" customFormat="1" x14ac:dyDescent="0.2">
      <c r="A16" s="511" t="s">
        <v>188</v>
      </c>
      <c r="B16" s="291" t="s">
        <v>175</v>
      </c>
      <c r="C16" s="527" t="s">
        <v>189</v>
      </c>
      <c r="D16" s="293"/>
      <c r="E16" s="313">
        <v>3.16</v>
      </c>
      <c r="F16" s="379">
        <f t="shared" si="0"/>
        <v>0</v>
      </c>
      <c r="G16" s="296"/>
      <c r="H16" s="296"/>
      <c r="I16" s="296"/>
      <c r="J16" s="296"/>
      <c r="K16" s="296"/>
      <c r="L16" s="297">
        <f t="shared" si="1"/>
        <v>0</v>
      </c>
      <c r="M16" s="298"/>
      <c r="N16" s="298"/>
      <c r="O16" s="315"/>
      <c r="P16" s="300"/>
      <c r="S16" s="301">
        <f t="shared" si="6"/>
        <v>0</v>
      </c>
      <c r="T16" s="301">
        <f t="shared" si="7"/>
        <v>0</v>
      </c>
      <c r="U16" s="301">
        <f t="shared" si="8"/>
        <v>0</v>
      </c>
      <c r="V16" s="301">
        <f t="shared" si="9"/>
        <v>0</v>
      </c>
    </row>
    <row r="17" spans="1:22" s="301" customFormat="1" x14ac:dyDescent="0.2">
      <c r="A17" s="290">
        <v>3558</v>
      </c>
      <c r="B17" s="291" t="s">
        <v>175</v>
      </c>
      <c r="C17" s="527" t="s">
        <v>190</v>
      </c>
      <c r="D17" s="293"/>
      <c r="E17" s="313">
        <v>3.16</v>
      </c>
      <c r="F17" s="379">
        <f>E17*D17</f>
        <v>0</v>
      </c>
      <c r="G17" s="296"/>
      <c r="H17" s="296"/>
      <c r="I17" s="296"/>
      <c r="J17" s="296"/>
      <c r="K17" s="296"/>
      <c r="L17" s="297">
        <f t="shared" si="1"/>
        <v>0</v>
      </c>
      <c r="M17" s="298"/>
      <c r="N17" s="298"/>
      <c r="O17" s="315"/>
      <c r="P17" s="300"/>
      <c r="S17" s="301">
        <f t="shared" si="6"/>
        <v>0</v>
      </c>
      <c r="T17" s="301">
        <f t="shared" si="7"/>
        <v>0</v>
      </c>
      <c r="U17" s="301">
        <f t="shared" si="8"/>
        <v>0</v>
      </c>
      <c r="V17" s="301">
        <f t="shared" si="9"/>
        <v>0</v>
      </c>
    </row>
    <row r="18" spans="1:22" s="301" customFormat="1" x14ac:dyDescent="0.2">
      <c r="A18" s="290">
        <v>3238</v>
      </c>
      <c r="B18" s="291" t="s">
        <v>175</v>
      </c>
      <c r="C18" s="527" t="s">
        <v>191</v>
      </c>
      <c r="D18" s="293"/>
      <c r="E18" s="313">
        <v>6.32</v>
      </c>
      <c r="F18" s="379">
        <f t="shared" si="0"/>
        <v>0</v>
      </c>
      <c r="G18" s="296"/>
      <c r="H18" s="296"/>
      <c r="I18" s="296"/>
      <c r="J18" s="296"/>
      <c r="K18" s="296"/>
      <c r="L18" s="297">
        <f t="shared" si="1"/>
        <v>0</v>
      </c>
      <c r="M18" s="298"/>
      <c r="N18" s="298"/>
      <c r="O18" s="315"/>
      <c r="P18" s="300"/>
      <c r="S18" s="301">
        <f t="shared" si="6"/>
        <v>0</v>
      </c>
      <c r="T18" s="301">
        <f t="shared" si="7"/>
        <v>0</v>
      </c>
      <c r="U18" s="301">
        <f t="shared" si="8"/>
        <v>0</v>
      </c>
      <c r="V18" s="301">
        <f t="shared" si="9"/>
        <v>0</v>
      </c>
    </row>
    <row r="19" spans="1:22" s="301" customFormat="1" x14ac:dyDescent="0.2">
      <c r="A19" s="290">
        <v>3239</v>
      </c>
      <c r="B19" s="291" t="s">
        <v>175</v>
      </c>
      <c r="C19" s="527" t="s">
        <v>192</v>
      </c>
      <c r="D19" s="293"/>
      <c r="E19" s="313">
        <v>9.1999999999999993</v>
      </c>
      <c r="F19" s="379">
        <f t="shared" si="0"/>
        <v>0</v>
      </c>
      <c r="G19" s="296"/>
      <c r="H19" s="296"/>
      <c r="I19" s="296"/>
      <c r="J19" s="296"/>
      <c r="K19" s="296"/>
      <c r="L19" s="297">
        <f t="shared" si="1"/>
        <v>0</v>
      </c>
      <c r="M19" s="298"/>
      <c r="N19" s="298"/>
      <c r="O19" s="315"/>
      <c r="P19" s="300"/>
      <c r="S19" s="301">
        <f t="shared" si="6"/>
        <v>0</v>
      </c>
      <c r="T19" s="301">
        <f t="shared" si="7"/>
        <v>0</v>
      </c>
      <c r="U19" s="301">
        <f t="shared" si="8"/>
        <v>0</v>
      </c>
      <c r="V19" s="301">
        <f t="shared" si="9"/>
        <v>0</v>
      </c>
    </row>
    <row r="20" spans="1:22" s="301" customFormat="1" x14ac:dyDescent="0.2">
      <c r="A20" s="290">
        <v>3515</v>
      </c>
      <c r="B20" s="291" t="s">
        <v>175</v>
      </c>
      <c r="C20" s="527" t="s">
        <v>193</v>
      </c>
      <c r="D20" s="293"/>
      <c r="E20" s="313">
        <v>13.22</v>
      </c>
      <c r="F20" s="379">
        <f t="shared" si="0"/>
        <v>0</v>
      </c>
      <c r="G20" s="296"/>
      <c r="H20" s="296"/>
      <c r="I20" s="296"/>
      <c r="J20" s="296"/>
      <c r="K20" s="296"/>
      <c r="L20" s="297">
        <f t="shared" si="1"/>
        <v>0</v>
      </c>
      <c r="M20" s="298"/>
      <c r="N20" s="298"/>
      <c r="O20" s="315"/>
      <c r="P20" s="300"/>
      <c r="S20" s="301">
        <f t="shared" si="6"/>
        <v>0</v>
      </c>
      <c r="T20" s="301">
        <f t="shared" si="7"/>
        <v>0</v>
      </c>
      <c r="U20" s="301">
        <f t="shared" si="8"/>
        <v>0</v>
      </c>
      <c r="V20" s="301">
        <f t="shared" si="9"/>
        <v>0</v>
      </c>
    </row>
    <row r="21" spans="1:22" s="301" customFormat="1" x14ac:dyDescent="0.2">
      <c r="A21" s="455">
        <v>3240</v>
      </c>
      <c r="B21" s="291" t="s">
        <v>175</v>
      </c>
      <c r="C21" s="527" t="s">
        <v>194</v>
      </c>
      <c r="D21" s="293"/>
      <c r="E21" s="313">
        <v>11.05</v>
      </c>
      <c r="F21" s="379">
        <f t="shared" si="0"/>
        <v>0</v>
      </c>
      <c r="G21" s="296"/>
      <c r="H21" s="296"/>
      <c r="I21" s="296"/>
      <c r="J21" s="296"/>
      <c r="K21" s="296"/>
      <c r="L21" s="297">
        <f t="shared" si="1"/>
        <v>0</v>
      </c>
      <c r="M21" s="298"/>
      <c r="N21" s="298"/>
      <c r="O21" s="315"/>
      <c r="P21" s="300"/>
      <c r="S21" s="301">
        <f t="shared" si="6"/>
        <v>0</v>
      </c>
      <c r="T21" s="301">
        <f t="shared" si="7"/>
        <v>0</v>
      </c>
      <c r="U21" s="301">
        <f t="shared" si="8"/>
        <v>0</v>
      </c>
      <c r="V21" s="301">
        <f t="shared" si="9"/>
        <v>0</v>
      </c>
    </row>
    <row r="22" spans="1:22" s="301" customFormat="1" x14ac:dyDescent="0.2">
      <c r="A22" s="290">
        <v>4291</v>
      </c>
      <c r="B22" s="291" t="s">
        <v>175</v>
      </c>
      <c r="C22" s="527" t="s">
        <v>195</v>
      </c>
      <c r="D22" s="293"/>
      <c r="E22" s="313">
        <v>23996.5</v>
      </c>
      <c r="F22" s="379">
        <f t="shared" si="0"/>
        <v>0</v>
      </c>
      <c r="G22" s="296"/>
      <c r="H22" s="296"/>
      <c r="I22" s="296"/>
      <c r="J22" s="296"/>
      <c r="K22" s="296"/>
      <c r="L22" s="297">
        <f t="shared" si="1"/>
        <v>0</v>
      </c>
      <c r="M22" s="298"/>
      <c r="N22" s="298"/>
      <c r="O22" s="315"/>
      <c r="P22" s="300"/>
      <c r="S22" s="301">
        <f t="shared" si="6"/>
        <v>0</v>
      </c>
      <c r="T22" s="301">
        <f t="shared" si="7"/>
        <v>0</v>
      </c>
      <c r="U22" s="301">
        <f t="shared" si="8"/>
        <v>0</v>
      </c>
      <c r="V22" s="301">
        <f t="shared" si="9"/>
        <v>0</v>
      </c>
    </row>
    <row r="23" spans="1:22" s="301" customFormat="1" x14ac:dyDescent="0.2">
      <c r="A23" s="290">
        <v>1690</v>
      </c>
      <c r="B23" s="291" t="s">
        <v>175</v>
      </c>
      <c r="C23" s="527" t="s">
        <v>196</v>
      </c>
      <c r="D23" s="293"/>
      <c r="E23" s="313">
        <v>52</v>
      </c>
      <c r="F23" s="379">
        <f t="shared" si="0"/>
        <v>0</v>
      </c>
      <c r="G23" s="296"/>
      <c r="H23" s="296"/>
      <c r="I23" s="296"/>
      <c r="J23" s="296"/>
      <c r="K23" s="296"/>
      <c r="L23" s="297">
        <f t="shared" si="1"/>
        <v>0</v>
      </c>
      <c r="M23" s="298"/>
      <c r="N23" s="298"/>
      <c r="O23" s="315"/>
      <c r="P23" s="300"/>
      <c r="S23" s="301">
        <f t="shared" si="6"/>
        <v>0</v>
      </c>
      <c r="T23" s="301">
        <f t="shared" si="7"/>
        <v>0</v>
      </c>
      <c r="U23" s="301">
        <f t="shared" si="8"/>
        <v>0</v>
      </c>
      <c r="V23" s="301">
        <f t="shared" si="9"/>
        <v>0</v>
      </c>
    </row>
    <row r="24" spans="1:22" s="301" customFormat="1" x14ac:dyDescent="0.2">
      <c r="A24" s="319"/>
      <c r="B24" s="320"/>
      <c r="C24" s="437"/>
      <c r="D24" s="322"/>
      <c r="E24" s="323"/>
      <c r="F24" s="379">
        <f>E24*D24</f>
        <v>0</v>
      </c>
      <c r="G24" s="296"/>
      <c r="H24" s="296"/>
      <c r="I24" s="296"/>
      <c r="J24" s="296"/>
      <c r="K24" s="296"/>
      <c r="L24" s="297">
        <f t="shared" si="1"/>
        <v>0</v>
      </c>
      <c r="M24" s="298"/>
      <c r="N24" s="298"/>
      <c r="O24" s="315"/>
      <c r="P24" s="300"/>
      <c r="S24" s="301">
        <f t="shared" si="6"/>
        <v>0</v>
      </c>
      <c r="T24" s="301">
        <f t="shared" si="7"/>
        <v>0</v>
      </c>
      <c r="U24" s="301">
        <f t="shared" si="8"/>
        <v>0</v>
      </c>
      <c r="V24" s="301">
        <f t="shared" si="9"/>
        <v>0</v>
      </c>
    </row>
    <row r="25" spans="1:22" s="301" customFormat="1" x14ac:dyDescent="0.2">
      <c r="A25" s="290" t="s">
        <v>205</v>
      </c>
      <c r="B25" s="291"/>
      <c r="C25" s="527" t="s">
        <v>206</v>
      </c>
      <c r="D25" s="293"/>
      <c r="E25" s="313">
        <v>1610.17</v>
      </c>
      <c r="F25" s="379">
        <f>E25*D25</f>
        <v>0</v>
      </c>
      <c r="G25" s="296"/>
      <c r="H25" s="296"/>
      <c r="I25" s="296"/>
      <c r="J25" s="296"/>
      <c r="K25" s="296"/>
      <c r="L25" s="297">
        <f t="shared" si="1"/>
        <v>0</v>
      </c>
      <c r="M25" s="298"/>
      <c r="N25" s="298"/>
      <c r="O25" s="315"/>
      <c r="P25" s="300"/>
      <c r="S25" s="301">
        <f t="shared" si="6"/>
        <v>0</v>
      </c>
      <c r="T25" s="301">
        <f t="shared" si="7"/>
        <v>0</v>
      </c>
      <c r="U25" s="301">
        <f t="shared" si="8"/>
        <v>0</v>
      </c>
      <c r="V25" s="301">
        <f t="shared" si="9"/>
        <v>0</v>
      </c>
    </row>
    <row r="26" spans="1:22" s="301" customFormat="1" x14ac:dyDescent="0.2">
      <c r="A26" s="290" t="s">
        <v>207</v>
      </c>
      <c r="B26" s="291"/>
      <c r="C26" s="527" t="s">
        <v>206</v>
      </c>
      <c r="D26" s="293"/>
      <c r="E26" s="313">
        <v>1686.44</v>
      </c>
      <c r="F26" s="379">
        <f>E26*D26</f>
        <v>0</v>
      </c>
      <c r="G26" s="296">
        <v>23</v>
      </c>
      <c r="H26" s="296"/>
      <c r="I26" s="296"/>
      <c r="J26" s="296"/>
      <c r="K26" s="296"/>
      <c r="L26" s="297">
        <f>E26*(H26+I26+J26+K26)</f>
        <v>0</v>
      </c>
      <c r="M26" s="298"/>
      <c r="N26" s="298"/>
      <c r="O26" s="315"/>
      <c r="P26" s="300"/>
      <c r="S26" s="301">
        <f t="shared" si="6"/>
        <v>0</v>
      </c>
      <c r="T26" s="301">
        <f t="shared" si="7"/>
        <v>0</v>
      </c>
      <c r="U26" s="301">
        <f t="shared" si="8"/>
        <v>0</v>
      </c>
      <c r="V26" s="301">
        <f t="shared" si="9"/>
        <v>0</v>
      </c>
    </row>
    <row r="27" spans="1:22" s="301" customFormat="1" ht="15" x14ac:dyDescent="0.2">
      <c r="A27" s="550"/>
      <c r="B27" s="291"/>
      <c r="C27" s="527"/>
      <c r="D27" s="293"/>
      <c r="E27" s="551"/>
      <c r="F27" s="379"/>
      <c r="G27" s="296"/>
      <c r="H27" s="296"/>
      <c r="I27" s="296"/>
      <c r="J27" s="296"/>
      <c r="K27" s="296"/>
      <c r="L27" s="297"/>
      <c r="M27" s="298"/>
      <c r="N27" s="298"/>
      <c r="O27" s="315"/>
      <c r="P27" s="300"/>
      <c r="S27" s="301">
        <f t="shared" si="6"/>
        <v>0</v>
      </c>
      <c r="T27" s="301">
        <f t="shared" si="7"/>
        <v>0</v>
      </c>
      <c r="U27" s="301">
        <f t="shared" si="8"/>
        <v>0</v>
      </c>
      <c r="V27" s="301">
        <f t="shared" si="9"/>
        <v>0</v>
      </c>
    </row>
    <row r="28" spans="1:22" s="301" customFormat="1" x14ac:dyDescent="0.2">
      <c r="A28" s="290">
        <v>5585</v>
      </c>
      <c r="B28" s="291" t="s">
        <v>199</v>
      </c>
      <c r="C28" s="527" t="s">
        <v>201</v>
      </c>
      <c r="D28" s="293">
        <v>1</v>
      </c>
      <c r="E28" s="313">
        <v>17900</v>
      </c>
      <c r="F28" s="379">
        <f t="shared" ref="F28:F39" si="10">E28*D28</f>
        <v>17900</v>
      </c>
      <c r="G28" s="296"/>
      <c r="H28" s="296"/>
      <c r="I28" s="296"/>
      <c r="J28" s="296"/>
      <c r="K28" s="296"/>
      <c r="L28" s="297">
        <f t="shared" ref="L28:L38" si="11">E28*(H28+I28+J28+K28)</f>
        <v>0</v>
      </c>
      <c r="M28" s="298">
        <v>43620</v>
      </c>
      <c r="N28" s="298">
        <v>43644</v>
      </c>
      <c r="O28" s="315"/>
      <c r="P28" s="300"/>
      <c r="S28" s="301">
        <f t="shared" si="6"/>
        <v>0</v>
      </c>
      <c r="T28" s="301">
        <f t="shared" si="7"/>
        <v>0</v>
      </c>
      <c r="U28" s="301">
        <f t="shared" si="8"/>
        <v>0</v>
      </c>
      <c r="V28" s="301">
        <f t="shared" si="9"/>
        <v>0</v>
      </c>
    </row>
    <row r="29" spans="1:22" s="301" customFormat="1" x14ac:dyDescent="0.2">
      <c r="A29" s="290">
        <v>5586</v>
      </c>
      <c r="B29" s="291" t="s">
        <v>199</v>
      </c>
      <c r="C29" s="527" t="s">
        <v>202</v>
      </c>
      <c r="D29" s="293">
        <v>1</v>
      </c>
      <c r="E29" s="313">
        <v>18500</v>
      </c>
      <c r="F29" s="379">
        <f t="shared" si="10"/>
        <v>18500</v>
      </c>
      <c r="G29" s="296"/>
      <c r="H29" s="296"/>
      <c r="I29" s="296"/>
      <c r="J29" s="296"/>
      <c r="K29" s="296"/>
      <c r="L29" s="297">
        <f t="shared" si="11"/>
        <v>0</v>
      </c>
      <c r="M29" s="298">
        <v>43620</v>
      </c>
      <c r="N29" s="298">
        <v>43644</v>
      </c>
      <c r="O29" s="315"/>
      <c r="P29" s="300"/>
      <c r="S29" s="301">
        <f t="shared" si="6"/>
        <v>0</v>
      </c>
      <c r="T29" s="301">
        <f t="shared" si="7"/>
        <v>0</v>
      </c>
      <c r="U29" s="301">
        <f t="shared" si="8"/>
        <v>0</v>
      </c>
      <c r="V29" s="301">
        <f t="shared" si="9"/>
        <v>0</v>
      </c>
    </row>
    <row r="30" spans="1:22" s="301" customFormat="1" x14ac:dyDescent="0.2">
      <c r="A30" s="290">
        <v>5587</v>
      </c>
      <c r="B30" s="291" t="s">
        <v>199</v>
      </c>
      <c r="C30" s="527" t="s">
        <v>839</v>
      </c>
      <c r="D30" s="293">
        <v>15</v>
      </c>
      <c r="E30" s="313">
        <v>1860</v>
      </c>
      <c r="F30" s="379">
        <f t="shared" si="10"/>
        <v>27900</v>
      </c>
      <c r="G30" s="296"/>
      <c r="H30" s="296"/>
      <c r="I30" s="296"/>
      <c r="J30" s="296"/>
      <c r="K30" s="296"/>
      <c r="L30" s="297">
        <f t="shared" ref="L30:L36" si="12">E30*(H30+I30+J30+K30)</f>
        <v>0</v>
      </c>
      <c r="M30" s="298">
        <v>43620</v>
      </c>
      <c r="N30" s="298">
        <v>43644</v>
      </c>
      <c r="O30" s="315"/>
      <c r="P30" s="300"/>
      <c r="S30" s="301">
        <f t="shared" si="6"/>
        <v>0</v>
      </c>
      <c r="T30" s="301">
        <f t="shared" si="7"/>
        <v>0</v>
      </c>
      <c r="U30" s="301">
        <f t="shared" si="8"/>
        <v>0</v>
      </c>
      <c r="V30" s="301">
        <f t="shared" si="9"/>
        <v>0</v>
      </c>
    </row>
    <row r="31" spans="1:22" s="301" customFormat="1" x14ac:dyDescent="0.2">
      <c r="A31" s="511">
        <v>5601</v>
      </c>
      <c r="B31" s="508" t="s">
        <v>199</v>
      </c>
      <c r="C31" s="531" t="s">
        <v>858</v>
      </c>
      <c r="D31" s="512">
        <v>9</v>
      </c>
      <c r="E31" s="513">
        <v>1980</v>
      </c>
      <c r="F31" s="379">
        <f>E31*D31</f>
        <v>17820</v>
      </c>
      <c r="G31" s="296"/>
      <c r="H31" s="296"/>
      <c r="I31" s="296"/>
      <c r="J31" s="296"/>
      <c r="K31" s="296"/>
      <c r="L31" s="297">
        <f t="shared" si="12"/>
        <v>0</v>
      </c>
      <c r="M31" s="298"/>
      <c r="N31" s="298"/>
      <c r="O31" s="315"/>
      <c r="P31" s="300"/>
      <c r="S31" s="301">
        <f>H31*E31</f>
        <v>0</v>
      </c>
      <c r="T31" s="301">
        <f>I31*E31</f>
        <v>0</v>
      </c>
      <c r="U31" s="301">
        <f>J31*E31</f>
        <v>0</v>
      </c>
      <c r="V31" s="301">
        <f>K31*E31</f>
        <v>0</v>
      </c>
    </row>
    <row r="32" spans="1:22" s="301" customFormat="1" x14ac:dyDescent="0.2">
      <c r="A32" s="511">
        <v>5602</v>
      </c>
      <c r="B32" s="508" t="s">
        <v>199</v>
      </c>
      <c r="C32" s="534" t="s">
        <v>859</v>
      </c>
      <c r="D32" s="512">
        <v>16</v>
      </c>
      <c r="E32" s="513">
        <v>1950</v>
      </c>
      <c r="F32" s="379">
        <f>E32*D32</f>
        <v>31200</v>
      </c>
      <c r="G32" s="296"/>
      <c r="H32" s="296"/>
      <c r="I32" s="296"/>
      <c r="J32" s="296"/>
      <c r="K32" s="296"/>
      <c r="L32" s="297">
        <f t="shared" si="12"/>
        <v>0</v>
      </c>
      <c r="M32" s="298"/>
      <c r="N32" s="298"/>
      <c r="O32" s="315"/>
      <c r="P32" s="300"/>
      <c r="S32" s="301">
        <f>H32*E32</f>
        <v>0</v>
      </c>
      <c r="T32" s="301">
        <f>I32*E32</f>
        <v>0</v>
      </c>
      <c r="U32" s="301">
        <f>J32*E32</f>
        <v>0</v>
      </c>
      <c r="V32" s="301">
        <f>K32*E32</f>
        <v>0</v>
      </c>
    </row>
    <row r="33" spans="1:22" s="301" customFormat="1" x14ac:dyDescent="0.2">
      <c r="A33" s="511">
        <v>5603</v>
      </c>
      <c r="B33" s="508" t="s">
        <v>199</v>
      </c>
      <c r="C33" s="534" t="s">
        <v>860</v>
      </c>
      <c r="D33" s="512">
        <v>16</v>
      </c>
      <c r="E33" s="513">
        <v>800</v>
      </c>
      <c r="F33" s="379">
        <f>E33*D33</f>
        <v>12800</v>
      </c>
      <c r="G33" s="296"/>
      <c r="H33" s="296"/>
      <c r="I33" s="296"/>
      <c r="J33" s="296"/>
      <c r="K33" s="296"/>
      <c r="L33" s="297">
        <f t="shared" si="12"/>
        <v>0</v>
      </c>
      <c r="M33" s="298"/>
      <c r="N33" s="298"/>
      <c r="O33" s="315"/>
      <c r="P33" s="300"/>
      <c r="S33" s="301">
        <f>H33*E33</f>
        <v>0</v>
      </c>
      <c r="T33" s="301">
        <f>I33*E33</f>
        <v>0</v>
      </c>
      <c r="U33" s="301">
        <f>J33*E33</f>
        <v>0</v>
      </c>
      <c r="V33" s="301">
        <f>K33*E33</f>
        <v>0</v>
      </c>
    </row>
    <row r="34" spans="1:22" s="301" customFormat="1" x14ac:dyDescent="0.2">
      <c r="A34" s="511">
        <v>5604</v>
      </c>
      <c r="B34" s="508" t="s">
        <v>199</v>
      </c>
      <c r="C34" s="534" t="s">
        <v>197</v>
      </c>
      <c r="D34" s="512">
        <v>1</v>
      </c>
      <c r="E34" s="313"/>
      <c r="F34" s="379">
        <f>E34*D34</f>
        <v>0</v>
      </c>
      <c r="G34" s="296"/>
      <c r="H34" s="296"/>
      <c r="I34" s="296"/>
      <c r="J34" s="296"/>
      <c r="K34" s="296"/>
      <c r="L34" s="297">
        <f t="shared" si="12"/>
        <v>0</v>
      </c>
      <c r="M34" s="298">
        <v>43627</v>
      </c>
      <c r="N34" s="298"/>
      <c r="O34" s="315"/>
      <c r="P34" s="300"/>
      <c r="S34" s="301">
        <f>H34*E34</f>
        <v>0</v>
      </c>
      <c r="T34" s="301">
        <f>I34*E34</f>
        <v>0</v>
      </c>
      <c r="U34" s="301">
        <f>J34*E34</f>
        <v>0</v>
      </c>
      <c r="V34" s="301">
        <f>K34*E34</f>
        <v>0</v>
      </c>
    </row>
    <row r="35" spans="1:22" s="301" customFormat="1" x14ac:dyDescent="0.2">
      <c r="A35" s="511">
        <v>5605</v>
      </c>
      <c r="B35" s="508" t="s">
        <v>199</v>
      </c>
      <c r="C35" s="534" t="s">
        <v>861</v>
      </c>
      <c r="D35" s="512">
        <v>8</v>
      </c>
      <c r="E35" s="313">
        <v>160</v>
      </c>
      <c r="F35" s="379">
        <f>E35*D35</f>
        <v>1280</v>
      </c>
      <c r="G35" s="296">
        <v>8</v>
      </c>
      <c r="H35" s="296"/>
      <c r="I35" s="296"/>
      <c r="J35" s="296"/>
      <c r="K35" s="296"/>
      <c r="L35" s="297"/>
      <c r="M35" s="298"/>
      <c r="N35" s="298"/>
      <c r="O35" s="315"/>
      <c r="P35" s="300"/>
    </row>
    <row r="36" spans="1:22" s="301" customFormat="1" x14ac:dyDescent="0.2">
      <c r="A36" s="290"/>
      <c r="B36" s="291"/>
      <c r="C36" s="527"/>
      <c r="D36" s="293"/>
      <c r="E36" s="313"/>
      <c r="F36" s="379">
        <f t="shared" si="10"/>
        <v>0</v>
      </c>
      <c r="G36" s="296"/>
      <c r="H36" s="296"/>
      <c r="I36" s="296"/>
      <c r="J36" s="296"/>
      <c r="K36" s="296"/>
      <c r="L36" s="297">
        <f t="shared" si="12"/>
        <v>0</v>
      </c>
      <c r="M36" s="298"/>
      <c r="N36" s="298"/>
      <c r="O36" s="315"/>
      <c r="P36" s="300"/>
      <c r="S36" s="301">
        <f t="shared" si="6"/>
        <v>0</v>
      </c>
      <c r="T36" s="301">
        <f t="shared" si="7"/>
        <v>0</v>
      </c>
      <c r="U36" s="301">
        <f t="shared" si="8"/>
        <v>0</v>
      </c>
      <c r="V36" s="301">
        <f t="shared" si="9"/>
        <v>0</v>
      </c>
    </row>
    <row r="37" spans="1:22" s="301" customFormat="1" x14ac:dyDescent="0.2">
      <c r="A37" s="359">
        <v>5081</v>
      </c>
      <c r="B37" s="390" t="s">
        <v>442</v>
      </c>
      <c r="C37" s="529" t="s">
        <v>224</v>
      </c>
      <c r="D37" s="422">
        <v>1000</v>
      </c>
      <c r="E37" s="361"/>
      <c r="F37" s="379">
        <f t="shared" si="10"/>
        <v>0</v>
      </c>
      <c r="G37" s="296"/>
      <c r="H37" s="296"/>
      <c r="I37" s="296"/>
      <c r="J37" s="296"/>
      <c r="K37" s="296"/>
      <c r="L37" s="297">
        <f t="shared" si="11"/>
        <v>0</v>
      </c>
      <c r="M37" s="298">
        <v>43514</v>
      </c>
      <c r="N37" s="298"/>
      <c r="O37" s="394" t="s">
        <v>441</v>
      </c>
      <c r="P37" s="300"/>
      <c r="S37" s="301">
        <f t="shared" si="6"/>
        <v>0</v>
      </c>
      <c r="T37" s="301">
        <f t="shared" si="7"/>
        <v>0</v>
      </c>
      <c r="U37" s="301">
        <f t="shared" si="8"/>
        <v>0</v>
      </c>
      <c r="V37" s="301">
        <f t="shared" si="9"/>
        <v>0</v>
      </c>
    </row>
    <row r="38" spans="1:22" s="301" customFormat="1" x14ac:dyDescent="0.2">
      <c r="A38" s="350">
        <v>5336</v>
      </c>
      <c r="B38" s="353" t="s">
        <v>694</v>
      </c>
      <c r="C38" s="528" t="s">
        <v>685</v>
      </c>
      <c r="D38" s="355">
        <v>5</v>
      </c>
      <c r="E38" s="356">
        <v>44000</v>
      </c>
      <c r="F38" s="379">
        <f t="shared" si="10"/>
        <v>220000</v>
      </c>
      <c r="G38" s="296"/>
      <c r="H38" s="296"/>
      <c r="I38" s="296"/>
      <c r="J38" s="296"/>
      <c r="K38" s="296"/>
      <c r="L38" s="297">
        <f t="shared" si="11"/>
        <v>0</v>
      </c>
      <c r="M38" s="298">
        <v>43573</v>
      </c>
      <c r="N38" s="298">
        <v>43603</v>
      </c>
      <c r="O38" s="459" t="s">
        <v>693</v>
      </c>
      <c r="P38" s="300"/>
      <c r="S38" s="301">
        <f t="shared" si="6"/>
        <v>0</v>
      </c>
      <c r="T38" s="301">
        <f t="shared" si="7"/>
        <v>0</v>
      </c>
      <c r="U38" s="301">
        <f t="shared" si="8"/>
        <v>0</v>
      </c>
      <c r="V38" s="301">
        <f t="shared" si="9"/>
        <v>0</v>
      </c>
    </row>
    <row r="39" spans="1:22" s="301" customFormat="1" x14ac:dyDescent="0.2">
      <c r="A39" s="350">
        <v>5337</v>
      </c>
      <c r="B39" s="353" t="s">
        <v>694</v>
      </c>
      <c r="C39" s="528" t="s">
        <v>686</v>
      </c>
      <c r="D39" s="355">
        <v>20</v>
      </c>
      <c r="E39" s="356">
        <v>510</v>
      </c>
      <c r="F39" s="379">
        <f t="shared" si="10"/>
        <v>10200</v>
      </c>
      <c r="G39" s="296"/>
      <c r="H39" s="296"/>
      <c r="I39" s="296"/>
      <c r="J39" s="296"/>
      <c r="K39" s="296"/>
      <c r="L39" s="297">
        <f t="shared" si="1"/>
        <v>0</v>
      </c>
      <c r="M39" s="298">
        <v>43573</v>
      </c>
      <c r="N39" s="298">
        <v>43603</v>
      </c>
      <c r="O39" s="459" t="s">
        <v>693</v>
      </c>
      <c r="P39" s="300"/>
      <c r="S39" s="301">
        <f t="shared" si="6"/>
        <v>0</v>
      </c>
      <c r="T39" s="301">
        <f t="shared" si="7"/>
        <v>0</v>
      </c>
      <c r="U39" s="301">
        <f t="shared" si="8"/>
        <v>0</v>
      </c>
      <c r="V39" s="301">
        <f t="shared" si="9"/>
        <v>0</v>
      </c>
    </row>
    <row r="40" spans="1:22" s="301" customFormat="1" x14ac:dyDescent="0.2">
      <c r="A40" s="350">
        <v>5338</v>
      </c>
      <c r="B40" s="353" t="s">
        <v>694</v>
      </c>
      <c r="C40" s="528" t="s">
        <v>687</v>
      </c>
      <c r="D40" s="355">
        <v>10</v>
      </c>
      <c r="E40" s="356">
        <v>1800</v>
      </c>
      <c r="F40" s="379">
        <f t="shared" si="0"/>
        <v>18000</v>
      </c>
      <c r="G40" s="296"/>
      <c r="H40" s="296"/>
      <c r="I40" s="296"/>
      <c r="J40" s="296"/>
      <c r="K40" s="296"/>
      <c r="L40" s="297">
        <f t="shared" si="1"/>
        <v>0</v>
      </c>
      <c r="M40" s="298">
        <v>43573</v>
      </c>
      <c r="N40" s="298">
        <v>43603</v>
      </c>
      <c r="O40" s="459" t="s">
        <v>693</v>
      </c>
      <c r="P40" s="300"/>
      <c r="S40" s="301">
        <f t="shared" si="6"/>
        <v>0</v>
      </c>
      <c r="T40" s="301">
        <f t="shared" si="7"/>
        <v>0</v>
      </c>
      <c r="U40" s="301">
        <f t="shared" si="8"/>
        <v>0</v>
      </c>
      <c r="V40" s="301">
        <f t="shared" si="9"/>
        <v>0</v>
      </c>
    </row>
    <row r="41" spans="1:22" s="301" customFormat="1" x14ac:dyDescent="0.2">
      <c r="A41" s="350">
        <v>5339</v>
      </c>
      <c r="B41" s="353" t="s">
        <v>694</v>
      </c>
      <c r="C41" s="528" t="s">
        <v>688</v>
      </c>
      <c r="D41" s="355">
        <v>5</v>
      </c>
      <c r="E41" s="356">
        <v>2000</v>
      </c>
      <c r="F41" s="379">
        <f t="shared" si="0"/>
        <v>10000</v>
      </c>
      <c r="G41" s="296"/>
      <c r="H41" s="296"/>
      <c r="I41" s="296"/>
      <c r="J41" s="296"/>
      <c r="K41" s="296"/>
      <c r="L41" s="297">
        <f t="shared" si="1"/>
        <v>0</v>
      </c>
      <c r="M41" s="298">
        <v>43573</v>
      </c>
      <c r="N41" s="298">
        <v>43603</v>
      </c>
      <c r="O41" s="459" t="s">
        <v>693</v>
      </c>
      <c r="P41" s="300"/>
      <c r="S41" s="301">
        <f t="shared" si="6"/>
        <v>0</v>
      </c>
      <c r="T41" s="301">
        <f t="shared" si="7"/>
        <v>0</v>
      </c>
      <c r="U41" s="301">
        <f t="shared" si="8"/>
        <v>0</v>
      </c>
      <c r="V41" s="301">
        <f t="shared" si="9"/>
        <v>0</v>
      </c>
    </row>
    <row r="42" spans="1:22" s="301" customFormat="1" x14ac:dyDescent="0.2">
      <c r="A42" s="350">
        <v>5340</v>
      </c>
      <c r="B42" s="353" t="s">
        <v>694</v>
      </c>
      <c r="C42" s="528" t="s">
        <v>688</v>
      </c>
      <c r="D42" s="355">
        <v>5</v>
      </c>
      <c r="E42" s="356">
        <v>2100</v>
      </c>
      <c r="F42" s="379">
        <f t="shared" si="0"/>
        <v>10500</v>
      </c>
      <c r="G42" s="296"/>
      <c r="H42" s="296"/>
      <c r="I42" s="296"/>
      <c r="J42" s="296"/>
      <c r="K42" s="296"/>
      <c r="L42" s="297">
        <f t="shared" si="1"/>
        <v>0</v>
      </c>
      <c r="M42" s="298">
        <v>43573</v>
      </c>
      <c r="N42" s="298">
        <v>43603</v>
      </c>
      <c r="O42" s="459" t="s">
        <v>693</v>
      </c>
      <c r="P42" s="300"/>
      <c r="S42" s="301">
        <f t="shared" si="6"/>
        <v>0</v>
      </c>
      <c r="T42" s="301">
        <f t="shared" si="7"/>
        <v>0</v>
      </c>
      <c r="U42" s="301">
        <f t="shared" si="8"/>
        <v>0</v>
      </c>
      <c r="V42" s="301">
        <f t="shared" si="9"/>
        <v>0</v>
      </c>
    </row>
    <row r="43" spans="1:22" s="301" customFormat="1" x14ac:dyDescent="0.2">
      <c r="A43" s="350">
        <v>5341</v>
      </c>
      <c r="B43" s="353" t="s">
        <v>694</v>
      </c>
      <c r="C43" s="528" t="s">
        <v>689</v>
      </c>
      <c r="D43" s="355">
        <v>5</v>
      </c>
      <c r="E43" s="356">
        <v>2200</v>
      </c>
      <c r="F43" s="379">
        <f t="shared" si="0"/>
        <v>11000</v>
      </c>
      <c r="G43" s="296"/>
      <c r="H43" s="296"/>
      <c r="I43" s="296"/>
      <c r="J43" s="296"/>
      <c r="K43" s="296"/>
      <c r="L43" s="297">
        <f t="shared" si="1"/>
        <v>0</v>
      </c>
      <c r="M43" s="298">
        <v>43573</v>
      </c>
      <c r="N43" s="298">
        <v>43603</v>
      </c>
      <c r="O43" s="459" t="s">
        <v>693</v>
      </c>
      <c r="P43" s="300"/>
      <c r="S43" s="301">
        <f t="shared" si="6"/>
        <v>0</v>
      </c>
      <c r="T43" s="301">
        <f t="shared" si="7"/>
        <v>0</v>
      </c>
      <c r="U43" s="301">
        <f t="shared" si="8"/>
        <v>0</v>
      </c>
      <c r="V43" s="301">
        <f t="shared" si="9"/>
        <v>0</v>
      </c>
    </row>
    <row r="44" spans="1:22" s="301" customFormat="1" x14ac:dyDescent="0.2">
      <c r="A44" s="350">
        <v>5331</v>
      </c>
      <c r="B44" s="353" t="s">
        <v>706</v>
      </c>
      <c r="C44" s="528" t="s">
        <v>702</v>
      </c>
      <c r="D44" s="355">
        <v>1</v>
      </c>
      <c r="E44" s="356">
        <v>275275</v>
      </c>
      <c r="F44" s="379">
        <f t="shared" si="0"/>
        <v>275275</v>
      </c>
      <c r="G44" s="296"/>
      <c r="H44" s="296"/>
      <c r="I44" s="296"/>
      <c r="J44" s="296"/>
      <c r="K44" s="296"/>
      <c r="L44" s="297">
        <f t="shared" si="1"/>
        <v>0</v>
      </c>
      <c r="M44" s="298">
        <v>43577</v>
      </c>
      <c r="N44" s="298">
        <v>43607</v>
      </c>
      <c r="O44" s="459" t="s">
        <v>705</v>
      </c>
      <c r="P44" s="300"/>
      <c r="S44" s="301">
        <f t="shared" si="6"/>
        <v>0</v>
      </c>
      <c r="T44" s="301">
        <f t="shared" si="7"/>
        <v>0</v>
      </c>
      <c r="U44" s="301">
        <f t="shared" si="8"/>
        <v>0</v>
      </c>
      <c r="V44" s="301">
        <f t="shared" si="9"/>
        <v>0</v>
      </c>
    </row>
    <row r="45" spans="1:22" s="301" customFormat="1" x14ac:dyDescent="0.2">
      <c r="A45" s="350">
        <v>5332</v>
      </c>
      <c r="B45" s="353" t="s">
        <v>706</v>
      </c>
      <c r="C45" s="528" t="s">
        <v>703</v>
      </c>
      <c r="D45" s="355">
        <v>1</v>
      </c>
      <c r="E45" s="356">
        <v>42250</v>
      </c>
      <c r="F45" s="379">
        <f t="shared" si="0"/>
        <v>42250</v>
      </c>
      <c r="G45" s="296"/>
      <c r="H45" s="296"/>
      <c r="I45" s="296"/>
      <c r="J45" s="296"/>
      <c r="K45" s="296"/>
      <c r="L45" s="297">
        <f t="shared" si="1"/>
        <v>0</v>
      </c>
      <c r="M45" s="298">
        <v>43577</v>
      </c>
      <c r="N45" s="298">
        <v>43607</v>
      </c>
      <c r="O45" s="459" t="s">
        <v>705</v>
      </c>
      <c r="P45" s="300"/>
      <c r="S45" s="301">
        <f t="shared" si="6"/>
        <v>0</v>
      </c>
      <c r="T45" s="301">
        <f t="shared" si="7"/>
        <v>0</v>
      </c>
      <c r="U45" s="301">
        <f t="shared" si="8"/>
        <v>0</v>
      </c>
      <c r="V45" s="301">
        <f t="shared" si="9"/>
        <v>0</v>
      </c>
    </row>
    <row r="46" spans="1:22" s="301" customFormat="1" x14ac:dyDescent="0.2">
      <c r="A46" s="350">
        <v>5333</v>
      </c>
      <c r="B46" s="353" t="s">
        <v>706</v>
      </c>
      <c r="C46" s="528" t="s">
        <v>704</v>
      </c>
      <c r="D46" s="355">
        <v>1</v>
      </c>
      <c r="E46" s="356">
        <v>4225</v>
      </c>
      <c r="F46" s="379">
        <f t="shared" si="0"/>
        <v>4225</v>
      </c>
      <c r="G46" s="296"/>
      <c r="H46" s="296"/>
      <c r="I46" s="296"/>
      <c r="J46" s="296"/>
      <c r="K46" s="296"/>
      <c r="L46" s="297">
        <f t="shared" si="1"/>
        <v>0</v>
      </c>
      <c r="M46" s="298">
        <v>43577</v>
      </c>
      <c r="N46" s="298">
        <v>43607</v>
      </c>
      <c r="O46" s="510" t="s">
        <v>777</v>
      </c>
      <c r="P46" s="300"/>
      <c r="S46" s="301">
        <f t="shared" si="6"/>
        <v>0</v>
      </c>
      <c r="T46" s="301">
        <f t="shared" si="7"/>
        <v>0</v>
      </c>
      <c r="U46" s="301">
        <f t="shared" si="8"/>
        <v>0</v>
      </c>
      <c r="V46" s="301">
        <f t="shared" si="9"/>
        <v>0</v>
      </c>
    </row>
    <row r="47" spans="1:22" s="301" customFormat="1" x14ac:dyDescent="0.2">
      <c r="A47" s="350">
        <v>5393</v>
      </c>
      <c r="B47" s="353" t="s">
        <v>756</v>
      </c>
      <c r="C47" s="528" t="s">
        <v>755</v>
      </c>
      <c r="D47" s="355">
        <v>1</v>
      </c>
      <c r="E47" s="356">
        <v>83580</v>
      </c>
      <c r="F47" s="379">
        <f t="shared" si="0"/>
        <v>83580</v>
      </c>
      <c r="G47" s="296">
        <v>1</v>
      </c>
      <c r="H47" s="296"/>
      <c r="I47" s="296"/>
      <c r="J47" s="296"/>
      <c r="K47" s="296"/>
      <c r="L47" s="297">
        <f t="shared" si="1"/>
        <v>0</v>
      </c>
      <c r="M47" s="298">
        <v>43593</v>
      </c>
      <c r="N47" s="298">
        <v>43615</v>
      </c>
      <c r="O47" s="459" t="s">
        <v>757</v>
      </c>
      <c r="P47" s="300"/>
      <c r="S47" s="301">
        <f t="shared" si="6"/>
        <v>0</v>
      </c>
      <c r="T47" s="301">
        <f t="shared" si="7"/>
        <v>0</v>
      </c>
      <c r="U47" s="301">
        <f t="shared" si="8"/>
        <v>0</v>
      </c>
      <c r="V47" s="301">
        <f t="shared" si="9"/>
        <v>0</v>
      </c>
    </row>
    <row r="48" spans="1:22" s="301" customFormat="1" x14ac:dyDescent="0.2">
      <c r="A48" s="492">
        <v>5305</v>
      </c>
      <c r="B48" s="383" t="s">
        <v>765</v>
      </c>
      <c r="C48" s="530" t="s">
        <v>763</v>
      </c>
      <c r="D48" s="355">
        <v>2</v>
      </c>
      <c r="E48" s="356">
        <v>71610</v>
      </c>
      <c r="F48" s="379">
        <f t="shared" si="0"/>
        <v>143220</v>
      </c>
      <c r="G48" s="296">
        <v>2</v>
      </c>
      <c r="H48" s="296"/>
      <c r="I48" s="296"/>
      <c r="J48" s="296"/>
      <c r="K48" s="296"/>
      <c r="L48" s="297">
        <f t="shared" si="1"/>
        <v>0</v>
      </c>
      <c r="M48" s="298">
        <v>43598</v>
      </c>
      <c r="N48" s="298">
        <v>43605</v>
      </c>
      <c r="O48" s="510" t="s">
        <v>764</v>
      </c>
      <c r="P48" s="300"/>
      <c r="S48" s="301">
        <f t="shared" si="6"/>
        <v>0</v>
      </c>
      <c r="T48" s="301">
        <f t="shared" si="7"/>
        <v>0</v>
      </c>
      <c r="U48" s="301">
        <f t="shared" si="8"/>
        <v>0</v>
      </c>
      <c r="V48" s="301">
        <f t="shared" si="9"/>
        <v>0</v>
      </c>
    </row>
    <row r="49" spans="1:22" s="301" customFormat="1" x14ac:dyDescent="0.2">
      <c r="A49" s="492">
        <v>5399</v>
      </c>
      <c r="B49" s="383" t="s">
        <v>484</v>
      </c>
      <c r="C49" s="530" t="s">
        <v>767</v>
      </c>
      <c r="D49" s="355">
        <v>1</v>
      </c>
      <c r="E49" s="356">
        <v>25000</v>
      </c>
      <c r="F49" s="379">
        <f t="shared" si="0"/>
        <v>25000</v>
      </c>
      <c r="G49" s="296">
        <v>1</v>
      </c>
      <c r="H49" s="296"/>
      <c r="I49" s="296"/>
      <c r="J49" s="296"/>
      <c r="K49" s="296"/>
      <c r="L49" s="297">
        <f t="shared" si="1"/>
        <v>0</v>
      </c>
      <c r="M49" s="298"/>
      <c r="N49" s="298"/>
      <c r="O49" s="510" t="s">
        <v>766</v>
      </c>
      <c r="P49" s="300"/>
      <c r="S49" s="301">
        <f t="shared" si="6"/>
        <v>0</v>
      </c>
      <c r="T49" s="301">
        <f t="shared" si="7"/>
        <v>0</v>
      </c>
      <c r="U49" s="301">
        <f t="shared" si="8"/>
        <v>0</v>
      </c>
      <c r="V49" s="301">
        <f t="shared" si="9"/>
        <v>0</v>
      </c>
    </row>
    <row r="50" spans="1:22" s="301" customFormat="1" x14ac:dyDescent="0.2">
      <c r="A50" s="511">
        <v>5470</v>
      </c>
      <c r="B50" s="506" t="s">
        <v>824</v>
      </c>
      <c r="C50" s="531" t="s">
        <v>821</v>
      </c>
      <c r="D50" s="512">
        <v>2</v>
      </c>
      <c r="E50" s="356">
        <v>5940</v>
      </c>
      <c r="F50" s="379">
        <f t="shared" si="0"/>
        <v>11880</v>
      </c>
      <c r="G50" s="296"/>
      <c r="H50" s="296"/>
      <c r="I50" s="296"/>
      <c r="J50" s="296"/>
      <c r="K50" s="296"/>
      <c r="L50" s="297">
        <f t="shared" ref="L50:L60" si="13">E50*(H50+I50+J50+K50)</f>
        <v>0</v>
      </c>
      <c r="M50" s="298">
        <v>43614</v>
      </c>
      <c r="N50" s="298">
        <v>43635</v>
      </c>
      <c r="O50" s="510" t="s">
        <v>825</v>
      </c>
      <c r="P50" s="300"/>
      <c r="S50" s="301">
        <f t="shared" si="6"/>
        <v>0</v>
      </c>
      <c r="T50" s="301">
        <f t="shared" si="7"/>
        <v>0</v>
      </c>
      <c r="U50" s="301">
        <f t="shared" si="8"/>
        <v>0</v>
      </c>
      <c r="V50" s="301">
        <f t="shared" si="9"/>
        <v>0</v>
      </c>
    </row>
    <row r="51" spans="1:22" s="301" customFormat="1" x14ac:dyDescent="0.2">
      <c r="A51" s="511">
        <v>5471</v>
      </c>
      <c r="B51" s="506" t="s">
        <v>824</v>
      </c>
      <c r="C51" s="531" t="s">
        <v>822</v>
      </c>
      <c r="D51" s="512">
        <v>2</v>
      </c>
      <c r="E51" s="356">
        <v>5852</v>
      </c>
      <c r="F51" s="379">
        <f t="shared" si="0"/>
        <v>11704</v>
      </c>
      <c r="G51" s="296"/>
      <c r="H51" s="296"/>
      <c r="I51" s="296"/>
      <c r="J51" s="296"/>
      <c r="K51" s="296"/>
      <c r="L51" s="297">
        <f t="shared" si="13"/>
        <v>0</v>
      </c>
      <c r="M51" s="298">
        <v>43614</v>
      </c>
      <c r="N51" s="298">
        <v>43635</v>
      </c>
      <c r="O51" s="510" t="s">
        <v>825</v>
      </c>
      <c r="P51" s="300"/>
      <c r="S51" s="301">
        <f t="shared" si="6"/>
        <v>0</v>
      </c>
      <c r="T51" s="301">
        <f t="shared" si="7"/>
        <v>0</v>
      </c>
      <c r="U51" s="301">
        <f t="shared" si="8"/>
        <v>0</v>
      </c>
      <c r="V51" s="301">
        <f t="shared" si="9"/>
        <v>0</v>
      </c>
    </row>
    <row r="52" spans="1:22" s="301" customFormat="1" x14ac:dyDescent="0.2">
      <c r="A52" s="511">
        <v>5472</v>
      </c>
      <c r="B52" s="506" t="s">
        <v>824</v>
      </c>
      <c r="C52" s="531" t="s">
        <v>823</v>
      </c>
      <c r="D52" s="512">
        <v>4</v>
      </c>
      <c r="E52" s="356">
        <v>1320</v>
      </c>
      <c r="F52" s="379">
        <f t="shared" si="0"/>
        <v>5280</v>
      </c>
      <c r="G52" s="296"/>
      <c r="H52" s="296"/>
      <c r="I52" s="296"/>
      <c r="J52" s="296"/>
      <c r="K52" s="296"/>
      <c r="L52" s="297">
        <f t="shared" si="13"/>
        <v>0</v>
      </c>
      <c r="M52" s="298">
        <v>43614</v>
      </c>
      <c r="N52" s="298">
        <v>43635</v>
      </c>
      <c r="O52" s="510" t="s">
        <v>825</v>
      </c>
      <c r="P52" s="300"/>
      <c r="S52" s="301">
        <f t="shared" si="6"/>
        <v>0</v>
      </c>
      <c r="T52" s="301">
        <f t="shared" si="7"/>
        <v>0</v>
      </c>
      <c r="U52" s="301">
        <f t="shared" si="8"/>
        <v>0</v>
      </c>
      <c r="V52" s="301">
        <f t="shared" si="9"/>
        <v>0</v>
      </c>
    </row>
    <row r="53" spans="1:22" s="301" customFormat="1" x14ac:dyDescent="0.2">
      <c r="A53" s="511">
        <v>5573</v>
      </c>
      <c r="B53" s="506" t="s">
        <v>864</v>
      </c>
      <c r="C53" s="531" t="s">
        <v>865</v>
      </c>
      <c r="D53" s="512">
        <v>1</v>
      </c>
      <c r="E53" s="356">
        <v>4180</v>
      </c>
      <c r="F53" s="379">
        <f>E53*D53</f>
        <v>4180</v>
      </c>
      <c r="G53" s="296"/>
      <c r="H53" s="296"/>
      <c r="I53" s="296"/>
      <c r="J53" s="296"/>
      <c r="K53" s="296"/>
      <c r="L53" s="297">
        <f t="shared" si="13"/>
        <v>0</v>
      </c>
      <c r="M53" s="298">
        <v>43598</v>
      </c>
      <c r="N53" s="298">
        <v>43644</v>
      </c>
      <c r="O53" s="510" t="s">
        <v>866</v>
      </c>
      <c r="P53" s="300"/>
    </row>
    <row r="54" spans="1:22" s="301" customFormat="1" x14ac:dyDescent="0.2">
      <c r="A54" s="350"/>
      <c r="B54" s="320"/>
      <c r="C54" s="528"/>
      <c r="D54" s="355"/>
      <c r="E54" s="503"/>
      <c r="F54" s="379">
        <f t="shared" si="0"/>
        <v>0</v>
      </c>
      <c r="G54" s="296"/>
      <c r="H54" s="296"/>
      <c r="I54" s="296"/>
      <c r="J54" s="296"/>
      <c r="K54" s="296"/>
      <c r="L54" s="297">
        <f t="shared" si="13"/>
        <v>0</v>
      </c>
      <c r="M54" s="298"/>
      <c r="N54" s="298"/>
      <c r="O54" s="393"/>
      <c r="P54" s="300"/>
      <c r="S54" s="301">
        <f t="shared" si="6"/>
        <v>0</v>
      </c>
      <c r="T54" s="301">
        <f t="shared" si="7"/>
        <v>0</v>
      </c>
      <c r="U54" s="301">
        <f t="shared" si="8"/>
        <v>0</v>
      </c>
      <c r="V54" s="301">
        <f t="shared" si="9"/>
        <v>0</v>
      </c>
    </row>
    <row r="55" spans="1:22" s="301" customFormat="1" x14ac:dyDescent="0.2">
      <c r="A55" s="290">
        <v>4924</v>
      </c>
      <c r="B55" s="353" t="s">
        <v>284</v>
      </c>
      <c r="C55" s="529" t="s">
        <v>602</v>
      </c>
      <c r="D55" s="293"/>
      <c r="E55" s="361">
        <v>2650</v>
      </c>
      <c r="F55" s="379">
        <f t="shared" si="0"/>
        <v>0</v>
      </c>
      <c r="G55" s="296"/>
      <c r="H55" s="296"/>
      <c r="I55" s="296"/>
      <c r="J55" s="296"/>
      <c r="K55" s="296"/>
      <c r="L55" s="297">
        <f t="shared" si="13"/>
        <v>0</v>
      </c>
      <c r="M55" s="298">
        <v>43502</v>
      </c>
      <c r="N55" s="298" t="s">
        <v>401</v>
      </c>
      <c r="O55" s="315"/>
      <c r="P55" s="300"/>
      <c r="S55" s="301">
        <f t="shared" si="6"/>
        <v>0</v>
      </c>
      <c r="T55" s="301">
        <f t="shared" si="7"/>
        <v>0</v>
      </c>
      <c r="U55" s="301">
        <f t="shared" si="8"/>
        <v>0</v>
      </c>
      <c r="V55" s="301">
        <f t="shared" si="9"/>
        <v>0</v>
      </c>
    </row>
    <row r="56" spans="1:22" s="301" customFormat="1" x14ac:dyDescent="0.2">
      <c r="A56" s="350">
        <v>5394</v>
      </c>
      <c r="B56" s="353" t="s">
        <v>284</v>
      </c>
      <c r="C56" s="528" t="s">
        <v>724</v>
      </c>
      <c r="D56" s="355">
        <v>2</v>
      </c>
      <c r="E56" s="356">
        <v>3100</v>
      </c>
      <c r="F56" s="379">
        <f t="shared" si="0"/>
        <v>6200</v>
      </c>
      <c r="G56" s="296"/>
      <c r="H56" s="296"/>
      <c r="I56" s="296"/>
      <c r="J56" s="296"/>
      <c r="K56" s="296"/>
      <c r="L56" s="297">
        <f t="shared" si="13"/>
        <v>0</v>
      </c>
      <c r="M56" s="298"/>
      <c r="N56" s="298"/>
      <c r="O56" s="315"/>
      <c r="P56" s="300"/>
      <c r="S56" s="301">
        <f t="shared" si="6"/>
        <v>0</v>
      </c>
      <c r="T56" s="301">
        <f t="shared" si="7"/>
        <v>0</v>
      </c>
      <c r="U56" s="301">
        <f t="shared" si="8"/>
        <v>0</v>
      </c>
      <c r="V56" s="301">
        <f t="shared" si="9"/>
        <v>0</v>
      </c>
    </row>
    <row r="57" spans="1:22" s="301" customFormat="1" x14ac:dyDescent="0.2">
      <c r="A57" s="319">
        <v>5396</v>
      </c>
      <c r="B57" s="353" t="s">
        <v>284</v>
      </c>
      <c r="C57" s="528" t="s">
        <v>204</v>
      </c>
      <c r="D57" s="355">
        <v>2</v>
      </c>
      <c r="E57" s="356">
        <v>1980</v>
      </c>
      <c r="F57" s="379">
        <f t="shared" si="0"/>
        <v>3960</v>
      </c>
      <c r="G57" s="296">
        <v>2</v>
      </c>
      <c r="H57" s="296"/>
      <c r="I57" s="296"/>
      <c r="J57" s="296"/>
      <c r="K57" s="296"/>
      <c r="L57" s="297">
        <f t="shared" si="13"/>
        <v>0</v>
      </c>
      <c r="M57" s="298"/>
      <c r="N57" s="298"/>
      <c r="O57" s="315"/>
      <c r="P57" s="300"/>
      <c r="S57" s="301">
        <f t="shared" si="6"/>
        <v>0</v>
      </c>
      <c r="T57" s="301">
        <f t="shared" si="7"/>
        <v>0</v>
      </c>
      <c r="U57" s="301">
        <f t="shared" si="8"/>
        <v>0</v>
      </c>
      <c r="V57" s="301">
        <f t="shared" si="9"/>
        <v>0</v>
      </c>
    </row>
    <row r="58" spans="1:22" s="301" customFormat="1" x14ac:dyDescent="0.2">
      <c r="A58" s="517">
        <v>5544</v>
      </c>
      <c r="B58" s="353" t="s">
        <v>284</v>
      </c>
      <c r="C58" s="528" t="s">
        <v>725</v>
      </c>
      <c r="D58" s="355">
        <v>2</v>
      </c>
      <c r="E58" s="356">
        <v>1500</v>
      </c>
      <c r="F58" s="379">
        <f t="shared" si="0"/>
        <v>3000</v>
      </c>
      <c r="G58" s="296"/>
      <c r="H58" s="296"/>
      <c r="I58" s="296"/>
      <c r="J58" s="296"/>
      <c r="K58" s="296"/>
      <c r="L58" s="297">
        <f t="shared" si="13"/>
        <v>0</v>
      </c>
      <c r="M58" s="298"/>
      <c r="N58" s="298"/>
      <c r="O58" s="315"/>
      <c r="P58" s="300"/>
      <c r="S58" s="301">
        <f t="shared" si="6"/>
        <v>0</v>
      </c>
      <c r="T58" s="301">
        <f t="shared" si="7"/>
        <v>0</v>
      </c>
      <c r="U58" s="301">
        <f t="shared" si="8"/>
        <v>0</v>
      </c>
      <c r="V58" s="301">
        <f t="shared" si="9"/>
        <v>0</v>
      </c>
    </row>
    <row r="59" spans="1:22" s="301" customFormat="1" x14ac:dyDescent="0.2">
      <c r="A59" s="319"/>
      <c r="B59" s="353"/>
      <c r="C59" s="532"/>
      <c r="D59" s="322"/>
      <c r="E59" s="323"/>
      <c r="F59" s="379">
        <f t="shared" si="0"/>
        <v>0</v>
      </c>
      <c r="G59" s="296"/>
      <c r="H59" s="296"/>
      <c r="I59" s="296"/>
      <c r="J59" s="296"/>
      <c r="K59" s="296"/>
      <c r="L59" s="297">
        <f t="shared" si="13"/>
        <v>0</v>
      </c>
      <c r="M59" s="298"/>
      <c r="N59" s="298"/>
      <c r="O59" s="315"/>
      <c r="P59" s="300"/>
      <c r="S59" s="301">
        <f t="shared" si="6"/>
        <v>0</v>
      </c>
      <c r="T59" s="301">
        <f t="shared" si="7"/>
        <v>0</v>
      </c>
      <c r="U59" s="301">
        <f t="shared" si="8"/>
        <v>0</v>
      </c>
      <c r="V59" s="301">
        <f t="shared" si="9"/>
        <v>0</v>
      </c>
    </row>
    <row r="60" spans="1:22" s="301" customFormat="1" x14ac:dyDescent="0.2">
      <c r="A60" s="319">
        <v>5282</v>
      </c>
      <c r="B60" s="353" t="s">
        <v>605</v>
      </c>
      <c r="C60" s="528" t="s">
        <v>638</v>
      </c>
      <c r="D60" s="355"/>
      <c r="E60" s="356">
        <v>3105.5</v>
      </c>
      <c r="F60" s="379">
        <f t="shared" ref="F60:F70" si="14">E60*D60</f>
        <v>0</v>
      </c>
      <c r="G60" s="296"/>
      <c r="H60" s="296"/>
      <c r="I60" s="296"/>
      <c r="J60" s="296"/>
      <c r="K60" s="296"/>
      <c r="L60" s="297">
        <f t="shared" si="13"/>
        <v>0</v>
      </c>
      <c r="M60" s="298"/>
      <c r="N60" s="298"/>
      <c r="O60" s="315"/>
      <c r="P60" s="300"/>
      <c r="S60" s="301">
        <f t="shared" si="6"/>
        <v>0</v>
      </c>
      <c r="T60" s="301">
        <f t="shared" si="7"/>
        <v>0</v>
      </c>
      <c r="U60" s="301">
        <f t="shared" si="8"/>
        <v>0</v>
      </c>
      <c r="V60" s="301">
        <f t="shared" si="9"/>
        <v>0</v>
      </c>
    </row>
    <row r="61" spans="1:22" s="301" customFormat="1" x14ac:dyDescent="0.2">
      <c r="A61" s="319">
        <v>5283</v>
      </c>
      <c r="B61" s="353" t="s">
        <v>605</v>
      </c>
      <c r="C61" s="528" t="s">
        <v>639</v>
      </c>
      <c r="D61" s="355"/>
      <c r="E61" s="356">
        <v>2143</v>
      </c>
      <c r="F61" s="379">
        <f t="shared" si="14"/>
        <v>0</v>
      </c>
      <c r="G61" s="296"/>
      <c r="H61" s="296"/>
      <c r="I61" s="296"/>
      <c r="J61" s="296"/>
      <c r="K61" s="296"/>
      <c r="L61" s="297">
        <f t="shared" ref="L61:L72" si="15">E61*(H61+I61+J61+K61)</f>
        <v>0</v>
      </c>
      <c r="M61" s="298"/>
      <c r="N61" s="298"/>
      <c r="O61" s="315"/>
      <c r="P61" s="300"/>
      <c r="S61" s="301">
        <f t="shared" si="6"/>
        <v>0</v>
      </c>
      <c r="T61" s="301">
        <f t="shared" si="7"/>
        <v>0</v>
      </c>
      <c r="U61" s="301">
        <f t="shared" si="8"/>
        <v>0</v>
      </c>
      <c r="V61" s="301">
        <f t="shared" si="9"/>
        <v>0</v>
      </c>
    </row>
    <row r="62" spans="1:22" s="301" customFormat="1" x14ac:dyDescent="0.2">
      <c r="A62" s="319">
        <v>5574</v>
      </c>
      <c r="B62" s="353" t="s">
        <v>605</v>
      </c>
      <c r="C62" s="528" t="s">
        <v>840</v>
      </c>
      <c r="D62" s="355">
        <v>4</v>
      </c>
      <c r="E62" s="356">
        <v>2500</v>
      </c>
      <c r="F62" s="379">
        <f t="shared" si="14"/>
        <v>10000</v>
      </c>
      <c r="G62" s="296"/>
      <c r="H62" s="296"/>
      <c r="I62" s="296"/>
      <c r="J62" s="296"/>
      <c r="K62" s="296"/>
      <c r="L62" s="297">
        <f t="shared" si="15"/>
        <v>0</v>
      </c>
      <c r="M62" s="298">
        <v>43620</v>
      </c>
      <c r="N62" s="298">
        <v>43630</v>
      </c>
      <c r="O62" s="315"/>
      <c r="P62" s="300"/>
      <c r="S62" s="301">
        <f t="shared" si="6"/>
        <v>0</v>
      </c>
      <c r="T62" s="301">
        <f t="shared" si="7"/>
        <v>0</v>
      </c>
      <c r="U62" s="301">
        <f t="shared" si="8"/>
        <v>0</v>
      </c>
      <c r="V62" s="301">
        <f t="shared" si="9"/>
        <v>0</v>
      </c>
    </row>
    <row r="63" spans="1:22" s="301" customFormat="1" x14ac:dyDescent="0.2">
      <c r="A63" s="319">
        <v>5575</v>
      </c>
      <c r="B63" s="353" t="s">
        <v>605</v>
      </c>
      <c r="C63" s="528" t="s">
        <v>841</v>
      </c>
      <c r="D63" s="355">
        <v>4</v>
      </c>
      <c r="E63" s="356">
        <v>2000</v>
      </c>
      <c r="F63" s="379">
        <f t="shared" si="14"/>
        <v>8000</v>
      </c>
      <c r="G63" s="296"/>
      <c r="H63" s="296"/>
      <c r="I63" s="296"/>
      <c r="J63" s="296"/>
      <c r="K63" s="296"/>
      <c r="L63" s="297">
        <f t="shared" si="15"/>
        <v>0</v>
      </c>
      <c r="M63" s="298">
        <v>43620</v>
      </c>
      <c r="N63" s="298">
        <v>43630</v>
      </c>
      <c r="O63" s="315"/>
      <c r="P63" s="300"/>
      <c r="S63" s="301">
        <f t="shared" si="6"/>
        <v>0</v>
      </c>
      <c r="T63" s="301">
        <f t="shared" si="7"/>
        <v>0</v>
      </c>
      <c r="U63" s="301">
        <f t="shared" si="8"/>
        <v>0</v>
      </c>
      <c r="V63" s="301">
        <f t="shared" si="9"/>
        <v>0</v>
      </c>
    </row>
    <row r="64" spans="1:22" s="301" customFormat="1" x14ac:dyDescent="0.2">
      <c r="A64" s="319">
        <v>5597</v>
      </c>
      <c r="B64" s="353" t="s">
        <v>605</v>
      </c>
      <c r="C64" s="528" t="s">
        <v>847</v>
      </c>
      <c r="D64" s="355">
        <v>1</v>
      </c>
      <c r="E64" s="356">
        <v>780</v>
      </c>
      <c r="F64" s="379">
        <f t="shared" si="14"/>
        <v>780</v>
      </c>
      <c r="G64" s="296">
        <v>1</v>
      </c>
      <c r="H64" s="296"/>
      <c r="I64" s="296">
        <v>1</v>
      </c>
      <c r="J64" s="296"/>
      <c r="K64" s="296"/>
      <c r="L64" s="297">
        <f t="shared" si="15"/>
        <v>780</v>
      </c>
      <c r="M64" s="298">
        <v>43623</v>
      </c>
      <c r="N64" s="298">
        <v>43627</v>
      </c>
      <c r="O64" s="315"/>
      <c r="P64" s="300"/>
      <c r="S64" s="301">
        <f t="shared" ref="S64:S71" si="16">H64*E64</f>
        <v>0</v>
      </c>
      <c r="T64" s="301">
        <f t="shared" ref="T64:T71" si="17">I64*E64</f>
        <v>780</v>
      </c>
      <c r="U64" s="301">
        <f t="shared" ref="U64:U71" si="18">J64*E64</f>
        <v>0</v>
      </c>
      <c r="V64" s="301">
        <f t="shared" ref="V64:V71" si="19">K64*E64</f>
        <v>0</v>
      </c>
    </row>
    <row r="65" spans="1:22" s="301" customFormat="1" x14ac:dyDescent="0.2">
      <c r="A65" s="319">
        <v>5598</v>
      </c>
      <c r="B65" s="353" t="s">
        <v>605</v>
      </c>
      <c r="C65" s="528" t="s">
        <v>848</v>
      </c>
      <c r="D65" s="355">
        <v>2</v>
      </c>
      <c r="E65" s="356">
        <v>760</v>
      </c>
      <c r="F65" s="379">
        <f t="shared" si="14"/>
        <v>1520</v>
      </c>
      <c r="G65" s="296">
        <v>2</v>
      </c>
      <c r="H65" s="296"/>
      <c r="I65" s="296">
        <v>2</v>
      </c>
      <c r="J65" s="296"/>
      <c r="K65" s="296"/>
      <c r="L65" s="297">
        <f t="shared" si="15"/>
        <v>1520</v>
      </c>
      <c r="M65" s="298">
        <v>43623</v>
      </c>
      <c r="N65" s="298">
        <v>43627</v>
      </c>
      <c r="O65" s="315"/>
      <c r="P65" s="300"/>
      <c r="S65" s="301">
        <f t="shared" si="16"/>
        <v>0</v>
      </c>
      <c r="T65" s="301">
        <f t="shared" si="17"/>
        <v>1520</v>
      </c>
      <c r="U65" s="301">
        <f t="shared" si="18"/>
        <v>0</v>
      </c>
      <c r="V65" s="301">
        <f t="shared" si="19"/>
        <v>0</v>
      </c>
    </row>
    <row r="66" spans="1:22" s="301" customFormat="1" x14ac:dyDescent="0.2">
      <c r="A66" s="319">
        <v>5599</v>
      </c>
      <c r="B66" s="353" t="s">
        <v>605</v>
      </c>
      <c r="C66" s="528" t="s">
        <v>849</v>
      </c>
      <c r="D66" s="355">
        <v>1</v>
      </c>
      <c r="E66" s="356">
        <v>470</v>
      </c>
      <c r="F66" s="379">
        <f t="shared" si="14"/>
        <v>470</v>
      </c>
      <c r="G66" s="296">
        <v>1</v>
      </c>
      <c r="H66" s="296"/>
      <c r="I66" s="296">
        <v>1</v>
      </c>
      <c r="J66" s="296"/>
      <c r="K66" s="296"/>
      <c r="L66" s="297">
        <f t="shared" si="15"/>
        <v>470</v>
      </c>
      <c r="M66" s="298">
        <v>43623</v>
      </c>
      <c r="N66" s="298">
        <v>43627</v>
      </c>
      <c r="O66" s="315"/>
      <c r="P66" s="300"/>
      <c r="S66" s="301">
        <f t="shared" si="16"/>
        <v>0</v>
      </c>
      <c r="T66" s="301">
        <f t="shared" si="17"/>
        <v>470</v>
      </c>
      <c r="U66" s="301">
        <f t="shared" si="18"/>
        <v>0</v>
      </c>
      <c r="V66" s="301">
        <f t="shared" si="19"/>
        <v>0</v>
      </c>
    </row>
    <row r="67" spans="1:22" s="301" customFormat="1" x14ac:dyDescent="0.2">
      <c r="A67" s="319">
        <v>5600</v>
      </c>
      <c r="B67" s="353" t="s">
        <v>605</v>
      </c>
      <c r="C67" s="528" t="s">
        <v>850</v>
      </c>
      <c r="D67" s="355">
        <v>1</v>
      </c>
      <c r="E67" s="356">
        <v>365</v>
      </c>
      <c r="F67" s="379">
        <f t="shared" si="14"/>
        <v>365</v>
      </c>
      <c r="G67" s="296">
        <v>1</v>
      </c>
      <c r="H67" s="296"/>
      <c r="I67" s="296">
        <v>1</v>
      </c>
      <c r="J67" s="296"/>
      <c r="K67" s="296"/>
      <c r="L67" s="297">
        <f t="shared" si="15"/>
        <v>365</v>
      </c>
      <c r="M67" s="298">
        <v>43623</v>
      </c>
      <c r="N67" s="298">
        <v>43627</v>
      </c>
      <c r="O67" s="315"/>
      <c r="P67" s="300"/>
      <c r="S67" s="301">
        <f t="shared" si="16"/>
        <v>0</v>
      </c>
      <c r="T67" s="301">
        <f t="shared" si="17"/>
        <v>365</v>
      </c>
      <c r="U67" s="301">
        <f t="shared" si="18"/>
        <v>0</v>
      </c>
      <c r="V67" s="301">
        <f t="shared" si="19"/>
        <v>0</v>
      </c>
    </row>
    <row r="68" spans="1:22" s="301" customFormat="1" x14ac:dyDescent="0.2">
      <c r="A68" s="319"/>
      <c r="B68" s="353"/>
      <c r="C68" s="528"/>
      <c r="D68" s="355"/>
      <c r="E68" s="409"/>
      <c r="F68" s="379"/>
      <c r="G68" s="296"/>
      <c r="H68" s="296"/>
      <c r="I68" s="296"/>
      <c r="J68" s="296"/>
      <c r="K68" s="296"/>
      <c r="L68" s="297"/>
      <c r="M68" s="298"/>
      <c r="N68" s="298"/>
      <c r="O68" s="501"/>
      <c r="P68" s="300"/>
      <c r="S68" s="301">
        <f t="shared" si="16"/>
        <v>0</v>
      </c>
      <c r="T68" s="301">
        <f t="shared" si="17"/>
        <v>0</v>
      </c>
      <c r="U68" s="301">
        <f t="shared" si="18"/>
        <v>0</v>
      </c>
      <c r="V68" s="301">
        <f t="shared" si="19"/>
        <v>0</v>
      </c>
    </row>
    <row r="69" spans="1:22" s="301" customFormat="1" x14ac:dyDescent="0.2">
      <c r="A69" s="350"/>
      <c r="B69" s="353"/>
      <c r="C69" s="528"/>
      <c r="D69" s="355"/>
      <c r="E69" s="409"/>
      <c r="F69" s="379">
        <f t="shared" si="14"/>
        <v>0</v>
      </c>
      <c r="G69" s="296"/>
      <c r="H69" s="296"/>
      <c r="I69" s="296"/>
      <c r="J69" s="296"/>
      <c r="K69" s="296"/>
      <c r="L69" s="297">
        <f t="shared" si="15"/>
        <v>0</v>
      </c>
      <c r="M69" s="298"/>
      <c r="N69" s="298"/>
      <c r="O69" s="501"/>
      <c r="P69" s="300"/>
      <c r="S69" s="301">
        <f t="shared" si="16"/>
        <v>0</v>
      </c>
      <c r="T69" s="301">
        <f t="shared" si="17"/>
        <v>0</v>
      </c>
      <c r="U69" s="301">
        <f t="shared" si="18"/>
        <v>0</v>
      </c>
      <c r="V69" s="301">
        <f t="shared" si="19"/>
        <v>0</v>
      </c>
    </row>
    <row r="70" spans="1:22" s="301" customFormat="1" x14ac:dyDescent="0.2">
      <c r="A70" s="350">
        <v>5234</v>
      </c>
      <c r="B70" s="353" t="s">
        <v>649</v>
      </c>
      <c r="C70" s="528" t="s">
        <v>660</v>
      </c>
      <c r="D70" s="355">
        <v>1</v>
      </c>
      <c r="E70" s="356">
        <v>44000</v>
      </c>
      <c r="F70" s="379">
        <f t="shared" si="14"/>
        <v>44000</v>
      </c>
      <c r="G70" s="296"/>
      <c r="H70" s="296"/>
      <c r="I70" s="296"/>
      <c r="J70" s="296"/>
      <c r="K70" s="296"/>
      <c r="L70" s="297">
        <f t="shared" si="15"/>
        <v>0</v>
      </c>
      <c r="M70" s="298">
        <v>43563</v>
      </c>
      <c r="N70" s="298"/>
      <c r="O70" s="465" t="s">
        <v>667</v>
      </c>
      <c r="P70" s="300"/>
      <c r="S70" s="301">
        <f t="shared" si="16"/>
        <v>0</v>
      </c>
      <c r="T70" s="301">
        <f t="shared" si="17"/>
        <v>0</v>
      </c>
      <c r="U70" s="301">
        <f t="shared" si="18"/>
        <v>0</v>
      </c>
      <c r="V70" s="301">
        <f t="shared" si="19"/>
        <v>0</v>
      </c>
    </row>
    <row r="71" spans="1:22" s="301" customFormat="1" x14ac:dyDescent="0.2">
      <c r="A71" s="511"/>
      <c r="B71" s="506"/>
      <c r="C71" s="531"/>
      <c r="D71" s="518"/>
      <c r="E71" s="356"/>
      <c r="F71" s="379"/>
      <c r="G71" s="296"/>
      <c r="H71" s="296"/>
      <c r="I71" s="296"/>
      <c r="J71" s="296"/>
      <c r="K71" s="296"/>
      <c r="L71" s="297"/>
      <c r="M71" s="298"/>
      <c r="N71" s="298"/>
      <c r="O71" s="515"/>
      <c r="P71" s="300"/>
      <c r="S71" s="301">
        <f t="shared" si="16"/>
        <v>0</v>
      </c>
      <c r="T71" s="301">
        <f t="shared" si="17"/>
        <v>0</v>
      </c>
      <c r="U71" s="301">
        <f t="shared" si="18"/>
        <v>0</v>
      </c>
      <c r="V71" s="301">
        <f t="shared" si="19"/>
        <v>0</v>
      </c>
    </row>
    <row r="72" spans="1:22" s="301" customFormat="1" x14ac:dyDescent="0.2">
      <c r="A72" s="350">
        <v>5391</v>
      </c>
      <c r="B72" s="353" t="s">
        <v>452</v>
      </c>
      <c r="C72" s="528" t="s">
        <v>719</v>
      </c>
      <c r="D72" s="355">
        <v>1</v>
      </c>
      <c r="E72" s="356">
        <v>1300</v>
      </c>
      <c r="F72" s="379">
        <f t="shared" si="0"/>
        <v>1300</v>
      </c>
      <c r="G72" s="296">
        <v>1</v>
      </c>
      <c r="H72" s="296"/>
      <c r="I72" s="296"/>
      <c r="J72" s="296"/>
      <c r="K72" s="296"/>
      <c r="L72" s="297">
        <f t="shared" si="15"/>
        <v>0</v>
      </c>
      <c r="M72" s="298"/>
      <c r="N72" s="298"/>
      <c r="O72" s="315"/>
      <c r="P72" s="300"/>
      <c r="S72" s="301">
        <f t="shared" si="6"/>
        <v>0</v>
      </c>
      <c r="T72" s="301">
        <f t="shared" si="7"/>
        <v>0</v>
      </c>
      <c r="U72" s="301">
        <f t="shared" si="8"/>
        <v>0</v>
      </c>
      <c r="V72" s="301">
        <f t="shared" si="9"/>
        <v>0</v>
      </c>
    </row>
    <row r="73" spans="1:22" s="301" customFormat="1" x14ac:dyDescent="0.2">
      <c r="A73" s="350"/>
      <c r="B73" s="353"/>
      <c r="C73" s="528"/>
      <c r="D73" s="355"/>
      <c r="E73" s="356"/>
      <c r="F73" s="379">
        <f t="shared" si="0"/>
        <v>0</v>
      </c>
      <c r="G73" s="296"/>
      <c r="H73" s="296"/>
      <c r="I73" s="296"/>
      <c r="J73" s="296"/>
      <c r="K73" s="296"/>
      <c r="L73" s="297">
        <f t="shared" si="1"/>
        <v>0</v>
      </c>
      <c r="M73" s="298"/>
      <c r="N73" s="298"/>
      <c r="O73" s="315"/>
      <c r="P73" s="300"/>
      <c r="S73" s="301">
        <f t="shared" si="6"/>
        <v>0</v>
      </c>
      <c r="T73" s="301">
        <f t="shared" si="7"/>
        <v>0</v>
      </c>
      <c r="U73" s="301">
        <f t="shared" si="8"/>
        <v>0</v>
      </c>
      <c r="V73" s="301">
        <f t="shared" si="9"/>
        <v>0</v>
      </c>
    </row>
    <row r="74" spans="1:22" s="301" customFormat="1" x14ac:dyDescent="0.2">
      <c r="A74" s="350">
        <v>4960</v>
      </c>
      <c r="B74" s="353" t="s">
        <v>477</v>
      </c>
      <c r="C74" s="528" t="s">
        <v>729</v>
      </c>
      <c r="D74" s="355">
        <v>5</v>
      </c>
      <c r="E74" s="356">
        <v>1380</v>
      </c>
      <c r="F74" s="379">
        <f t="shared" si="0"/>
        <v>6900</v>
      </c>
      <c r="G74" s="296"/>
      <c r="H74" s="296"/>
      <c r="I74" s="296"/>
      <c r="J74" s="296"/>
      <c r="K74" s="296"/>
      <c r="L74" s="297">
        <f t="shared" si="1"/>
        <v>0</v>
      </c>
      <c r="M74" s="298">
        <v>43581</v>
      </c>
      <c r="N74" s="298">
        <v>43615</v>
      </c>
      <c r="O74" s="315"/>
      <c r="P74" s="300"/>
      <c r="S74" s="301">
        <f t="shared" si="6"/>
        <v>0</v>
      </c>
      <c r="T74" s="301">
        <f t="shared" si="7"/>
        <v>0</v>
      </c>
      <c r="U74" s="301">
        <f t="shared" si="8"/>
        <v>0</v>
      </c>
      <c r="V74" s="301">
        <f t="shared" si="9"/>
        <v>0</v>
      </c>
    </row>
    <row r="75" spans="1:22" s="301" customFormat="1" x14ac:dyDescent="0.2">
      <c r="A75" s="350">
        <v>4961</v>
      </c>
      <c r="B75" s="353" t="s">
        <v>477</v>
      </c>
      <c r="C75" s="528" t="s">
        <v>730</v>
      </c>
      <c r="D75" s="355">
        <v>6</v>
      </c>
      <c r="E75" s="356">
        <v>1380</v>
      </c>
      <c r="F75" s="379">
        <f t="shared" si="0"/>
        <v>8280</v>
      </c>
      <c r="G75" s="296"/>
      <c r="H75" s="296"/>
      <c r="I75" s="296"/>
      <c r="J75" s="296"/>
      <c r="K75" s="296"/>
      <c r="L75" s="297">
        <f t="shared" si="1"/>
        <v>0</v>
      </c>
      <c r="M75" s="298">
        <v>43581</v>
      </c>
      <c r="N75" s="298">
        <v>43615</v>
      </c>
      <c r="O75" s="315"/>
      <c r="P75" s="300"/>
      <c r="S75" s="301">
        <f t="shared" si="6"/>
        <v>0</v>
      </c>
      <c r="T75" s="301">
        <f t="shared" si="7"/>
        <v>0</v>
      </c>
      <c r="U75" s="301">
        <f t="shared" si="8"/>
        <v>0</v>
      </c>
      <c r="V75" s="301">
        <f t="shared" si="9"/>
        <v>0</v>
      </c>
    </row>
    <row r="76" spans="1:22" s="301" customFormat="1" x14ac:dyDescent="0.2">
      <c r="A76" s="350">
        <v>4962</v>
      </c>
      <c r="B76" s="353" t="s">
        <v>477</v>
      </c>
      <c r="C76" s="528" t="s">
        <v>731</v>
      </c>
      <c r="D76" s="355">
        <v>6</v>
      </c>
      <c r="E76" s="356">
        <v>1210</v>
      </c>
      <c r="F76" s="379">
        <f t="shared" si="0"/>
        <v>7260</v>
      </c>
      <c r="G76" s="296"/>
      <c r="H76" s="296"/>
      <c r="I76" s="296"/>
      <c r="J76" s="296"/>
      <c r="K76" s="296"/>
      <c r="L76" s="297">
        <f t="shared" si="1"/>
        <v>0</v>
      </c>
      <c r="M76" s="298">
        <v>43581</v>
      </c>
      <c r="N76" s="298">
        <v>43615</v>
      </c>
      <c r="O76" s="315"/>
      <c r="P76" s="300"/>
      <c r="S76" s="301">
        <f t="shared" si="6"/>
        <v>0</v>
      </c>
      <c r="T76" s="301">
        <f t="shared" si="7"/>
        <v>0</v>
      </c>
      <c r="U76" s="301">
        <f t="shared" si="8"/>
        <v>0</v>
      </c>
      <c r="V76" s="301">
        <f t="shared" si="9"/>
        <v>0</v>
      </c>
    </row>
    <row r="77" spans="1:22" s="301" customFormat="1" x14ac:dyDescent="0.2">
      <c r="A77" s="350">
        <v>4964</v>
      </c>
      <c r="B77" s="353" t="s">
        <v>477</v>
      </c>
      <c r="C77" s="528" t="s">
        <v>733</v>
      </c>
      <c r="D77" s="355">
        <v>8</v>
      </c>
      <c r="E77" s="356">
        <v>3500</v>
      </c>
      <c r="F77" s="379">
        <f t="shared" si="0"/>
        <v>28000</v>
      </c>
      <c r="G77" s="296"/>
      <c r="H77" s="296"/>
      <c r="I77" s="296"/>
      <c r="J77" s="296"/>
      <c r="K77" s="296"/>
      <c r="L77" s="297">
        <f t="shared" si="1"/>
        <v>0</v>
      </c>
      <c r="M77" s="298">
        <v>43581</v>
      </c>
      <c r="N77" s="298">
        <v>43615</v>
      </c>
      <c r="O77" s="315"/>
      <c r="P77" s="300"/>
      <c r="S77" s="301">
        <f t="shared" si="6"/>
        <v>0</v>
      </c>
      <c r="T77" s="301">
        <f t="shared" si="7"/>
        <v>0</v>
      </c>
      <c r="U77" s="301">
        <f t="shared" si="8"/>
        <v>0</v>
      </c>
      <c r="V77" s="301">
        <f t="shared" si="9"/>
        <v>0</v>
      </c>
    </row>
    <row r="78" spans="1:22" s="301" customFormat="1" x14ac:dyDescent="0.2">
      <c r="A78" s="350">
        <v>4969</v>
      </c>
      <c r="B78" s="353" t="s">
        <v>477</v>
      </c>
      <c r="C78" s="528" t="s">
        <v>738</v>
      </c>
      <c r="D78" s="355">
        <v>8</v>
      </c>
      <c r="E78" s="356">
        <v>800</v>
      </c>
      <c r="F78" s="379">
        <f t="shared" si="0"/>
        <v>6400</v>
      </c>
      <c r="G78" s="296">
        <v>8</v>
      </c>
      <c r="H78" s="296"/>
      <c r="I78" s="296">
        <v>8</v>
      </c>
      <c r="J78" s="296"/>
      <c r="K78" s="296"/>
      <c r="L78" s="297">
        <f t="shared" si="1"/>
        <v>6400</v>
      </c>
      <c r="M78" s="298">
        <v>43581</v>
      </c>
      <c r="N78" s="298">
        <v>43615</v>
      </c>
      <c r="O78" s="315"/>
      <c r="P78" s="300"/>
      <c r="S78" s="301">
        <f t="shared" si="6"/>
        <v>0</v>
      </c>
      <c r="T78" s="301">
        <f t="shared" si="7"/>
        <v>6400</v>
      </c>
      <c r="U78" s="301">
        <f t="shared" si="8"/>
        <v>0</v>
      </c>
      <c r="V78" s="301">
        <f t="shared" si="9"/>
        <v>0</v>
      </c>
    </row>
    <row r="79" spans="1:22" s="301" customFormat="1" x14ac:dyDescent="0.2">
      <c r="A79" s="350">
        <v>4970</v>
      </c>
      <c r="B79" s="353" t="s">
        <v>477</v>
      </c>
      <c r="C79" s="528" t="s">
        <v>739</v>
      </c>
      <c r="D79" s="355">
        <v>4</v>
      </c>
      <c r="E79" s="356">
        <v>1100</v>
      </c>
      <c r="F79" s="379">
        <f t="shared" si="0"/>
        <v>4400</v>
      </c>
      <c r="G79" s="296">
        <v>4</v>
      </c>
      <c r="H79" s="296"/>
      <c r="I79" s="296">
        <v>4</v>
      </c>
      <c r="J79" s="296"/>
      <c r="K79" s="296"/>
      <c r="L79" s="297">
        <f t="shared" si="1"/>
        <v>4400</v>
      </c>
      <c r="M79" s="298">
        <v>43581</v>
      </c>
      <c r="N79" s="298">
        <v>43615</v>
      </c>
      <c r="O79" s="315"/>
      <c r="P79" s="300"/>
      <c r="S79" s="301">
        <f t="shared" si="6"/>
        <v>0</v>
      </c>
      <c r="T79" s="301">
        <f t="shared" si="7"/>
        <v>4400</v>
      </c>
      <c r="U79" s="301">
        <f t="shared" si="8"/>
        <v>0</v>
      </c>
      <c r="V79" s="301">
        <f t="shared" si="9"/>
        <v>0</v>
      </c>
    </row>
    <row r="80" spans="1:22" s="301" customFormat="1" x14ac:dyDescent="0.2">
      <c r="A80" s="350">
        <v>4971</v>
      </c>
      <c r="B80" s="353" t="s">
        <v>477</v>
      </c>
      <c r="C80" s="528" t="s">
        <v>740</v>
      </c>
      <c r="D80" s="355">
        <v>8</v>
      </c>
      <c r="E80" s="356">
        <v>1600</v>
      </c>
      <c r="F80" s="379">
        <f t="shared" si="0"/>
        <v>12800</v>
      </c>
      <c r="G80" s="296">
        <v>8</v>
      </c>
      <c r="H80" s="296"/>
      <c r="I80" s="296">
        <v>8</v>
      </c>
      <c r="J80" s="296"/>
      <c r="K80" s="296"/>
      <c r="L80" s="297">
        <f t="shared" si="1"/>
        <v>12800</v>
      </c>
      <c r="M80" s="298">
        <v>43581</v>
      </c>
      <c r="N80" s="298">
        <v>43615</v>
      </c>
      <c r="O80" s="315"/>
      <c r="P80" s="300"/>
      <c r="S80" s="301">
        <f t="shared" si="6"/>
        <v>0</v>
      </c>
      <c r="T80" s="301">
        <f t="shared" si="7"/>
        <v>12800</v>
      </c>
      <c r="U80" s="301">
        <f t="shared" si="8"/>
        <v>0</v>
      </c>
      <c r="V80" s="301">
        <f t="shared" si="9"/>
        <v>0</v>
      </c>
    </row>
    <row r="81" spans="1:22" s="301" customFormat="1" x14ac:dyDescent="0.2">
      <c r="A81" s="350">
        <v>4972</v>
      </c>
      <c r="B81" s="353" t="s">
        <v>477</v>
      </c>
      <c r="C81" s="528" t="s">
        <v>741</v>
      </c>
      <c r="D81" s="355">
        <v>4</v>
      </c>
      <c r="E81" s="356">
        <v>4700</v>
      </c>
      <c r="F81" s="379">
        <f t="shared" si="0"/>
        <v>18800</v>
      </c>
      <c r="G81" s="296"/>
      <c r="H81" s="296"/>
      <c r="I81" s="296"/>
      <c r="J81" s="296"/>
      <c r="K81" s="296"/>
      <c r="L81" s="297">
        <f t="shared" ref="L81:L90" si="20">E81*(H81+I81+J81+K81)</f>
        <v>0</v>
      </c>
      <c r="M81" s="298">
        <v>43581</v>
      </c>
      <c r="N81" s="298">
        <v>43615</v>
      </c>
      <c r="O81" s="315"/>
      <c r="P81" s="300"/>
      <c r="S81" s="301">
        <f t="shared" si="6"/>
        <v>0</v>
      </c>
      <c r="T81" s="301">
        <f t="shared" si="7"/>
        <v>0</v>
      </c>
      <c r="U81" s="301">
        <f t="shared" si="8"/>
        <v>0</v>
      </c>
      <c r="V81" s="301">
        <f t="shared" si="9"/>
        <v>0</v>
      </c>
    </row>
    <row r="82" spans="1:22" s="301" customFormat="1" x14ac:dyDescent="0.2">
      <c r="A82" s="350">
        <v>5508</v>
      </c>
      <c r="B82" s="353" t="s">
        <v>477</v>
      </c>
      <c r="C82" s="528" t="s">
        <v>797</v>
      </c>
      <c r="D82" s="355">
        <v>10</v>
      </c>
      <c r="E82" s="356">
        <v>630</v>
      </c>
      <c r="F82" s="379">
        <f t="shared" ref="F82:F90" si="21">E82*D82</f>
        <v>6300</v>
      </c>
      <c r="G82" s="296"/>
      <c r="H82" s="296"/>
      <c r="I82" s="296"/>
      <c r="J82" s="296"/>
      <c r="K82" s="296"/>
      <c r="L82" s="297">
        <f t="shared" si="20"/>
        <v>0</v>
      </c>
      <c r="M82" s="298">
        <v>43605</v>
      </c>
      <c r="N82" s="298">
        <v>43614</v>
      </c>
      <c r="O82" s="315"/>
      <c r="P82" s="300"/>
      <c r="S82" s="301">
        <f t="shared" si="6"/>
        <v>0</v>
      </c>
      <c r="T82" s="301">
        <f t="shared" si="7"/>
        <v>0</v>
      </c>
      <c r="U82" s="301">
        <f t="shared" si="8"/>
        <v>0</v>
      </c>
      <c r="V82" s="301">
        <f t="shared" si="9"/>
        <v>0</v>
      </c>
    </row>
    <row r="83" spans="1:22" s="301" customFormat="1" x14ac:dyDescent="0.2">
      <c r="A83" s="511">
        <v>5507</v>
      </c>
      <c r="B83" s="506" t="s">
        <v>477</v>
      </c>
      <c r="C83" s="531" t="s">
        <v>806</v>
      </c>
      <c r="D83" s="512">
        <v>1</v>
      </c>
      <c r="E83" s="356">
        <v>10560</v>
      </c>
      <c r="F83" s="379">
        <f t="shared" si="21"/>
        <v>10560</v>
      </c>
      <c r="G83" s="296"/>
      <c r="H83" s="296"/>
      <c r="I83" s="296"/>
      <c r="J83" s="296"/>
      <c r="K83" s="296"/>
      <c r="L83" s="297">
        <f t="shared" si="20"/>
        <v>0</v>
      </c>
      <c r="M83" s="298">
        <v>43607</v>
      </c>
      <c r="N83" s="298">
        <v>43615</v>
      </c>
      <c r="O83" s="315"/>
      <c r="P83" s="300"/>
      <c r="S83" s="301">
        <f t="shared" ref="S83:S152" si="22">H83*E83</f>
        <v>0</v>
      </c>
      <c r="T83" s="301">
        <f t="shared" ref="T83:T152" si="23">I83*E83</f>
        <v>0</v>
      </c>
      <c r="U83" s="301">
        <f t="shared" ref="U83:U152" si="24">J83*E83</f>
        <v>0</v>
      </c>
      <c r="V83" s="301">
        <f t="shared" ref="V83:V152" si="25">K83*E83</f>
        <v>0</v>
      </c>
    </row>
    <row r="84" spans="1:22" s="301" customFormat="1" x14ac:dyDescent="0.2">
      <c r="A84" s="511">
        <v>5548</v>
      </c>
      <c r="B84" s="506" t="s">
        <v>477</v>
      </c>
      <c r="C84" s="531" t="s">
        <v>867</v>
      </c>
      <c r="D84" s="512">
        <v>1</v>
      </c>
      <c r="E84" s="356">
        <v>8000</v>
      </c>
      <c r="F84" s="379">
        <f t="shared" si="21"/>
        <v>8000</v>
      </c>
      <c r="G84" s="296"/>
      <c r="H84" s="296"/>
      <c r="I84" s="296"/>
      <c r="J84" s="296"/>
      <c r="K84" s="296"/>
      <c r="L84" s="297">
        <f t="shared" si="20"/>
        <v>0</v>
      </c>
      <c r="M84" s="298">
        <v>43629</v>
      </c>
      <c r="N84" s="298">
        <v>43644</v>
      </c>
      <c r="O84" s="315"/>
      <c r="P84" s="300"/>
    </row>
    <row r="85" spans="1:22" s="301" customFormat="1" x14ac:dyDescent="0.2">
      <c r="A85" s="511">
        <v>5549</v>
      </c>
      <c r="B85" s="506" t="s">
        <v>477</v>
      </c>
      <c r="C85" s="531" t="s">
        <v>868</v>
      </c>
      <c r="D85" s="512">
        <v>1</v>
      </c>
      <c r="E85" s="356">
        <v>8000</v>
      </c>
      <c r="F85" s="379">
        <f t="shared" si="21"/>
        <v>8000</v>
      </c>
      <c r="G85" s="296"/>
      <c r="H85" s="296"/>
      <c r="I85" s="296"/>
      <c r="J85" s="296"/>
      <c r="K85" s="296"/>
      <c r="L85" s="297">
        <f t="shared" si="20"/>
        <v>0</v>
      </c>
      <c r="M85" s="298">
        <v>43629</v>
      </c>
      <c r="N85" s="298">
        <v>43644</v>
      </c>
      <c r="O85" s="315"/>
      <c r="P85" s="300"/>
    </row>
    <row r="86" spans="1:22" s="301" customFormat="1" x14ac:dyDescent="0.2">
      <c r="A86" s="511">
        <v>5550</v>
      </c>
      <c r="B86" s="506" t="s">
        <v>477</v>
      </c>
      <c r="C86" s="531" t="s">
        <v>869</v>
      </c>
      <c r="D86" s="512">
        <v>2</v>
      </c>
      <c r="E86" s="356">
        <v>4500</v>
      </c>
      <c r="F86" s="379">
        <f t="shared" si="21"/>
        <v>9000</v>
      </c>
      <c r="G86" s="296"/>
      <c r="H86" s="296"/>
      <c r="I86" s="296"/>
      <c r="J86" s="296"/>
      <c r="K86" s="296"/>
      <c r="L86" s="297">
        <f t="shared" si="20"/>
        <v>0</v>
      </c>
      <c r="M86" s="298">
        <v>43629</v>
      </c>
      <c r="N86" s="298">
        <v>43644</v>
      </c>
      <c r="O86" s="315"/>
      <c r="P86" s="300"/>
    </row>
    <row r="87" spans="1:22" s="301" customFormat="1" x14ac:dyDescent="0.2">
      <c r="A87" s="511">
        <v>5551</v>
      </c>
      <c r="B87" s="506" t="s">
        <v>477</v>
      </c>
      <c r="C87" s="531" t="s">
        <v>870</v>
      </c>
      <c r="D87" s="512">
        <v>4</v>
      </c>
      <c r="E87" s="356">
        <v>250</v>
      </c>
      <c r="F87" s="379">
        <f t="shared" si="21"/>
        <v>1000</v>
      </c>
      <c r="G87" s="296"/>
      <c r="H87" s="296"/>
      <c r="I87" s="296"/>
      <c r="J87" s="296"/>
      <c r="K87" s="296"/>
      <c r="L87" s="297">
        <f t="shared" si="20"/>
        <v>0</v>
      </c>
      <c r="M87" s="298">
        <v>43629</v>
      </c>
      <c r="N87" s="298">
        <v>43644</v>
      </c>
      <c r="O87" s="315"/>
      <c r="P87" s="300"/>
    </row>
    <row r="88" spans="1:22" s="301" customFormat="1" x14ac:dyDescent="0.2">
      <c r="A88" s="511"/>
      <c r="B88" s="506"/>
      <c r="C88" s="529"/>
      <c r="D88" s="512"/>
      <c r="E88" s="361"/>
      <c r="F88" s="379">
        <f t="shared" si="21"/>
        <v>0</v>
      </c>
      <c r="G88" s="296"/>
      <c r="H88" s="296"/>
      <c r="I88" s="296"/>
      <c r="J88" s="296"/>
      <c r="K88" s="296"/>
      <c r="L88" s="297">
        <f t="shared" si="20"/>
        <v>0</v>
      </c>
      <c r="M88" s="298"/>
      <c r="N88" s="298"/>
      <c r="O88" s="315"/>
      <c r="P88" s="300"/>
      <c r="S88" s="301">
        <f t="shared" si="22"/>
        <v>0</v>
      </c>
      <c r="T88" s="301">
        <f t="shared" si="23"/>
        <v>0</v>
      </c>
      <c r="U88" s="301">
        <f t="shared" si="24"/>
        <v>0</v>
      </c>
      <c r="V88" s="301">
        <f t="shared" si="25"/>
        <v>0</v>
      </c>
    </row>
    <row r="89" spans="1:22" s="301" customFormat="1" x14ac:dyDescent="0.2">
      <c r="A89" s="319">
        <v>5535</v>
      </c>
      <c r="B89" s="353" t="s">
        <v>269</v>
      </c>
      <c r="C89" s="528" t="s">
        <v>816</v>
      </c>
      <c r="D89" s="355">
        <v>150</v>
      </c>
      <c r="E89" s="409">
        <v>9255</v>
      </c>
      <c r="F89" s="379">
        <f t="shared" si="21"/>
        <v>1388250</v>
      </c>
      <c r="G89" s="296"/>
      <c r="H89" s="296"/>
      <c r="I89" s="296"/>
      <c r="J89" s="296"/>
      <c r="K89" s="296"/>
      <c r="L89" s="297">
        <f t="shared" si="20"/>
        <v>0</v>
      </c>
      <c r="M89" s="298">
        <v>43612</v>
      </c>
      <c r="N89" s="298">
        <v>43636</v>
      </c>
      <c r="O89" s="315"/>
      <c r="P89" s="300"/>
      <c r="S89" s="301">
        <f t="shared" si="22"/>
        <v>0</v>
      </c>
      <c r="T89" s="301">
        <f t="shared" si="23"/>
        <v>0</v>
      </c>
      <c r="U89" s="301">
        <f t="shared" si="24"/>
        <v>0</v>
      </c>
      <c r="V89" s="301">
        <f t="shared" si="25"/>
        <v>0</v>
      </c>
    </row>
    <row r="90" spans="1:22" s="301" customFormat="1" x14ac:dyDescent="0.2">
      <c r="A90" s="319">
        <v>5538</v>
      </c>
      <c r="B90" s="353" t="s">
        <v>269</v>
      </c>
      <c r="C90" s="528" t="s">
        <v>817</v>
      </c>
      <c r="D90" s="355">
        <v>150</v>
      </c>
      <c r="E90" s="409">
        <v>9409</v>
      </c>
      <c r="F90" s="379">
        <f t="shared" si="21"/>
        <v>1411350</v>
      </c>
      <c r="G90" s="296"/>
      <c r="H90" s="296"/>
      <c r="I90" s="296"/>
      <c r="J90" s="296"/>
      <c r="K90" s="296"/>
      <c r="L90" s="297">
        <f t="shared" si="20"/>
        <v>0</v>
      </c>
      <c r="M90" s="298">
        <v>43612</v>
      </c>
      <c r="N90" s="298">
        <v>43636</v>
      </c>
      <c r="O90" s="315"/>
      <c r="P90" s="300"/>
      <c r="S90" s="301">
        <f t="shared" si="22"/>
        <v>0</v>
      </c>
      <c r="T90" s="301">
        <f t="shared" si="23"/>
        <v>0</v>
      </c>
      <c r="U90" s="301">
        <f t="shared" si="24"/>
        <v>0</v>
      </c>
      <c r="V90" s="301">
        <f t="shared" si="25"/>
        <v>0</v>
      </c>
    </row>
    <row r="91" spans="1:22" s="301" customFormat="1" x14ac:dyDescent="0.2">
      <c r="A91" s="350"/>
      <c r="B91" s="353"/>
      <c r="C91" s="528"/>
      <c r="D91" s="355"/>
      <c r="E91" s="356"/>
      <c r="F91" s="379">
        <f t="shared" ref="F91:F155" si="26">E91*D91</f>
        <v>0</v>
      </c>
      <c r="G91" s="296"/>
      <c r="H91" s="296"/>
      <c r="I91" s="296"/>
      <c r="J91" s="296"/>
      <c r="K91" s="296"/>
      <c r="L91" s="297">
        <f t="shared" ref="L91:L154" si="27">E91*(H91+I91+J91+K91)</f>
        <v>0</v>
      </c>
      <c r="M91" s="298"/>
      <c r="N91" s="298"/>
      <c r="O91" s="315"/>
      <c r="P91" s="300"/>
      <c r="S91" s="301">
        <f t="shared" si="22"/>
        <v>0</v>
      </c>
      <c r="T91" s="301">
        <f t="shared" si="23"/>
        <v>0</v>
      </c>
      <c r="U91" s="301">
        <f t="shared" si="24"/>
        <v>0</v>
      </c>
      <c r="V91" s="301">
        <f t="shared" si="25"/>
        <v>0</v>
      </c>
    </row>
    <row r="92" spans="1:22" s="301" customFormat="1" x14ac:dyDescent="0.2">
      <c r="A92" s="511">
        <v>5488</v>
      </c>
      <c r="B92" s="506" t="s">
        <v>788</v>
      </c>
      <c r="C92" s="531" t="s">
        <v>789</v>
      </c>
      <c r="D92" s="512">
        <v>1</v>
      </c>
      <c r="E92" s="513">
        <v>3745</v>
      </c>
      <c r="F92" s="379">
        <f t="shared" si="26"/>
        <v>3745</v>
      </c>
      <c r="G92" s="296"/>
      <c r="H92" s="296"/>
      <c r="I92" s="296"/>
      <c r="J92" s="296"/>
      <c r="K92" s="296"/>
      <c r="L92" s="297">
        <f t="shared" si="27"/>
        <v>0</v>
      </c>
      <c r="M92" s="298">
        <v>43602</v>
      </c>
      <c r="N92" s="298">
        <v>43616</v>
      </c>
      <c r="O92" s="514"/>
      <c r="P92" s="300"/>
      <c r="S92" s="301">
        <f t="shared" si="22"/>
        <v>0</v>
      </c>
      <c r="T92" s="301">
        <f t="shared" si="23"/>
        <v>0</v>
      </c>
      <c r="U92" s="301">
        <f t="shared" si="24"/>
        <v>0</v>
      </c>
      <c r="V92" s="301">
        <f t="shared" si="25"/>
        <v>0</v>
      </c>
    </row>
    <row r="93" spans="1:22" s="301" customFormat="1" x14ac:dyDescent="0.2">
      <c r="A93" s="511">
        <v>5489</v>
      </c>
      <c r="B93" s="506" t="s">
        <v>788</v>
      </c>
      <c r="C93" s="531" t="s">
        <v>790</v>
      </c>
      <c r="D93" s="512">
        <v>8</v>
      </c>
      <c r="E93" s="513">
        <v>3812</v>
      </c>
      <c r="F93" s="379">
        <f t="shared" si="26"/>
        <v>30496</v>
      </c>
      <c r="G93" s="296">
        <v>8</v>
      </c>
      <c r="H93" s="296"/>
      <c r="I93" s="296"/>
      <c r="J93" s="296"/>
      <c r="K93" s="296"/>
      <c r="L93" s="297">
        <f t="shared" si="27"/>
        <v>0</v>
      </c>
      <c r="M93" s="298">
        <v>43602</v>
      </c>
      <c r="N93" s="298">
        <v>43616</v>
      </c>
      <c r="O93" s="514"/>
      <c r="P93" s="300"/>
      <c r="S93" s="301">
        <f t="shared" si="22"/>
        <v>0</v>
      </c>
      <c r="T93" s="301">
        <f t="shared" si="23"/>
        <v>0</v>
      </c>
      <c r="U93" s="301">
        <f t="shared" si="24"/>
        <v>0</v>
      </c>
      <c r="V93" s="301">
        <f t="shared" si="25"/>
        <v>0</v>
      </c>
    </row>
    <row r="94" spans="1:22" s="301" customFormat="1" x14ac:dyDescent="0.2">
      <c r="A94" s="511">
        <v>5490</v>
      </c>
      <c r="B94" s="506" t="s">
        <v>788</v>
      </c>
      <c r="C94" s="531" t="s">
        <v>791</v>
      </c>
      <c r="D94" s="512">
        <v>4</v>
      </c>
      <c r="E94" s="513">
        <v>13220.5</v>
      </c>
      <c r="F94" s="379">
        <f t="shared" si="26"/>
        <v>52882</v>
      </c>
      <c r="G94" s="296"/>
      <c r="H94" s="296"/>
      <c r="I94" s="296"/>
      <c r="J94" s="296"/>
      <c r="K94" s="296"/>
      <c r="L94" s="297">
        <f t="shared" si="27"/>
        <v>0</v>
      </c>
      <c r="M94" s="298">
        <v>43602</v>
      </c>
      <c r="N94" s="298">
        <v>43616</v>
      </c>
      <c r="O94" s="514"/>
      <c r="P94" s="300"/>
      <c r="S94" s="301">
        <f t="shared" si="22"/>
        <v>0</v>
      </c>
      <c r="T94" s="301">
        <f t="shared" si="23"/>
        <v>0</v>
      </c>
      <c r="U94" s="301">
        <f t="shared" si="24"/>
        <v>0</v>
      </c>
      <c r="V94" s="301">
        <f t="shared" si="25"/>
        <v>0</v>
      </c>
    </row>
    <row r="95" spans="1:22" s="301" customFormat="1" x14ac:dyDescent="0.2">
      <c r="A95" s="511">
        <v>5491</v>
      </c>
      <c r="B95" s="506" t="s">
        <v>788</v>
      </c>
      <c r="C95" s="531" t="s">
        <v>792</v>
      </c>
      <c r="D95" s="512">
        <v>1</v>
      </c>
      <c r="E95" s="513">
        <v>4585.5</v>
      </c>
      <c r="F95" s="379">
        <f t="shared" si="26"/>
        <v>4585.5</v>
      </c>
      <c r="G95" s="296"/>
      <c r="H95" s="296"/>
      <c r="I95" s="296"/>
      <c r="J95" s="296"/>
      <c r="K95" s="296"/>
      <c r="L95" s="297">
        <f t="shared" si="27"/>
        <v>0</v>
      </c>
      <c r="M95" s="298">
        <v>43602</v>
      </c>
      <c r="N95" s="298">
        <v>43616</v>
      </c>
      <c r="O95" s="514"/>
      <c r="P95" s="300"/>
      <c r="S95" s="301">
        <f t="shared" si="22"/>
        <v>0</v>
      </c>
      <c r="T95" s="301">
        <f t="shared" si="23"/>
        <v>0</v>
      </c>
      <c r="U95" s="301">
        <f t="shared" si="24"/>
        <v>0</v>
      </c>
      <c r="V95" s="301">
        <f t="shared" si="25"/>
        <v>0</v>
      </c>
    </row>
    <row r="96" spans="1:22" s="301" customFormat="1" x14ac:dyDescent="0.2">
      <c r="A96" s="511">
        <v>5492</v>
      </c>
      <c r="B96" s="506" t="s">
        <v>788</v>
      </c>
      <c r="C96" s="531" t="s">
        <v>793</v>
      </c>
      <c r="D96" s="512">
        <v>8</v>
      </c>
      <c r="E96" s="513">
        <v>1169.5</v>
      </c>
      <c r="F96" s="379">
        <f t="shared" si="26"/>
        <v>9356</v>
      </c>
      <c r="G96" s="296"/>
      <c r="H96" s="296"/>
      <c r="I96" s="296"/>
      <c r="J96" s="296"/>
      <c r="K96" s="296"/>
      <c r="L96" s="297">
        <f t="shared" si="27"/>
        <v>0</v>
      </c>
      <c r="M96" s="298">
        <v>43602</v>
      </c>
      <c r="N96" s="298">
        <v>43616</v>
      </c>
      <c r="O96" s="514"/>
      <c r="P96" s="300"/>
      <c r="S96" s="301">
        <f t="shared" si="22"/>
        <v>0</v>
      </c>
      <c r="T96" s="301">
        <f t="shared" si="23"/>
        <v>0</v>
      </c>
      <c r="U96" s="301">
        <f t="shared" si="24"/>
        <v>0</v>
      </c>
      <c r="V96" s="301">
        <f t="shared" si="25"/>
        <v>0</v>
      </c>
    </row>
    <row r="97" spans="1:22" s="301" customFormat="1" x14ac:dyDescent="0.2">
      <c r="A97" s="511">
        <v>5493</v>
      </c>
      <c r="B97" s="506" t="s">
        <v>788</v>
      </c>
      <c r="C97" s="531" t="s">
        <v>794</v>
      </c>
      <c r="D97" s="512">
        <v>4</v>
      </c>
      <c r="E97" s="513">
        <v>545.5</v>
      </c>
      <c r="F97" s="379">
        <f t="shared" si="26"/>
        <v>2182</v>
      </c>
      <c r="G97" s="296">
        <v>4</v>
      </c>
      <c r="H97" s="296"/>
      <c r="I97" s="296"/>
      <c r="J97" s="296"/>
      <c r="K97" s="296"/>
      <c r="L97" s="297">
        <f t="shared" si="27"/>
        <v>0</v>
      </c>
      <c r="M97" s="298">
        <v>43602</v>
      </c>
      <c r="N97" s="298">
        <v>43616</v>
      </c>
      <c r="O97" s="514"/>
      <c r="P97" s="300"/>
      <c r="S97" s="301">
        <f t="shared" si="22"/>
        <v>0</v>
      </c>
      <c r="T97" s="301">
        <f t="shared" si="23"/>
        <v>0</v>
      </c>
      <c r="U97" s="301">
        <f t="shared" si="24"/>
        <v>0</v>
      </c>
      <c r="V97" s="301">
        <f t="shared" si="25"/>
        <v>0</v>
      </c>
    </row>
    <row r="98" spans="1:22" s="301" customFormat="1" x14ac:dyDescent="0.2">
      <c r="A98" s="511">
        <v>5521</v>
      </c>
      <c r="B98" s="506" t="s">
        <v>788</v>
      </c>
      <c r="C98" s="531" t="s">
        <v>487</v>
      </c>
      <c r="D98" s="512">
        <v>5</v>
      </c>
      <c r="E98" s="513">
        <v>1020</v>
      </c>
      <c r="F98" s="379">
        <f t="shared" si="26"/>
        <v>5100</v>
      </c>
      <c r="G98" s="296"/>
      <c r="H98" s="296"/>
      <c r="I98" s="296"/>
      <c r="J98" s="296"/>
      <c r="K98" s="296"/>
      <c r="L98" s="297">
        <f t="shared" si="27"/>
        <v>0</v>
      </c>
      <c r="M98" s="298">
        <v>43608</v>
      </c>
      <c r="N98" s="298">
        <v>43633</v>
      </c>
      <c r="O98" s="514"/>
      <c r="P98" s="300"/>
      <c r="S98" s="301">
        <f t="shared" si="22"/>
        <v>0</v>
      </c>
      <c r="T98" s="301">
        <f t="shared" si="23"/>
        <v>0</v>
      </c>
      <c r="U98" s="301">
        <f t="shared" si="24"/>
        <v>0</v>
      </c>
      <c r="V98" s="301">
        <f t="shared" si="25"/>
        <v>0</v>
      </c>
    </row>
    <row r="99" spans="1:22" s="301" customFormat="1" x14ac:dyDescent="0.2">
      <c r="A99" s="511">
        <v>5522</v>
      </c>
      <c r="B99" s="506" t="s">
        <v>788</v>
      </c>
      <c r="C99" s="531" t="s">
        <v>662</v>
      </c>
      <c r="D99" s="512">
        <v>1</v>
      </c>
      <c r="E99" s="513">
        <v>1150</v>
      </c>
      <c r="F99" s="379">
        <f t="shared" si="26"/>
        <v>1150</v>
      </c>
      <c r="G99" s="296"/>
      <c r="H99" s="296"/>
      <c r="I99" s="296"/>
      <c r="J99" s="296"/>
      <c r="K99" s="296"/>
      <c r="L99" s="297">
        <f t="shared" si="27"/>
        <v>0</v>
      </c>
      <c r="M99" s="298">
        <v>43608</v>
      </c>
      <c r="N99" s="298">
        <v>43633</v>
      </c>
      <c r="O99" s="514"/>
      <c r="P99" s="300"/>
      <c r="S99" s="301">
        <f t="shared" si="22"/>
        <v>0</v>
      </c>
      <c r="T99" s="301">
        <f t="shared" si="23"/>
        <v>0</v>
      </c>
      <c r="U99" s="301">
        <f t="shared" si="24"/>
        <v>0</v>
      </c>
      <c r="V99" s="301">
        <f t="shared" si="25"/>
        <v>0</v>
      </c>
    </row>
    <row r="100" spans="1:22" s="301" customFormat="1" x14ac:dyDescent="0.2">
      <c r="A100" s="511">
        <v>5523</v>
      </c>
      <c r="B100" s="506" t="s">
        <v>788</v>
      </c>
      <c r="C100" s="531" t="s">
        <v>809</v>
      </c>
      <c r="D100" s="512">
        <v>1</v>
      </c>
      <c r="E100" s="513">
        <v>4600</v>
      </c>
      <c r="F100" s="379">
        <f t="shared" si="26"/>
        <v>4600</v>
      </c>
      <c r="G100" s="296"/>
      <c r="H100" s="296"/>
      <c r="I100" s="296"/>
      <c r="J100" s="296"/>
      <c r="K100" s="296"/>
      <c r="L100" s="297">
        <f t="shared" si="27"/>
        <v>0</v>
      </c>
      <c r="M100" s="298">
        <v>43608</v>
      </c>
      <c r="N100" s="298">
        <v>43633</v>
      </c>
      <c r="O100" s="514"/>
      <c r="P100" s="300"/>
      <c r="S100" s="301">
        <f t="shared" si="22"/>
        <v>0</v>
      </c>
      <c r="T100" s="301">
        <f t="shared" si="23"/>
        <v>0</v>
      </c>
      <c r="U100" s="301">
        <f t="shared" si="24"/>
        <v>0</v>
      </c>
      <c r="V100" s="301">
        <f t="shared" si="25"/>
        <v>0</v>
      </c>
    </row>
    <row r="101" spans="1:22" s="301" customFormat="1" x14ac:dyDescent="0.2">
      <c r="A101" s="511">
        <v>5524</v>
      </c>
      <c r="B101" s="506" t="s">
        <v>788</v>
      </c>
      <c r="C101" s="531" t="s">
        <v>810</v>
      </c>
      <c r="D101" s="512">
        <v>2</v>
      </c>
      <c r="E101" s="513">
        <v>1600</v>
      </c>
      <c r="F101" s="379">
        <f t="shared" si="26"/>
        <v>3200</v>
      </c>
      <c r="G101" s="296"/>
      <c r="H101" s="296"/>
      <c r="I101" s="296"/>
      <c r="J101" s="296"/>
      <c r="K101" s="296"/>
      <c r="L101" s="297">
        <f t="shared" si="27"/>
        <v>0</v>
      </c>
      <c r="M101" s="298">
        <v>43608</v>
      </c>
      <c r="N101" s="298">
        <v>43633</v>
      </c>
      <c r="O101" s="514"/>
      <c r="P101" s="300"/>
      <c r="S101" s="301">
        <f t="shared" si="22"/>
        <v>0</v>
      </c>
      <c r="T101" s="301">
        <f t="shared" si="23"/>
        <v>0</v>
      </c>
      <c r="U101" s="301">
        <f t="shared" si="24"/>
        <v>0</v>
      </c>
      <c r="V101" s="301">
        <f t="shared" si="25"/>
        <v>0</v>
      </c>
    </row>
    <row r="102" spans="1:22" s="301" customFormat="1" x14ac:dyDescent="0.2">
      <c r="A102" s="511">
        <v>5525</v>
      </c>
      <c r="B102" s="506" t="s">
        <v>788</v>
      </c>
      <c r="C102" s="531" t="s">
        <v>811</v>
      </c>
      <c r="D102" s="512">
        <v>2</v>
      </c>
      <c r="E102" s="513">
        <v>1020</v>
      </c>
      <c r="F102" s="379">
        <f t="shared" si="26"/>
        <v>2040</v>
      </c>
      <c r="G102" s="296"/>
      <c r="H102" s="296"/>
      <c r="I102" s="296"/>
      <c r="J102" s="296"/>
      <c r="K102" s="296"/>
      <c r="L102" s="297">
        <f t="shared" si="27"/>
        <v>0</v>
      </c>
      <c r="M102" s="298">
        <v>43608</v>
      </c>
      <c r="N102" s="298">
        <v>43633</v>
      </c>
      <c r="O102" s="514"/>
      <c r="P102" s="300"/>
      <c r="S102" s="301">
        <f t="shared" si="22"/>
        <v>0</v>
      </c>
      <c r="T102" s="301">
        <f t="shared" si="23"/>
        <v>0</v>
      </c>
      <c r="U102" s="301">
        <f t="shared" si="24"/>
        <v>0</v>
      </c>
      <c r="V102" s="301">
        <f t="shared" si="25"/>
        <v>0</v>
      </c>
    </row>
    <row r="103" spans="1:22" s="301" customFormat="1" x14ac:dyDescent="0.2">
      <c r="A103" s="511">
        <v>5526</v>
      </c>
      <c r="B103" s="506" t="s">
        <v>788</v>
      </c>
      <c r="C103" s="531" t="s">
        <v>644</v>
      </c>
      <c r="D103" s="512">
        <v>2</v>
      </c>
      <c r="E103" s="513">
        <v>4100</v>
      </c>
      <c r="F103" s="379">
        <f t="shared" si="26"/>
        <v>8200</v>
      </c>
      <c r="G103" s="296"/>
      <c r="H103" s="296"/>
      <c r="I103" s="296"/>
      <c r="J103" s="296"/>
      <c r="K103" s="296"/>
      <c r="L103" s="297">
        <f t="shared" si="27"/>
        <v>0</v>
      </c>
      <c r="M103" s="298">
        <v>43608</v>
      </c>
      <c r="N103" s="298">
        <v>43633</v>
      </c>
      <c r="O103" s="514"/>
      <c r="P103" s="300"/>
      <c r="S103" s="301">
        <f t="shared" si="22"/>
        <v>0</v>
      </c>
      <c r="T103" s="301">
        <f t="shared" si="23"/>
        <v>0</v>
      </c>
      <c r="U103" s="301">
        <f t="shared" si="24"/>
        <v>0</v>
      </c>
      <c r="V103" s="301">
        <f t="shared" si="25"/>
        <v>0</v>
      </c>
    </row>
    <row r="104" spans="1:22" s="301" customFormat="1" x14ac:dyDescent="0.2">
      <c r="A104" s="511">
        <v>5527</v>
      </c>
      <c r="B104" s="506" t="s">
        <v>788</v>
      </c>
      <c r="C104" s="531" t="s">
        <v>812</v>
      </c>
      <c r="D104" s="512">
        <v>2</v>
      </c>
      <c r="E104" s="513">
        <v>1480</v>
      </c>
      <c r="F104" s="379">
        <f t="shared" si="26"/>
        <v>2960</v>
      </c>
      <c r="G104" s="296"/>
      <c r="H104" s="296"/>
      <c r="I104" s="296"/>
      <c r="J104" s="296"/>
      <c r="K104" s="296"/>
      <c r="L104" s="297">
        <f t="shared" si="27"/>
        <v>0</v>
      </c>
      <c r="M104" s="298">
        <v>43608</v>
      </c>
      <c r="N104" s="298">
        <v>43633</v>
      </c>
      <c r="O104" s="514"/>
      <c r="P104" s="300"/>
      <c r="S104" s="301">
        <f t="shared" si="22"/>
        <v>0</v>
      </c>
      <c r="T104" s="301">
        <f t="shared" si="23"/>
        <v>0</v>
      </c>
      <c r="U104" s="301">
        <f t="shared" si="24"/>
        <v>0</v>
      </c>
      <c r="V104" s="301">
        <f t="shared" si="25"/>
        <v>0</v>
      </c>
    </row>
    <row r="105" spans="1:22" s="301" customFormat="1" x14ac:dyDescent="0.2">
      <c r="A105" s="511">
        <v>5528</v>
      </c>
      <c r="B105" s="506" t="s">
        <v>788</v>
      </c>
      <c r="C105" s="531" t="s">
        <v>813</v>
      </c>
      <c r="D105" s="512">
        <v>1</v>
      </c>
      <c r="E105" s="513">
        <v>3180</v>
      </c>
      <c r="F105" s="379">
        <f t="shared" si="26"/>
        <v>3180</v>
      </c>
      <c r="G105" s="296"/>
      <c r="H105" s="296"/>
      <c r="I105" s="296"/>
      <c r="J105" s="296"/>
      <c r="K105" s="296"/>
      <c r="L105" s="297">
        <f t="shared" si="27"/>
        <v>0</v>
      </c>
      <c r="M105" s="298">
        <v>43608</v>
      </c>
      <c r="N105" s="298">
        <v>43633</v>
      </c>
      <c r="O105" s="514"/>
      <c r="P105" s="300"/>
      <c r="S105" s="301">
        <f t="shared" si="22"/>
        <v>0</v>
      </c>
      <c r="T105" s="301">
        <f t="shared" si="23"/>
        <v>0</v>
      </c>
      <c r="U105" s="301">
        <f t="shared" si="24"/>
        <v>0</v>
      </c>
      <c r="V105" s="301">
        <f t="shared" si="25"/>
        <v>0</v>
      </c>
    </row>
    <row r="106" spans="1:22" s="301" customFormat="1" x14ac:dyDescent="0.2">
      <c r="A106" s="511">
        <v>5529</v>
      </c>
      <c r="B106" s="506" t="s">
        <v>788</v>
      </c>
      <c r="C106" s="531" t="s">
        <v>814</v>
      </c>
      <c r="D106" s="512">
        <v>4</v>
      </c>
      <c r="E106" s="513">
        <v>850</v>
      </c>
      <c r="F106" s="379">
        <f t="shared" si="26"/>
        <v>3400</v>
      </c>
      <c r="G106" s="296"/>
      <c r="H106" s="296"/>
      <c r="I106" s="296"/>
      <c r="J106" s="296"/>
      <c r="K106" s="296"/>
      <c r="L106" s="297">
        <f t="shared" si="27"/>
        <v>0</v>
      </c>
      <c r="M106" s="298">
        <v>43608</v>
      </c>
      <c r="N106" s="298">
        <v>43633</v>
      </c>
      <c r="O106" s="514"/>
      <c r="P106" s="300"/>
      <c r="S106" s="301">
        <f t="shared" si="22"/>
        <v>0</v>
      </c>
      <c r="T106" s="301">
        <f t="shared" si="23"/>
        <v>0</v>
      </c>
      <c r="U106" s="301">
        <f t="shared" si="24"/>
        <v>0</v>
      </c>
      <c r="V106" s="301">
        <f t="shared" si="25"/>
        <v>0</v>
      </c>
    </row>
    <row r="107" spans="1:22" s="301" customFormat="1" x14ac:dyDescent="0.2">
      <c r="A107" s="511">
        <v>5530</v>
      </c>
      <c r="B107" s="506" t="s">
        <v>788</v>
      </c>
      <c r="C107" s="531" t="s">
        <v>814</v>
      </c>
      <c r="D107" s="512">
        <v>4</v>
      </c>
      <c r="E107" s="513">
        <v>860</v>
      </c>
      <c r="F107" s="379">
        <f t="shared" si="26"/>
        <v>3440</v>
      </c>
      <c r="G107" s="296"/>
      <c r="H107" s="296"/>
      <c r="I107" s="296"/>
      <c r="J107" s="296"/>
      <c r="K107" s="296"/>
      <c r="L107" s="297">
        <f t="shared" si="27"/>
        <v>0</v>
      </c>
      <c r="M107" s="298">
        <v>43608</v>
      </c>
      <c r="N107" s="298">
        <v>43633</v>
      </c>
      <c r="O107" s="514"/>
      <c r="P107" s="300"/>
      <c r="S107" s="301">
        <f t="shared" si="22"/>
        <v>0</v>
      </c>
      <c r="T107" s="301">
        <f t="shared" si="23"/>
        <v>0</v>
      </c>
      <c r="U107" s="301">
        <f t="shared" si="24"/>
        <v>0</v>
      </c>
      <c r="V107" s="301">
        <f t="shared" si="25"/>
        <v>0</v>
      </c>
    </row>
    <row r="108" spans="1:22" s="301" customFormat="1" x14ac:dyDescent="0.2">
      <c r="A108" s="511">
        <v>5531</v>
      </c>
      <c r="B108" s="506" t="s">
        <v>788</v>
      </c>
      <c r="C108" s="531" t="s">
        <v>812</v>
      </c>
      <c r="D108" s="512">
        <v>2</v>
      </c>
      <c r="E108" s="513">
        <v>1090</v>
      </c>
      <c r="F108" s="379">
        <f t="shared" si="26"/>
        <v>2180</v>
      </c>
      <c r="G108" s="296"/>
      <c r="H108" s="296"/>
      <c r="I108" s="296"/>
      <c r="J108" s="296"/>
      <c r="K108" s="296"/>
      <c r="L108" s="297">
        <f t="shared" si="27"/>
        <v>0</v>
      </c>
      <c r="M108" s="298">
        <v>43608</v>
      </c>
      <c r="N108" s="298">
        <v>43633</v>
      </c>
      <c r="O108" s="514"/>
      <c r="P108" s="300"/>
      <c r="S108" s="301">
        <f t="shared" si="22"/>
        <v>0</v>
      </c>
      <c r="T108" s="301">
        <f t="shared" si="23"/>
        <v>0</v>
      </c>
      <c r="U108" s="301">
        <f t="shared" si="24"/>
        <v>0</v>
      </c>
      <c r="V108" s="301">
        <f t="shared" si="25"/>
        <v>0</v>
      </c>
    </row>
    <row r="109" spans="1:22" s="301" customFormat="1" x14ac:dyDescent="0.2">
      <c r="A109" s="511">
        <v>5532</v>
      </c>
      <c r="B109" s="506" t="s">
        <v>788</v>
      </c>
      <c r="C109" s="531" t="s">
        <v>815</v>
      </c>
      <c r="D109" s="512">
        <v>1</v>
      </c>
      <c r="E109" s="513">
        <v>4450</v>
      </c>
      <c r="F109" s="379">
        <f t="shared" si="26"/>
        <v>4450</v>
      </c>
      <c r="G109" s="296"/>
      <c r="H109" s="296"/>
      <c r="I109" s="296"/>
      <c r="J109" s="296"/>
      <c r="K109" s="296"/>
      <c r="L109" s="297">
        <f t="shared" si="27"/>
        <v>0</v>
      </c>
      <c r="M109" s="298">
        <v>43608</v>
      </c>
      <c r="N109" s="298">
        <v>43633</v>
      </c>
      <c r="O109" s="514"/>
      <c r="P109" s="300"/>
      <c r="S109" s="301">
        <f t="shared" si="22"/>
        <v>0</v>
      </c>
      <c r="T109" s="301">
        <f t="shared" si="23"/>
        <v>0</v>
      </c>
      <c r="U109" s="301">
        <f t="shared" si="24"/>
        <v>0</v>
      </c>
      <c r="V109" s="301">
        <f t="shared" si="25"/>
        <v>0</v>
      </c>
    </row>
    <row r="110" spans="1:22" s="301" customFormat="1" x14ac:dyDescent="0.2">
      <c r="A110" s="511">
        <v>5576</v>
      </c>
      <c r="B110" s="506" t="s">
        <v>788</v>
      </c>
      <c r="C110" s="531" t="s">
        <v>487</v>
      </c>
      <c r="D110" s="512">
        <v>6</v>
      </c>
      <c r="E110" s="513">
        <v>2500</v>
      </c>
      <c r="F110" s="379"/>
      <c r="G110" s="296"/>
      <c r="H110" s="296"/>
      <c r="I110" s="296"/>
      <c r="J110" s="296"/>
      <c r="K110" s="296"/>
      <c r="L110" s="297">
        <f t="shared" ref="L110:L119" si="28">E110*(H110+I110+J110+K110)</f>
        <v>0</v>
      </c>
      <c r="M110" s="298">
        <v>43627</v>
      </c>
      <c r="N110" s="298">
        <v>43651</v>
      </c>
      <c r="O110" s="514"/>
      <c r="P110" s="300"/>
      <c r="S110" s="301">
        <f t="shared" ref="S110:S119" si="29">H110*E110</f>
        <v>0</v>
      </c>
      <c r="T110" s="301">
        <f t="shared" ref="T110:T119" si="30">I110*E110</f>
        <v>0</v>
      </c>
      <c r="U110" s="301">
        <f t="shared" ref="U110:U119" si="31">J110*E110</f>
        <v>0</v>
      </c>
      <c r="V110" s="301">
        <f t="shared" ref="V110:V119" si="32">K110*E110</f>
        <v>0</v>
      </c>
    </row>
    <row r="111" spans="1:22" s="301" customFormat="1" x14ac:dyDescent="0.2">
      <c r="A111" s="511">
        <v>5577</v>
      </c>
      <c r="B111" s="506" t="s">
        <v>788</v>
      </c>
      <c r="C111" s="531" t="s">
        <v>487</v>
      </c>
      <c r="D111" s="512">
        <v>3</v>
      </c>
      <c r="E111" s="513">
        <v>1800</v>
      </c>
      <c r="F111" s="379"/>
      <c r="G111" s="296"/>
      <c r="H111" s="296"/>
      <c r="I111" s="296"/>
      <c r="J111" s="296"/>
      <c r="K111" s="296"/>
      <c r="L111" s="297">
        <f t="shared" si="28"/>
        <v>0</v>
      </c>
      <c r="M111" s="298">
        <v>43627</v>
      </c>
      <c r="N111" s="298">
        <v>43651</v>
      </c>
      <c r="O111" s="514"/>
      <c r="P111" s="300"/>
      <c r="S111" s="301">
        <f t="shared" si="29"/>
        <v>0</v>
      </c>
      <c r="T111" s="301">
        <f t="shared" si="30"/>
        <v>0</v>
      </c>
      <c r="U111" s="301">
        <f t="shared" si="31"/>
        <v>0</v>
      </c>
      <c r="V111" s="301">
        <f t="shared" si="32"/>
        <v>0</v>
      </c>
    </row>
    <row r="112" spans="1:22" s="301" customFormat="1" x14ac:dyDescent="0.2">
      <c r="A112" s="511">
        <v>5578</v>
      </c>
      <c r="B112" s="506" t="s">
        <v>788</v>
      </c>
      <c r="C112" s="531" t="s">
        <v>533</v>
      </c>
      <c r="D112" s="512">
        <v>2</v>
      </c>
      <c r="E112" s="513">
        <v>2050</v>
      </c>
      <c r="F112" s="379"/>
      <c r="G112" s="296"/>
      <c r="H112" s="296"/>
      <c r="I112" s="296"/>
      <c r="J112" s="296"/>
      <c r="K112" s="296"/>
      <c r="L112" s="297">
        <f t="shared" si="28"/>
        <v>0</v>
      </c>
      <c r="M112" s="298">
        <v>43627</v>
      </c>
      <c r="N112" s="298">
        <v>43651</v>
      </c>
      <c r="O112" s="514"/>
      <c r="P112" s="300"/>
      <c r="S112" s="301">
        <f t="shared" si="29"/>
        <v>0</v>
      </c>
      <c r="T112" s="301">
        <f t="shared" si="30"/>
        <v>0</v>
      </c>
      <c r="U112" s="301">
        <f t="shared" si="31"/>
        <v>0</v>
      </c>
      <c r="V112" s="301">
        <f t="shared" si="32"/>
        <v>0</v>
      </c>
    </row>
    <row r="113" spans="1:22" s="301" customFormat="1" x14ac:dyDescent="0.2">
      <c r="A113" s="511">
        <v>5579</v>
      </c>
      <c r="B113" s="506" t="s">
        <v>788</v>
      </c>
      <c r="C113" s="531" t="s">
        <v>852</v>
      </c>
      <c r="D113" s="512">
        <v>1</v>
      </c>
      <c r="E113" s="513">
        <v>500</v>
      </c>
      <c r="F113" s="379"/>
      <c r="G113" s="296"/>
      <c r="H113" s="296"/>
      <c r="I113" s="296"/>
      <c r="J113" s="296"/>
      <c r="K113" s="296"/>
      <c r="L113" s="297">
        <f t="shared" si="28"/>
        <v>0</v>
      </c>
      <c r="M113" s="298">
        <v>43627</v>
      </c>
      <c r="N113" s="298">
        <v>43651</v>
      </c>
      <c r="O113" s="514"/>
      <c r="P113" s="300"/>
      <c r="S113" s="301">
        <f t="shared" si="29"/>
        <v>0</v>
      </c>
      <c r="T113" s="301">
        <f t="shared" si="30"/>
        <v>0</v>
      </c>
      <c r="U113" s="301">
        <f t="shared" si="31"/>
        <v>0</v>
      </c>
      <c r="V113" s="301">
        <f t="shared" si="32"/>
        <v>0</v>
      </c>
    </row>
    <row r="114" spans="1:22" s="301" customFormat="1" x14ac:dyDescent="0.2">
      <c r="A114" s="511">
        <v>5580</v>
      </c>
      <c r="B114" s="506" t="s">
        <v>788</v>
      </c>
      <c r="C114" s="531" t="s">
        <v>853</v>
      </c>
      <c r="D114" s="512">
        <v>2</v>
      </c>
      <c r="E114" s="513">
        <v>5500</v>
      </c>
      <c r="F114" s="379"/>
      <c r="G114" s="296"/>
      <c r="H114" s="296"/>
      <c r="I114" s="296"/>
      <c r="J114" s="296"/>
      <c r="K114" s="296"/>
      <c r="L114" s="297">
        <f t="shared" si="28"/>
        <v>0</v>
      </c>
      <c r="M114" s="298">
        <v>43627</v>
      </c>
      <c r="N114" s="298">
        <v>43651</v>
      </c>
      <c r="O114" s="514"/>
      <c r="P114" s="300"/>
      <c r="S114" s="301">
        <f t="shared" si="29"/>
        <v>0</v>
      </c>
      <c r="T114" s="301">
        <f t="shared" si="30"/>
        <v>0</v>
      </c>
      <c r="U114" s="301">
        <f t="shared" si="31"/>
        <v>0</v>
      </c>
      <c r="V114" s="301">
        <f t="shared" si="32"/>
        <v>0</v>
      </c>
    </row>
    <row r="115" spans="1:22" s="301" customFormat="1" x14ac:dyDescent="0.2">
      <c r="A115" s="511">
        <v>5581</v>
      </c>
      <c r="B115" s="506" t="s">
        <v>788</v>
      </c>
      <c r="C115" s="531" t="s">
        <v>487</v>
      </c>
      <c r="D115" s="512">
        <v>1</v>
      </c>
      <c r="E115" s="513">
        <v>7000</v>
      </c>
      <c r="F115" s="379"/>
      <c r="G115" s="296"/>
      <c r="H115" s="296"/>
      <c r="I115" s="296"/>
      <c r="J115" s="296"/>
      <c r="K115" s="296"/>
      <c r="L115" s="297">
        <f t="shared" si="28"/>
        <v>0</v>
      </c>
      <c r="M115" s="298">
        <v>43627</v>
      </c>
      <c r="N115" s="298">
        <v>43651</v>
      </c>
      <c r="O115" s="514"/>
      <c r="P115" s="300"/>
      <c r="S115" s="301">
        <f t="shared" si="29"/>
        <v>0</v>
      </c>
      <c r="T115" s="301">
        <f t="shared" si="30"/>
        <v>0</v>
      </c>
      <c r="U115" s="301">
        <f t="shared" si="31"/>
        <v>0</v>
      </c>
      <c r="V115" s="301">
        <f t="shared" si="32"/>
        <v>0</v>
      </c>
    </row>
    <row r="116" spans="1:22" s="301" customFormat="1" x14ac:dyDescent="0.2">
      <c r="A116" s="511">
        <v>5582</v>
      </c>
      <c r="B116" s="506" t="s">
        <v>788</v>
      </c>
      <c r="C116" s="531" t="s">
        <v>854</v>
      </c>
      <c r="D116" s="512">
        <v>2</v>
      </c>
      <c r="E116" s="513">
        <v>1300</v>
      </c>
      <c r="F116" s="379"/>
      <c r="G116" s="296"/>
      <c r="H116" s="296"/>
      <c r="I116" s="296"/>
      <c r="J116" s="296"/>
      <c r="K116" s="296"/>
      <c r="L116" s="297">
        <f t="shared" si="28"/>
        <v>0</v>
      </c>
      <c r="M116" s="298">
        <v>43627</v>
      </c>
      <c r="N116" s="298">
        <v>43651</v>
      </c>
      <c r="O116" s="514"/>
      <c r="P116" s="300"/>
      <c r="S116" s="301">
        <f t="shared" si="29"/>
        <v>0</v>
      </c>
      <c r="T116" s="301">
        <f t="shared" si="30"/>
        <v>0</v>
      </c>
      <c r="U116" s="301">
        <f t="shared" si="31"/>
        <v>0</v>
      </c>
      <c r="V116" s="301">
        <f t="shared" si="32"/>
        <v>0</v>
      </c>
    </row>
    <row r="117" spans="1:22" s="301" customFormat="1" x14ac:dyDescent="0.2">
      <c r="A117" s="511">
        <v>5583</v>
      </c>
      <c r="B117" s="506" t="s">
        <v>788</v>
      </c>
      <c r="C117" s="531" t="s">
        <v>855</v>
      </c>
      <c r="D117" s="512">
        <v>2</v>
      </c>
      <c r="E117" s="513">
        <v>2200</v>
      </c>
      <c r="F117" s="379"/>
      <c r="G117" s="296"/>
      <c r="H117" s="296"/>
      <c r="I117" s="296"/>
      <c r="J117" s="296"/>
      <c r="K117" s="296"/>
      <c r="L117" s="297">
        <f t="shared" si="28"/>
        <v>0</v>
      </c>
      <c r="M117" s="298">
        <v>43627</v>
      </c>
      <c r="N117" s="298">
        <v>43651</v>
      </c>
      <c r="O117" s="514"/>
      <c r="P117" s="300"/>
      <c r="S117" s="301">
        <f t="shared" si="29"/>
        <v>0</v>
      </c>
      <c r="T117" s="301">
        <f t="shared" si="30"/>
        <v>0</v>
      </c>
      <c r="U117" s="301">
        <f t="shared" si="31"/>
        <v>0</v>
      </c>
      <c r="V117" s="301">
        <f t="shared" si="32"/>
        <v>0</v>
      </c>
    </row>
    <row r="118" spans="1:22" s="301" customFormat="1" x14ac:dyDescent="0.2">
      <c r="A118" s="511"/>
      <c r="B118" s="506"/>
      <c r="C118" s="531"/>
      <c r="D118" s="512"/>
      <c r="E118" s="513"/>
      <c r="F118" s="379"/>
      <c r="G118" s="296"/>
      <c r="H118" s="296"/>
      <c r="I118" s="296"/>
      <c r="J118" s="296"/>
      <c r="K118" s="296"/>
      <c r="L118" s="297">
        <f t="shared" si="28"/>
        <v>0</v>
      </c>
      <c r="M118" s="298"/>
      <c r="N118" s="298"/>
      <c r="O118" s="514"/>
      <c r="P118" s="300"/>
      <c r="S118" s="301">
        <f t="shared" si="29"/>
        <v>0</v>
      </c>
      <c r="T118" s="301">
        <f t="shared" si="30"/>
        <v>0</v>
      </c>
      <c r="U118" s="301">
        <f t="shared" si="31"/>
        <v>0</v>
      </c>
      <c r="V118" s="301">
        <f t="shared" si="32"/>
        <v>0</v>
      </c>
    </row>
    <row r="119" spans="1:22" s="301" customFormat="1" x14ac:dyDescent="0.2">
      <c r="A119" s="511"/>
      <c r="B119" s="506"/>
      <c r="C119" s="531"/>
      <c r="D119" s="512"/>
      <c r="E119" s="513"/>
      <c r="F119" s="379">
        <f t="shared" si="26"/>
        <v>0</v>
      </c>
      <c r="G119" s="296"/>
      <c r="H119" s="296"/>
      <c r="I119" s="296"/>
      <c r="J119" s="296"/>
      <c r="K119" s="296"/>
      <c r="L119" s="297">
        <f t="shared" si="28"/>
        <v>0</v>
      </c>
      <c r="M119" s="298"/>
      <c r="N119" s="298"/>
      <c r="O119" s="514"/>
      <c r="P119" s="300"/>
      <c r="S119" s="301">
        <f t="shared" si="29"/>
        <v>0</v>
      </c>
      <c r="T119" s="301">
        <f t="shared" si="30"/>
        <v>0</v>
      </c>
      <c r="U119" s="301">
        <f t="shared" si="31"/>
        <v>0</v>
      </c>
      <c r="V119" s="301">
        <f t="shared" si="32"/>
        <v>0</v>
      </c>
    </row>
    <row r="120" spans="1:22" s="301" customFormat="1" x14ac:dyDescent="0.2">
      <c r="A120" s="511"/>
      <c r="B120" s="506"/>
      <c r="C120" s="531"/>
      <c r="D120" s="512"/>
      <c r="E120" s="513"/>
      <c r="F120" s="379">
        <f t="shared" si="26"/>
        <v>0</v>
      </c>
      <c r="G120" s="296"/>
      <c r="H120" s="296"/>
      <c r="I120" s="296"/>
      <c r="J120" s="296"/>
      <c r="K120" s="296"/>
      <c r="L120" s="297">
        <f t="shared" si="27"/>
        <v>0</v>
      </c>
      <c r="M120" s="298"/>
      <c r="N120" s="298"/>
      <c r="O120" s="514"/>
      <c r="P120" s="300"/>
      <c r="S120" s="301">
        <f t="shared" si="22"/>
        <v>0</v>
      </c>
      <c r="T120" s="301">
        <f t="shared" si="23"/>
        <v>0</v>
      </c>
      <c r="U120" s="301">
        <f t="shared" si="24"/>
        <v>0</v>
      </c>
      <c r="V120" s="301">
        <f t="shared" si="25"/>
        <v>0</v>
      </c>
    </row>
    <row r="121" spans="1:22" s="301" customFormat="1" x14ac:dyDescent="0.2">
      <c r="A121" s="511">
        <v>5561</v>
      </c>
      <c r="B121" s="506" t="s">
        <v>828</v>
      </c>
      <c r="C121" s="531" t="s">
        <v>197</v>
      </c>
      <c r="D121" s="512">
        <v>10</v>
      </c>
      <c r="E121" s="513">
        <v>180</v>
      </c>
      <c r="F121" s="379">
        <f t="shared" si="26"/>
        <v>1800</v>
      </c>
      <c r="G121" s="296"/>
      <c r="H121" s="296"/>
      <c r="I121" s="296"/>
      <c r="J121" s="296"/>
      <c r="K121" s="296"/>
      <c r="L121" s="297">
        <f t="shared" si="27"/>
        <v>0</v>
      </c>
      <c r="M121" s="298"/>
      <c r="N121" s="298"/>
      <c r="O121" s="514"/>
      <c r="P121" s="300"/>
      <c r="S121" s="301">
        <f t="shared" si="22"/>
        <v>0</v>
      </c>
      <c r="T121" s="301">
        <f t="shared" si="23"/>
        <v>0</v>
      </c>
      <c r="U121" s="301">
        <f t="shared" si="24"/>
        <v>0</v>
      </c>
      <c r="V121" s="301">
        <f t="shared" si="25"/>
        <v>0</v>
      </c>
    </row>
    <row r="122" spans="1:22" s="301" customFormat="1" x14ac:dyDescent="0.2">
      <c r="A122" s="511"/>
      <c r="B122" s="506"/>
      <c r="C122" s="531"/>
      <c r="D122" s="512"/>
      <c r="E122" s="513"/>
      <c r="F122" s="379">
        <f t="shared" si="26"/>
        <v>0</v>
      </c>
      <c r="G122" s="296"/>
      <c r="H122" s="296"/>
      <c r="I122" s="296"/>
      <c r="J122" s="296"/>
      <c r="K122" s="296"/>
      <c r="L122" s="297">
        <f t="shared" si="27"/>
        <v>0</v>
      </c>
      <c r="M122" s="298"/>
      <c r="N122" s="298"/>
      <c r="O122" s="514"/>
      <c r="P122" s="300"/>
      <c r="S122" s="301">
        <f t="shared" si="22"/>
        <v>0</v>
      </c>
      <c r="T122" s="301">
        <f t="shared" si="23"/>
        <v>0</v>
      </c>
      <c r="U122" s="301">
        <f t="shared" si="24"/>
        <v>0</v>
      </c>
      <c r="V122" s="301">
        <f t="shared" si="25"/>
        <v>0</v>
      </c>
    </row>
    <row r="123" spans="1:22" s="301" customFormat="1" x14ac:dyDescent="0.2">
      <c r="A123" s="511">
        <v>5553</v>
      </c>
      <c r="B123" s="506" t="s">
        <v>830</v>
      </c>
      <c r="C123" s="531" t="s">
        <v>831</v>
      </c>
      <c r="D123" s="512">
        <v>1</v>
      </c>
      <c r="E123" s="513">
        <v>12000</v>
      </c>
      <c r="F123" s="379">
        <f t="shared" si="26"/>
        <v>12000</v>
      </c>
      <c r="G123" s="296"/>
      <c r="H123" s="296"/>
      <c r="I123" s="296"/>
      <c r="J123" s="296"/>
      <c r="K123" s="296"/>
      <c r="L123" s="297">
        <f t="shared" si="27"/>
        <v>0</v>
      </c>
      <c r="M123" s="298">
        <v>43615</v>
      </c>
      <c r="N123" s="298">
        <v>43637</v>
      </c>
      <c r="O123" s="514"/>
      <c r="P123" s="300"/>
      <c r="S123" s="301">
        <f t="shared" si="22"/>
        <v>0</v>
      </c>
      <c r="T123" s="301">
        <f t="shared" si="23"/>
        <v>0</v>
      </c>
      <c r="U123" s="301">
        <f t="shared" si="24"/>
        <v>0</v>
      </c>
      <c r="V123" s="301">
        <f t="shared" si="25"/>
        <v>0</v>
      </c>
    </row>
    <row r="124" spans="1:22" s="301" customFormat="1" x14ac:dyDescent="0.2">
      <c r="A124" s="511">
        <v>5554</v>
      </c>
      <c r="B124" s="506" t="s">
        <v>830</v>
      </c>
      <c r="C124" s="531" t="s">
        <v>832</v>
      </c>
      <c r="D124" s="512">
        <v>4</v>
      </c>
      <c r="E124" s="513">
        <v>1000</v>
      </c>
      <c r="F124" s="379">
        <f t="shared" si="26"/>
        <v>4000</v>
      </c>
      <c r="G124" s="296"/>
      <c r="H124" s="296"/>
      <c r="I124" s="296"/>
      <c r="J124" s="296"/>
      <c r="K124" s="296"/>
      <c r="L124" s="297">
        <f t="shared" si="27"/>
        <v>0</v>
      </c>
      <c r="M124" s="298">
        <v>43615</v>
      </c>
      <c r="N124" s="298">
        <v>43637</v>
      </c>
      <c r="O124" s="514"/>
      <c r="P124" s="300"/>
      <c r="S124" s="301">
        <f t="shared" si="22"/>
        <v>0</v>
      </c>
      <c r="T124" s="301">
        <f t="shared" si="23"/>
        <v>0</v>
      </c>
      <c r="U124" s="301">
        <f t="shared" si="24"/>
        <v>0</v>
      </c>
      <c r="V124" s="301">
        <f t="shared" si="25"/>
        <v>0</v>
      </c>
    </row>
    <row r="125" spans="1:22" s="301" customFormat="1" x14ac:dyDescent="0.2">
      <c r="A125" s="511"/>
      <c r="B125" s="506"/>
      <c r="C125" s="531"/>
      <c r="D125" s="512"/>
      <c r="E125" s="513"/>
      <c r="F125" s="379">
        <f t="shared" si="26"/>
        <v>0</v>
      </c>
      <c r="G125" s="296"/>
      <c r="H125" s="296"/>
      <c r="I125" s="296"/>
      <c r="J125" s="296"/>
      <c r="K125" s="296"/>
      <c r="L125" s="297">
        <f t="shared" ref="L125:L152" si="33">E125*(H125+I125+J125+K125)</f>
        <v>0</v>
      </c>
      <c r="M125" s="298"/>
      <c r="N125" s="298"/>
      <c r="O125" s="514"/>
      <c r="P125" s="300"/>
      <c r="S125" s="301">
        <f t="shared" si="22"/>
        <v>0</v>
      </c>
      <c r="T125" s="301">
        <f t="shared" si="23"/>
        <v>0</v>
      </c>
      <c r="U125" s="301">
        <f t="shared" si="24"/>
        <v>0</v>
      </c>
      <c r="V125" s="301">
        <f t="shared" si="25"/>
        <v>0</v>
      </c>
    </row>
    <row r="126" spans="1:22" s="301" customFormat="1" x14ac:dyDescent="0.2">
      <c r="A126" s="511">
        <v>5561</v>
      </c>
      <c r="B126" s="506" t="s">
        <v>828</v>
      </c>
      <c r="C126" s="531" t="s">
        <v>197</v>
      </c>
      <c r="D126" s="512">
        <v>10</v>
      </c>
      <c r="E126" s="513">
        <v>180</v>
      </c>
      <c r="F126" s="379">
        <f t="shared" si="26"/>
        <v>1800</v>
      </c>
      <c r="G126" s="296">
        <v>10</v>
      </c>
      <c r="H126" s="296">
        <v>10</v>
      </c>
      <c r="I126" s="296"/>
      <c r="J126" s="296"/>
      <c r="K126" s="296"/>
      <c r="L126" s="297">
        <f t="shared" si="33"/>
        <v>1800</v>
      </c>
      <c r="M126" s="298">
        <v>43615</v>
      </c>
      <c r="N126" s="298">
        <v>43616</v>
      </c>
      <c r="O126" s="514"/>
      <c r="P126" s="300"/>
      <c r="S126" s="301">
        <f t="shared" si="22"/>
        <v>1800</v>
      </c>
      <c r="T126" s="301">
        <f t="shared" si="23"/>
        <v>0</v>
      </c>
      <c r="U126" s="301">
        <f t="shared" si="24"/>
        <v>0</v>
      </c>
      <c r="V126" s="301">
        <f t="shared" si="25"/>
        <v>0</v>
      </c>
    </row>
    <row r="127" spans="1:22" s="301" customFormat="1" x14ac:dyDescent="0.2">
      <c r="A127" s="511"/>
      <c r="B127" s="506"/>
      <c r="C127" s="531"/>
      <c r="D127" s="512"/>
      <c r="E127" s="513"/>
      <c r="F127" s="379">
        <f t="shared" ref="F127:F152" si="34">E127*D127</f>
        <v>0</v>
      </c>
      <c r="G127" s="296"/>
      <c r="H127" s="296"/>
      <c r="I127" s="296"/>
      <c r="J127" s="296"/>
      <c r="K127" s="296"/>
      <c r="L127" s="297">
        <f t="shared" si="33"/>
        <v>0</v>
      </c>
      <c r="M127" s="298"/>
      <c r="N127" s="298"/>
      <c r="O127" s="514"/>
      <c r="P127" s="300"/>
      <c r="S127" s="301">
        <f t="shared" si="22"/>
        <v>0</v>
      </c>
      <c r="T127" s="301">
        <f t="shared" si="23"/>
        <v>0</v>
      </c>
      <c r="U127" s="301">
        <f t="shared" si="24"/>
        <v>0</v>
      </c>
      <c r="V127" s="301">
        <f t="shared" si="25"/>
        <v>0</v>
      </c>
    </row>
    <row r="128" spans="1:22" s="301" customFormat="1" x14ac:dyDescent="0.2">
      <c r="A128" s="511">
        <v>5483</v>
      </c>
      <c r="B128" s="506" t="s">
        <v>834</v>
      </c>
      <c r="C128" s="531" t="s">
        <v>835</v>
      </c>
      <c r="D128" s="512">
        <v>3</v>
      </c>
      <c r="E128" s="513">
        <v>1500</v>
      </c>
      <c r="F128" s="379">
        <f t="shared" si="34"/>
        <v>4500</v>
      </c>
      <c r="G128" s="296"/>
      <c r="H128" s="296"/>
      <c r="I128" s="296"/>
      <c r="J128" s="296"/>
      <c r="K128" s="296"/>
      <c r="L128" s="297">
        <f t="shared" si="33"/>
        <v>0</v>
      </c>
      <c r="M128" s="298">
        <v>43616</v>
      </c>
      <c r="N128" s="298">
        <v>43630</v>
      </c>
      <c r="O128" s="514"/>
      <c r="P128" s="300"/>
      <c r="S128" s="301">
        <f t="shared" si="22"/>
        <v>0</v>
      </c>
      <c r="T128" s="301">
        <f t="shared" si="23"/>
        <v>0</v>
      </c>
      <c r="U128" s="301">
        <f t="shared" si="24"/>
        <v>0</v>
      </c>
      <c r="V128" s="301">
        <f t="shared" si="25"/>
        <v>0</v>
      </c>
    </row>
    <row r="129" spans="1:22" s="301" customFormat="1" x14ac:dyDescent="0.2">
      <c r="A129" s="511"/>
      <c r="B129" s="506"/>
      <c r="C129" s="531"/>
      <c r="D129" s="512"/>
      <c r="E129" s="513"/>
      <c r="F129" s="379">
        <f t="shared" si="34"/>
        <v>0</v>
      </c>
      <c r="G129" s="296"/>
      <c r="H129" s="296"/>
      <c r="I129" s="296"/>
      <c r="J129" s="296"/>
      <c r="K129" s="296"/>
      <c r="L129" s="297">
        <f t="shared" si="33"/>
        <v>0</v>
      </c>
      <c r="M129" s="298"/>
      <c r="N129" s="298"/>
      <c r="O129" s="514"/>
      <c r="P129" s="300"/>
      <c r="S129" s="301">
        <f t="shared" si="22"/>
        <v>0</v>
      </c>
      <c r="T129" s="301">
        <f t="shared" si="23"/>
        <v>0</v>
      </c>
      <c r="U129" s="301">
        <f t="shared" si="24"/>
        <v>0</v>
      </c>
      <c r="V129" s="301">
        <f t="shared" si="25"/>
        <v>0</v>
      </c>
    </row>
    <row r="130" spans="1:22" s="301" customFormat="1" x14ac:dyDescent="0.2">
      <c r="A130" s="511">
        <v>5560</v>
      </c>
      <c r="B130" s="508" t="s">
        <v>836</v>
      </c>
      <c r="C130" s="534" t="s">
        <v>837</v>
      </c>
      <c r="D130" s="512">
        <v>1</v>
      </c>
      <c r="E130" s="513">
        <v>660</v>
      </c>
      <c r="F130" s="379">
        <f t="shared" si="34"/>
        <v>660</v>
      </c>
      <c r="G130" s="296"/>
      <c r="H130" s="296"/>
      <c r="I130" s="296"/>
      <c r="J130" s="296"/>
      <c r="K130" s="296"/>
      <c r="L130" s="297">
        <f t="shared" si="33"/>
        <v>0</v>
      </c>
      <c r="M130" s="298">
        <v>43616</v>
      </c>
      <c r="N130" s="298">
        <v>43623</v>
      </c>
      <c r="O130" s="514"/>
      <c r="P130" s="300"/>
      <c r="S130" s="301">
        <f t="shared" si="22"/>
        <v>0</v>
      </c>
      <c r="T130" s="301">
        <f t="shared" si="23"/>
        <v>0</v>
      </c>
      <c r="U130" s="301">
        <f t="shared" si="24"/>
        <v>0</v>
      </c>
      <c r="V130" s="301">
        <f t="shared" si="25"/>
        <v>0</v>
      </c>
    </row>
    <row r="131" spans="1:22" s="301" customFormat="1" x14ac:dyDescent="0.2">
      <c r="A131" s="511"/>
      <c r="B131" s="508"/>
      <c r="C131" s="534"/>
      <c r="D131" s="512"/>
      <c r="E131" s="513"/>
      <c r="F131" s="379">
        <f t="shared" si="34"/>
        <v>0</v>
      </c>
      <c r="G131" s="296"/>
      <c r="H131" s="296"/>
      <c r="I131" s="296"/>
      <c r="J131" s="296"/>
      <c r="K131" s="296"/>
      <c r="L131" s="297">
        <f t="shared" si="33"/>
        <v>0</v>
      </c>
      <c r="M131" s="298"/>
      <c r="N131" s="298"/>
      <c r="O131" s="514"/>
      <c r="P131" s="300"/>
      <c r="S131" s="301">
        <f t="shared" si="22"/>
        <v>0</v>
      </c>
      <c r="T131" s="301">
        <f t="shared" si="23"/>
        <v>0</v>
      </c>
      <c r="U131" s="301">
        <f t="shared" si="24"/>
        <v>0</v>
      </c>
      <c r="V131" s="301">
        <f t="shared" si="25"/>
        <v>0</v>
      </c>
    </row>
    <row r="132" spans="1:22" s="301" customFormat="1" x14ac:dyDescent="0.2">
      <c r="A132" s="511">
        <v>5556</v>
      </c>
      <c r="B132" s="508" t="s">
        <v>623</v>
      </c>
      <c r="C132" s="552" t="s">
        <v>842</v>
      </c>
      <c r="D132" s="512">
        <v>2</v>
      </c>
      <c r="E132" s="513">
        <v>2000</v>
      </c>
      <c r="F132" s="379">
        <f>E132*D132</f>
        <v>4000</v>
      </c>
      <c r="G132" s="296">
        <v>2</v>
      </c>
      <c r="H132" s="296">
        <v>2</v>
      </c>
      <c r="I132" s="296"/>
      <c r="J132" s="296"/>
      <c r="K132" s="296"/>
      <c r="L132" s="297">
        <f>E132*(H132+I132+J132+K132)</f>
        <v>4000</v>
      </c>
      <c r="M132" s="298">
        <v>43621</v>
      </c>
      <c r="N132" s="298">
        <v>43623</v>
      </c>
      <c r="O132" s="514"/>
      <c r="P132" s="300"/>
      <c r="S132" s="301">
        <f t="shared" si="22"/>
        <v>4000</v>
      </c>
      <c r="T132" s="301">
        <f t="shared" si="23"/>
        <v>0</v>
      </c>
      <c r="U132" s="301">
        <f t="shared" si="24"/>
        <v>0</v>
      </c>
      <c r="V132" s="301">
        <f t="shared" si="25"/>
        <v>0</v>
      </c>
    </row>
    <row r="133" spans="1:22" s="301" customFormat="1" x14ac:dyDescent="0.2">
      <c r="A133" s="511">
        <v>5557</v>
      </c>
      <c r="B133" s="508" t="s">
        <v>623</v>
      </c>
      <c r="C133" s="552" t="s">
        <v>843</v>
      </c>
      <c r="D133" s="512">
        <v>1</v>
      </c>
      <c r="E133" s="513">
        <v>2900</v>
      </c>
      <c r="F133" s="379">
        <f>E133*D133</f>
        <v>2900</v>
      </c>
      <c r="G133" s="296">
        <v>1</v>
      </c>
      <c r="H133" s="296">
        <v>1</v>
      </c>
      <c r="I133" s="296"/>
      <c r="J133" s="296"/>
      <c r="K133" s="296"/>
      <c r="L133" s="297">
        <f>E133*(H133+I133+J133+K133)</f>
        <v>2900</v>
      </c>
      <c r="M133" s="298">
        <v>43621</v>
      </c>
      <c r="N133" s="298">
        <v>43623</v>
      </c>
      <c r="O133" s="514"/>
      <c r="P133" s="300"/>
      <c r="S133" s="301">
        <f t="shared" si="22"/>
        <v>2900</v>
      </c>
      <c r="T133" s="301">
        <f t="shared" si="23"/>
        <v>0</v>
      </c>
      <c r="U133" s="301">
        <f t="shared" si="24"/>
        <v>0</v>
      </c>
      <c r="V133" s="301">
        <f t="shared" si="25"/>
        <v>0</v>
      </c>
    </row>
    <row r="134" spans="1:22" s="301" customFormat="1" x14ac:dyDescent="0.2">
      <c r="A134" s="511">
        <v>5558</v>
      </c>
      <c r="B134" s="508" t="s">
        <v>623</v>
      </c>
      <c r="C134" s="552" t="s">
        <v>844</v>
      </c>
      <c r="D134" s="512">
        <v>1</v>
      </c>
      <c r="E134" s="513">
        <v>1890</v>
      </c>
      <c r="F134" s="379">
        <f>E134*D134</f>
        <v>1890</v>
      </c>
      <c r="G134" s="296">
        <v>1</v>
      </c>
      <c r="H134" s="296">
        <v>1</v>
      </c>
      <c r="I134" s="296"/>
      <c r="J134" s="296"/>
      <c r="K134" s="296"/>
      <c r="L134" s="297">
        <f>E134*(H134+I134+J134+K134)</f>
        <v>1890</v>
      </c>
      <c r="M134" s="298">
        <v>43621</v>
      </c>
      <c r="N134" s="298">
        <v>43623</v>
      </c>
      <c r="O134" s="514"/>
      <c r="P134" s="300"/>
      <c r="S134" s="301">
        <f t="shared" si="22"/>
        <v>1890</v>
      </c>
      <c r="T134" s="301">
        <f t="shared" si="23"/>
        <v>0</v>
      </c>
      <c r="U134" s="301">
        <f t="shared" si="24"/>
        <v>0</v>
      </c>
      <c r="V134" s="301">
        <f t="shared" si="25"/>
        <v>0</v>
      </c>
    </row>
    <row r="135" spans="1:22" s="301" customFormat="1" x14ac:dyDescent="0.2">
      <c r="A135" s="511">
        <v>5559</v>
      </c>
      <c r="B135" s="508" t="s">
        <v>623</v>
      </c>
      <c r="C135" s="552" t="s">
        <v>845</v>
      </c>
      <c r="D135" s="512">
        <v>1</v>
      </c>
      <c r="E135" s="513">
        <v>3550</v>
      </c>
      <c r="F135" s="379">
        <f>E135*D135</f>
        <v>3550</v>
      </c>
      <c r="G135" s="296">
        <v>1</v>
      </c>
      <c r="H135" s="296">
        <v>1</v>
      </c>
      <c r="I135" s="296"/>
      <c r="J135" s="296"/>
      <c r="K135" s="296"/>
      <c r="L135" s="297">
        <f>E135*(H135+I135+J135+K135)</f>
        <v>3550</v>
      </c>
      <c r="M135" s="298">
        <v>43621</v>
      </c>
      <c r="N135" s="298">
        <v>43623</v>
      </c>
      <c r="O135" s="514"/>
      <c r="P135" s="300"/>
      <c r="S135" s="301">
        <f t="shared" si="22"/>
        <v>3550</v>
      </c>
      <c r="T135" s="301">
        <f t="shared" si="23"/>
        <v>0</v>
      </c>
      <c r="U135" s="301">
        <f t="shared" si="24"/>
        <v>0</v>
      </c>
      <c r="V135" s="301">
        <f t="shared" si="25"/>
        <v>0</v>
      </c>
    </row>
    <row r="136" spans="1:22" s="301" customFormat="1" x14ac:dyDescent="0.2">
      <c r="A136" s="511"/>
      <c r="B136" s="508"/>
      <c r="C136" s="534"/>
      <c r="D136" s="512"/>
      <c r="E136" s="513"/>
      <c r="F136" s="379">
        <f t="shared" si="34"/>
        <v>0</v>
      </c>
      <c r="G136" s="296"/>
      <c r="H136" s="296"/>
      <c r="I136" s="296"/>
      <c r="J136" s="296"/>
      <c r="K136" s="296"/>
      <c r="L136" s="297">
        <f t="shared" si="33"/>
        <v>0</v>
      </c>
      <c r="M136" s="298"/>
      <c r="N136" s="298"/>
      <c r="O136" s="514"/>
      <c r="P136" s="300"/>
      <c r="S136" s="301">
        <f t="shared" si="22"/>
        <v>0</v>
      </c>
      <c r="T136" s="301">
        <f t="shared" si="23"/>
        <v>0</v>
      </c>
      <c r="U136" s="301">
        <f t="shared" si="24"/>
        <v>0</v>
      </c>
      <c r="V136" s="301">
        <f t="shared" si="25"/>
        <v>0</v>
      </c>
    </row>
    <row r="137" spans="1:22" s="301" customFormat="1" x14ac:dyDescent="0.2">
      <c r="A137" s="505">
        <v>5504</v>
      </c>
      <c r="B137" s="506" t="s">
        <v>352</v>
      </c>
      <c r="C137" s="531" t="s">
        <v>771</v>
      </c>
      <c r="D137" s="512">
        <v>150</v>
      </c>
      <c r="E137" s="553">
        <v>40</v>
      </c>
      <c r="F137" s="379">
        <f t="shared" si="34"/>
        <v>6000</v>
      </c>
      <c r="G137" s="296">
        <v>150</v>
      </c>
      <c r="H137" s="296">
        <v>150</v>
      </c>
      <c r="I137" s="296"/>
      <c r="J137" s="296"/>
      <c r="K137" s="296"/>
      <c r="L137" s="297">
        <f t="shared" si="33"/>
        <v>6000</v>
      </c>
      <c r="M137" s="298"/>
      <c r="N137" s="298"/>
      <c r="O137" s="514"/>
      <c r="P137" s="300"/>
      <c r="S137" s="301">
        <f t="shared" si="22"/>
        <v>6000</v>
      </c>
      <c r="T137" s="301">
        <f t="shared" si="23"/>
        <v>0</v>
      </c>
      <c r="U137" s="301">
        <f t="shared" si="24"/>
        <v>0</v>
      </c>
      <c r="V137" s="301">
        <f t="shared" si="25"/>
        <v>0</v>
      </c>
    </row>
    <row r="138" spans="1:22" s="301" customFormat="1" x14ac:dyDescent="0.2">
      <c r="A138" s="511">
        <v>4915</v>
      </c>
      <c r="B138" s="506" t="s">
        <v>352</v>
      </c>
      <c r="C138" s="554" t="s">
        <v>320</v>
      </c>
      <c r="D138" s="512">
        <v>150</v>
      </c>
      <c r="E138" s="553">
        <v>39.17</v>
      </c>
      <c r="F138" s="379">
        <f t="shared" si="34"/>
        <v>5875.5</v>
      </c>
      <c r="G138" s="296">
        <v>150</v>
      </c>
      <c r="H138" s="296">
        <v>150</v>
      </c>
      <c r="I138" s="296"/>
      <c r="J138" s="296"/>
      <c r="K138" s="296"/>
      <c r="L138" s="297">
        <f t="shared" si="33"/>
        <v>5875.5</v>
      </c>
      <c r="M138" s="298"/>
      <c r="N138" s="298"/>
      <c r="O138" s="514"/>
      <c r="P138" s="300"/>
      <c r="S138" s="301">
        <f t="shared" si="22"/>
        <v>5875.5</v>
      </c>
      <c r="T138" s="301">
        <f t="shared" si="23"/>
        <v>0</v>
      </c>
      <c r="U138" s="301">
        <f t="shared" si="24"/>
        <v>0</v>
      </c>
      <c r="V138" s="301">
        <f t="shared" si="25"/>
        <v>0</v>
      </c>
    </row>
    <row r="139" spans="1:22" s="301" customFormat="1" x14ac:dyDescent="0.2">
      <c r="A139" s="511">
        <v>4914</v>
      </c>
      <c r="B139" s="506" t="s">
        <v>352</v>
      </c>
      <c r="C139" s="554" t="s">
        <v>319</v>
      </c>
      <c r="D139" s="512">
        <v>200</v>
      </c>
      <c r="E139" s="553">
        <v>62.28</v>
      </c>
      <c r="F139" s="379">
        <f t="shared" si="34"/>
        <v>12456</v>
      </c>
      <c r="G139" s="296">
        <v>200</v>
      </c>
      <c r="H139" s="296">
        <f>150+50</f>
        <v>200</v>
      </c>
      <c r="I139" s="296"/>
      <c r="J139" s="296"/>
      <c r="K139" s="296"/>
      <c r="L139" s="297">
        <f>E139*(H139+I139+J139+K139)</f>
        <v>12456</v>
      </c>
      <c r="M139" s="298"/>
      <c r="N139" s="298"/>
      <c r="O139" s="514"/>
      <c r="P139" s="300"/>
      <c r="S139" s="301">
        <f t="shared" si="22"/>
        <v>12456</v>
      </c>
      <c r="T139" s="301">
        <f t="shared" si="23"/>
        <v>0</v>
      </c>
      <c r="U139" s="301">
        <f t="shared" si="24"/>
        <v>0</v>
      </c>
      <c r="V139" s="301">
        <f t="shared" si="25"/>
        <v>0</v>
      </c>
    </row>
    <row r="140" spans="1:22" s="301" customFormat="1" x14ac:dyDescent="0.2">
      <c r="A140" s="517">
        <v>4916</v>
      </c>
      <c r="B140" s="506" t="s">
        <v>352</v>
      </c>
      <c r="C140" s="554" t="s">
        <v>851</v>
      </c>
      <c r="D140" s="512">
        <v>685</v>
      </c>
      <c r="E140" s="553">
        <v>32.18</v>
      </c>
      <c r="F140" s="379">
        <f t="shared" si="34"/>
        <v>22043.3</v>
      </c>
      <c r="G140" s="296">
        <v>685</v>
      </c>
      <c r="H140" s="296"/>
      <c r="I140" s="296">
        <v>685</v>
      </c>
      <c r="J140" s="296"/>
      <c r="K140" s="296"/>
      <c r="L140" s="297">
        <f>E140*(H140+I140+J140+K140)</f>
        <v>22043.3</v>
      </c>
      <c r="M140" s="298"/>
      <c r="N140" s="298"/>
      <c r="O140" s="514"/>
      <c r="P140" s="300"/>
      <c r="S140" s="301">
        <f t="shared" si="22"/>
        <v>0</v>
      </c>
      <c r="T140" s="301">
        <f t="shared" si="23"/>
        <v>22043.3</v>
      </c>
      <c r="U140" s="301">
        <f t="shared" si="24"/>
        <v>0</v>
      </c>
      <c r="V140" s="301">
        <f t="shared" si="25"/>
        <v>0</v>
      </c>
    </row>
    <row r="141" spans="1:22" s="301" customFormat="1" x14ac:dyDescent="0.2">
      <c r="A141" s="517">
        <v>4913</v>
      </c>
      <c r="B141" s="506" t="s">
        <v>352</v>
      </c>
      <c r="C141" s="554" t="s">
        <v>318</v>
      </c>
      <c r="D141" s="512">
        <v>55</v>
      </c>
      <c r="E141" s="553">
        <v>62.28</v>
      </c>
      <c r="F141" s="379">
        <f>E141*D141</f>
        <v>3425.4</v>
      </c>
      <c r="G141" s="296">
        <v>55</v>
      </c>
      <c r="H141" s="296"/>
      <c r="I141" s="296">
        <v>55</v>
      </c>
      <c r="J141" s="296"/>
      <c r="K141" s="296"/>
      <c r="L141" s="297">
        <f t="shared" ref="L141:L142" si="35">E141*(H141+I141+J141+K141)</f>
        <v>3425.4</v>
      </c>
      <c r="M141" s="298"/>
      <c r="N141" s="298"/>
      <c r="O141" s="514"/>
      <c r="P141" s="300"/>
    </row>
    <row r="142" spans="1:22" s="301" customFormat="1" x14ac:dyDescent="0.2">
      <c r="A142" s="522">
        <v>5505</v>
      </c>
      <c r="B142" s="353" t="s">
        <v>352</v>
      </c>
      <c r="C142" s="533" t="s">
        <v>781</v>
      </c>
      <c r="D142" s="355"/>
      <c r="E142" s="356">
        <v>4</v>
      </c>
      <c r="F142" s="379">
        <f>E142*D142</f>
        <v>0</v>
      </c>
      <c r="G142" s="296"/>
      <c r="H142" s="296"/>
      <c r="I142" s="296"/>
      <c r="J142" s="296"/>
      <c r="K142" s="296"/>
      <c r="L142" s="297">
        <f t="shared" si="35"/>
        <v>0</v>
      </c>
      <c r="M142" s="298"/>
      <c r="N142" s="298"/>
      <c r="O142" s="514"/>
      <c r="P142" s="300"/>
    </row>
    <row r="143" spans="1:22" s="301" customFormat="1" x14ac:dyDescent="0.2">
      <c r="A143" s="511"/>
      <c r="B143" s="508"/>
      <c r="C143" s="534"/>
      <c r="D143" s="512"/>
      <c r="E143" s="513"/>
      <c r="F143" s="379">
        <f t="shared" si="34"/>
        <v>0</v>
      </c>
      <c r="G143" s="296"/>
      <c r="H143" s="296"/>
      <c r="I143" s="296"/>
      <c r="J143" s="296"/>
      <c r="K143" s="296"/>
      <c r="L143" s="297">
        <f t="shared" si="33"/>
        <v>0</v>
      </c>
      <c r="M143" s="298"/>
      <c r="N143" s="298"/>
      <c r="O143" s="514"/>
      <c r="P143" s="300"/>
      <c r="S143" s="301">
        <f t="shared" si="22"/>
        <v>0</v>
      </c>
      <c r="T143" s="301">
        <f t="shared" si="23"/>
        <v>0</v>
      </c>
      <c r="U143" s="301">
        <f t="shared" si="24"/>
        <v>0</v>
      </c>
      <c r="V143" s="301">
        <f t="shared" si="25"/>
        <v>0</v>
      </c>
    </row>
    <row r="144" spans="1:22" s="301" customFormat="1" x14ac:dyDescent="0.2">
      <c r="A144" s="517">
        <v>5591</v>
      </c>
      <c r="B144" s="506" t="s">
        <v>856</v>
      </c>
      <c r="C144" s="554" t="s">
        <v>857</v>
      </c>
      <c r="D144" s="512">
        <v>115</v>
      </c>
      <c r="E144" s="553">
        <v>190</v>
      </c>
      <c r="F144" s="379">
        <f>E144*D144</f>
        <v>21850</v>
      </c>
      <c r="G144" s="296"/>
      <c r="H144" s="296"/>
      <c r="I144" s="296">
        <v>115</v>
      </c>
      <c r="J144" s="296"/>
      <c r="K144" s="296"/>
      <c r="L144" s="297">
        <f>E144*(H144+I144+J144+K144)</f>
        <v>21850</v>
      </c>
      <c r="M144" s="298"/>
      <c r="N144" s="298"/>
      <c r="O144" s="514"/>
      <c r="P144" s="300"/>
      <c r="S144" s="301">
        <f>H144*E144</f>
        <v>0</v>
      </c>
      <c r="T144" s="301">
        <f>I144*E144</f>
        <v>21850</v>
      </c>
      <c r="U144" s="301">
        <f>J144*E144</f>
        <v>0</v>
      </c>
      <c r="V144" s="301">
        <f>K144*E144</f>
        <v>0</v>
      </c>
    </row>
    <row r="145" spans="1:23" s="301" customFormat="1" x14ac:dyDescent="0.2">
      <c r="A145" s="511"/>
      <c r="B145" s="508"/>
      <c r="C145" s="534"/>
      <c r="D145" s="512"/>
      <c r="E145" s="513"/>
      <c r="F145" s="379">
        <f t="shared" si="34"/>
        <v>0</v>
      </c>
      <c r="G145" s="296"/>
      <c r="H145" s="296"/>
      <c r="I145" s="296"/>
      <c r="J145" s="296"/>
      <c r="K145" s="296"/>
      <c r="L145" s="297">
        <f t="shared" si="33"/>
        <v>0</v>
      </c>
      <c r="M145" s="298"/>
      <c r="N145" s="298"/>
      <c r="O145" s="514"/>
      <c r="P145" s="300"/>
      <c r="S145" s="301">
        <f t="shared" ref="S145:S147" si="36">H145*E145</f>
        <v>0</v>
      </c>
      <c r="T145" s="301">
        <f t="shared" ref="T145:T147" si="37">I145*E145</f>
        <v>0</v>
      </c>
      <c r="U145" s="301">
        <f t="shared" ref="U145:U147" si="38">J145*E145</f>
        <v>0</v>
      </c>
      <c r="V145" s="301">
        <f t="shared" ref="V145:V147" si="39">K145*E145</f>
        <v>0</v>
      </c>
    </row>
    <row r="146" spans="1:23" s="301" customFormat="1" x14ac:dyDescent="0.2">
      <c r="A146" s="517">
        <v>5606</v>
      </c>
      <c r="B146" s="506" t="s">
        <v>862</v>
      </c>
      <c r="C146" s="554" t="s">
        <v>863</v>
      </c>
      <c r="D146" s="512">
        <v>2</v>
      </c>
      <c r="E146" s="553">
        <v>1450</v>
      </c>
      <c r="F146" s="379">
        <f>E146*D146</f>
        <v>2900</v>
      </c>
      <c r="G146" s="296"/>
      <c r="H146" s="296"/>
      <c r="I146" s="296"/>
      <c r="J146" s="296"/>
      <c r="K146" s="296"/>
      <c r="L146" s="297">
        <f>E146*(H146+I146+J146+K146)</f>
        <v>0</v>
      </c>
      <c r="M146" s="298">
        <v>43598</v>
      </c>
      <c r="N146" s="298">
        <v>43599</v>
      </c>
      <c r="O146" s="514"/>
      <c r="P146" s="300"/>
      <c r="S146" s="301">
        <f>H146*E146</f>
        <v>0</v>
      </c>
      <c r="T146" s="301">
        <f>I146*E146</f>
        <v>0</v>
      </c>
      <c r="U146" s="301">
        <f>J146*E146</f>
        <v>0</v>
      </c>
      <c r="V146" s="301">
        <f>K146*E146</f>
        <v>0</v>
      </c>
    </row>
    <row r="147" spans="1:23" s="301" customFormat="1" x14ac:dyDescent="0.2">
      <c r="A147" s="517"/>
      <c r="B147" s="506"/>
      <c r="C147" s="554"/>
      <c r="D147" s="512"/>
      <c r="E147" s="553"/>
      <c r="F147" s="379">
        <f t="shared" si="34"/>
        <v>0</v>
      </c>
      <c r="G147" s="296"/>
      <c r="H147" s="296"/>
      <c r="I147" s="296"/>
      <c r="J147" s="296"/>
      <c r="K147" s="296"/>
      <c r="L147" s="297">
        <f t="shared" si="33"/>
        <v>0</v>
      </c>
      <c r="M147" s="298"/>
      <c r="N147" s="298"/>
      <c r="O147" s="514"/>
      <c r="P147" s="300"/>
      <c r="S147" s="301">
        <f t="shared" si="36"/>
        <v>0</v>
      </c>
      <c r="T147" s="301">
        <f t="shared" si="37"/>
        <v>0</v>
      </c>
      <c r="U147" s="301">
        <f t="shared" si="38"/>
        <v>0</v>
      </c>
      <c r="V147" s="301">
        <f t="shared" si="39"/>
        <v>0</v>
      </c>
    </row>
    <row r="148" spans="1:23" s="301" customFormat="1" x14ac:dyDescent="0.2">
      <c r="A148" s="517">
        <v>5596</v>
      </c>
      <c r="B148" s="506" t="s">
        <v>289</v>
      </c>
      <c r="C148" s="554" t="s">
        <v>871</v>
      </c>
      <c r="D148" s="512">
        <v>3</v>
      </c>
      <c r="E148" s="553">
        <v>2000</v>
      </c>
      <c r="F148" s="379">
        <f>E148*D148</f>
        <v>6000</v>
      </c>
      <c r="G148" s="296"/>
      <c r="H148" s="296"/>
      <c r="I148" s="296"/>
      <c r="J148" s="296"/>
      <c r="K148" s="296"/>
      <c r="L148" s="297">
        <f>E148*(H148+I148+J148+K148)</f>
        <v>0</v>
      </c>
      <c r="M148" s="298">
        <v>43598</v>
      </c>
      <c r="N148" s="298">
        <v>43644</v>
      </c>
      <c r="O148" s="514"/>
      <c r="P148" s="300"/>
      <c r="S148" s="301">
        <f>H148*E148</f>
        <v>0</v>
      </c>
      <c r="T148" s="301">
        <f>I148*E148</f>
        <v>0</v>
      </c>
      <c r="U148" s="301">
        <f>J148*E148</f>
        <v>0</v>
      </c>
      <c r="V148" s="301">
        <f>K148*E148</f>
        <v>0</v>
      </c>
    </row>
    <row r="149" spans="1:23" s="301" customFormat="1" x14ac:dyDescent="0.2">
      <c r="A149" s="517"/>
      <c r="B149" s="506"/>
      <c r="C149" s="554"/>
      <c r="D149" s="512"/>
      <c r="E149" s="553"/>
      <c r="F149" s="379">
        <f t="shared" si="34"/>
        <v>0</v>
      </c>
      <c r="G149" s="296"/>
      <c r="H149" s="296"/>
      <c r="I149" s="296"/>
      <c r="J149" s="296"/>
      <c r="K149" s="296"/>
      <c r="L149" s="297">
        <f t="shared" si="33"/>
        <v>0</v>
      </c>
      <c r="M149" s="298"/>
      <c r="N149" s="298"/>
      <c r="O149" s="514"/>
      <c r="P149" s="300"/>
      <c r="S149" s="301">
        <f t="shared" si="22"/>
        <v>0</v>
      </c>
      <c r="T149" s="301">
        <f t="shared" si="23"/>
        <v>0</v>
      </c>
      <c r="U149" s="301">
        <f t="shared" si="24"/>
        <v>0</v>
      </c>
      <c r="V149" s="301">
        <f t="shared" si="25"/>
        <v>0</v>
      </c>
    </row>
    <row r="150" spans="1:23" s="301" customFormat="1" x14ac:dyDescent="0.2">
      <c r="A150" s="558">
        <v>5607</v>
      </c>
      <c r="B150" s="506" t="s">
        <v>672</v>
      </c>
      <c r="C150" s="554" t="s">
        <v>673</v>
      </c>
      <c r="D150" s="512">
        <v>4</v>
      </c>
      <c r="E150" s="553">
        <v>1100</v>
      </c>
      <c r="F150" s="379">
        <f>E150*D150</f>
        <v>4400</v>
      </c>
      <c r="G150" s="296">
        <v>4</v>
      </c>
      <c r="H150" s="296"/>
      <c r="I150" s="296"/>
      <c r="J150" s="296"/>
      <c r="K150" s="296"/>
      <c r="L150" s="297">
        <f>E150*(H150+I150+J150+K150)</f>
        <v>0</v>
      </c>
      <c r="M150" s="298">
        <v>43598</v>
      </c>
      <c r="N150" s="298">
        <v>43599</v>
      </c>
      <c r="O150" s="514"/>
      <c r="P150" s="300"/>
      <c r="S150" s="301">
        <f>H150*E150</f>
        <v>0</v>
      </c>
      <c r="T150" s="301">
        <f>I150*E150</f>
        <v>0</v>
      </c>
      <c r="U150" s="301">
        <f>J150*E150</f>
        <v>0</v>
      </c>
      <c r="V150" s="301">
        <f>K150*E150</f>
        <v>0</v>
      </c>
    </row>
    <row r="151" spans="1:23" s="301" customFormat="1" x14ac:dyDescent="0.2">
      <c r="A151" s="511"/>
      <c r="B151" s="506"/>
      <c r="C151" s="531"/>
      <c r="D151" s="512"/>
      <c r="E151" s="513"/>
      <c r="F151" s="379">
        <f t="shared" si="34"/>
        <v>0</v>
      </c>
      <c r="G151" s="296"/>
      <c r="H151" s="296"/>
      <c r="I151" s="296"/>
      <c r="J151" s="296"/>
      <c r="K151" s="296"/>
      <c r="L151" s="297">
        <f t="shared" si="33"/>
        <v>0</v>
      </c>
      <c r="M151" s="298"/>
      <c r="N151" s="298"/>
      <c r="O151" s="514"/>
      <c r="P151" s="300"/>
      <c r="S151" s="301">
        <f t="shared" si="22"/>
        <v>0</v>
      </c>
      <c r="T151" s="301">
        <f t="shared" si="23"/>
        <v>0</v>
      </c>
      <c r="U151" s="301">
        <f t="shared" si="24"/>
        <v>0</v>
      </c>
      <c r="V151" s="301">
        <f t="shared" si="25"/>
        <v>0</v>
      </c>
    </row>
    <row r="152" spans="1:23" s="301" customFormat="1" x14ac:dyDescent="0.2">
      <c r="A152" s="511"/>
      <c r="B152" s="506"/>
      <c r="C152" s="531"/>
      <c r="D152" s="512"/>
      <c r="E152" s="513"/>
      <c r="F152" s="379">
        <f t="shared" si="34"/>
        <v>0</v>
      </c>
      <c r="G152" s="296"/>
      <c r="H152" s="296"/>
      <c r="I152" s="296"/>
      <c r="J152" s="296"/>
      <c r="K152" s="296"/>
      <c r="L152" s="297">
        <f t="shared" si="33"/>
        <v>0</v>
      </c>
      <c r="M152" s="298"/>
      <c r="N152" s="298"/>
      <c r="O152" s="514"/>
      <c r="P152" s="300"/>
      <c r="S152" s="301">
        <f t="shared" si="22"/>
        <v>0</v>
      </c>
      <c r="T152" s="301">
        <f t="shared" si="23"/>
        <v>0</v>
      </c>
      <c r="U152" s="301">
        <f t="shared" si="24"/>
        <v>0</v>
      </c>
      <c r="V152" s="301">
        <f t="shared" si="25"/>
        <v>0</v>
      </c>
    </row>
    <row r="153" spans="1:23" s="301" customFormat="1" x14ac:dyDescent="0.2">
      <c r="A153" s="511"/>
      <c r="B153" s="506"/>
      <c r="C153" s="531"/>
      <c r="D153" s="512"/>
      <c r="E153" s="513"/>
      <c r="F153" s="379">
        <f t="shared" si="26"/>
        <v>0</v>
      </c>
      <c r="G153" s="296"/>
      <c r="H153" s="296"/>
      <c r="I153" s="296"/>
      <c r="J153" s="296"/>
      <c r="K153" s="296"/>
      <c r="L153" s="297">
        <f t="shared" si="27"/>
        <v>0</v>
      </c>
      <c r="M153" s="298"/>
      <c r="N153" s="298"/>
      <c r="O153" s="514"/>
      <c r="P153" s="300"/>
      <c r="S153" s="301">
        <f t="shared" ref="S153:S156" si="40">H153*E153</f>
        <v>0</v>
      </c>
      <c r="T153" s="301">
        <f t="shared" ref="T153:T156" si="41">I153*E153</f>
        <v>0</v>
      </c>
      <c r="U153" s="301">
        <f t="shared" ref="U153:U156" si="42">J153*E153</f>
        <v>0</v>
      </c>
      <c r="V153" s="301">
        <f t="shared" ref="V153:V156" si="43">K153*E153</f>
        <v>0</v>
      </c>
    </row>
    <row r="154" spans="1:23" s="301" customFormat="1" x14ac:dyDescent="0.2">
      <c r="A154" s="511"/>
      <c r="B154" s="506"/>
      <c r="C154" s="531"/>
      <c r="D154" s="512"/>
      <c r="E154" s="513"/>
      <c r="F154" s="379">
        <f t="shared" si="26"/>
        <v>0</v>
      </c>
      <c r="G154" s="296"/>
      <c r="H154" s="296"/>
      <c r="I154" s="296"/>
      <c r="J154" s="296"/>
      <c r="K154" s="296"/>
      <c r="L154" s="297">
        <f t="shared" si="27"/>
        <v>0</v>
      </c>
      <c r="M154" s="298"/>
      <c r="N154" s="298"/>
      <c r="O154" s="514"/>
      <c r="P154" s="300"/>
      <c r="S154" s="301">
        <f t="shared" si="40"/>
        <v>0</v>
      </c>
      <c r="T154" s="301">
        <f t="shared" si="41"/>
        <v>0</v>
      </c>
      <c r="U154" s="301">
        <f t="shared" si="42"/>
        <v>0</v>
      </c>
      <c r="V154" s="301">
        <f t="shared" si="43"/>
        <v>0</v>
      </c>
    </row>
    <row r="155" spans="1:23" s="301" customFormat="1" x14ac:dyDescent="0.2">
      <c r="A155" s="511"/>
      <c r="B155" s="506"/>
      <c r="C155" s="531" t="s">
        <v>426</v>
      </c>
      <c r="D155" s="512"/>
      <c r="E155" s="513">
        <v>600</v>
      </c>
      <c r="F155" s="379">
        <f t="shared" si="26"/>
        <v>0</v>
      </c>
      <c r="G155" s="296"/>
      <c r="H155" s="296"/>
      <c r="I155" s="296"/>
      <c r="J155" s="296"/>
      <c r="K155" s="296"/>
      <c r="L155" s="297">
        <f t="shared" ref="L155:L156" si="44">E155*(H155+I155+J155+K155)</f>
        <v>0</v>
      </c>
      <c r="M155" s="298"/>
      <c r="N155" s="298"/>
      <c r="O155" s="514"/>
      <c r="P155" s="300"/>
      <c r="S155" s="301">
        <f t="shared" si="40"/>
        <v>0</v>
      </c>
      <c r="T155" s="301">
        <f t="shared" si="41"/>
        <v>0</v>
      </c>
      <c r="U155" s="301">
        <f t="shared" si="42"/>
        <v>0</v>
      </c>
      <c r="V155" s="301">
        <f t="shared" si="43"/>
        <v>0</v>
      </c>
    </row>
    <row r="156" spans="1:23" s="301" customFormat="1" ht="13.5" thickBot="1" x14ac:dyDescent="0.25">
      <c r="A156" s="517"/>
      <c r="B156" s="540"/>
      <c r="C156" s="537"/>
      <c r="D156" s="518"/>
      <c r="E156" s="526"/>
      <c r="F156" s="379">
        <f t="shared" ref="F156" si="45">E156*D156</f>
        <v>0</v>
      </c>
      <c r="G156" s="296"/>
      <c r="H156" s="296"/>
      <c r="I156" s="296"/>
      <c r="J156" s="296"/>
      <c r="K156" s="296"/>
      <c r="L156" s="297">
        <f t="shared" si="44"/>
        <v>0</v>
      </c>
      <c r="M156" s="298"/>
      <c r="N156" s="298"/>
      <c r="O156" s="514"/>
      <c r="P156" s="300"/>
      <c r="S156" s="301">
        <f t="shared" si="40"/>
        <v>0</v>
      </c>
      <c r="T156" s="301">
        <f t="shared" si="41"/>
        <v>0</v>
      </c>
      <c r="U156" s="301">
        <f t="shared" si="42"/>
        <v>0</v>
      </c>
      <c r="V156" s="301">
        <f t="shared" si="43"/>
        <v>0</v>
      </c>
    </row>
    <row r="157" spans="1:23" s="301" customFormat="1" ht="13.5" thickBot="1" x14ac:dyDescent="0.25">
      <c r="A157" s="333"/>
      <c r="B157" s="336"/>
      <c r="C157" s="407"/>
      <c r="D157" s="341"/>
      <c r="E157" s="343"/>
      <c r="F157" s="347">
        <f>SUM(F8:F156)</f>
        <v>4315275.7</v>
      </c>
      <c r="G157" s="345"/>
      <c r="H157" s="472">
        <f>S157/F157</f>
        <v>8.9151893585848983E-3</v>
      </c>
      <c r="I157" s="472">
        <f>T157/F157</f>
        <v>1.6367042318987869E-2</v>
      </c>
      <c r="J157" s="472">
        <f>U157/F157</f>
        <v>0</v>
      </c>
      <c r="K157" s="472">
        <f>V157/F157</f>
        <v>0</v>
      </c>
      <c r="L157" s="347">
        <f>SUM(L8:L156)</f>
        <v>112525.2</v>
      </c>
      <c r="M157" s="345"/>
      <c r="N157" s="345"/>
      <c r="O157" s="345"/>
      <c r="P157" s="300"/>
      <c r="S157" s="301">
        <f>SUM(S8:S156)</f>
        <v>38471.5</v>
      </c>
      <c r="T157" s="301">
        <f>SUM(T8:T156)</f>
        <v>70628.3</v>
      </c>
      <c r="U157" s="301">
        <f>SUM(U8:U156)</f>
        <v>0</v>
      </c>
      <c r="V157" s="301">
        <f>SUM(V8:V156)</f>
        <v>0</v>
      </c>
    </row>
    <row r="158" spans="1:23" s="301" customFormat="1" x14ac:dyDescent="0.2">
      <c r="A158" s="324"/>
      <c r="B158" s="335"/>
      <c r="C158" s="338"/>
      <c r="D158" s="325"/>
      <c r="E158" s="326"/>
      <c r="F158" s="327"/>
      <c r="G158" s="328"/>
      <c r="H158" s="328"/>
      <c r="I158" s="328"/>
      <c r="J158" s="328"/>
      <c r="K158" s="328"/>
      <c r="L158" s="329"/>
      <c r="M158" s="330"/>
      <c r="N158" s="330"/>
      <c r="O158" s="331"/>
      <c r="P158" s="300"/>
    </row>
    <row r="159" spans="1:23" s="282" customFormat="1" x14ac:dyDescent="0.2">
      <c r="A159" s="302"/>
      <c r="B159" s="306"/>
      <c r="C159" s="305" t="s">
        <v>250</v>
      </c>
      <c r="D159" s="303"/>
      <c r="E159" s="302"/>
      <c r="F159" s="302"/>
      <c r="G159" s="302"/>
      <c r="H159" s="302"/>
      <c r="I159" s="302"/>
      <c r="J159" s="302"/>
      <c r="K159" s="302"/>
      <c r="L159" s="302"/>
      <c r="M159" s="302"/>
      <c r="N159" s="302"/>
      <c r="O159" s="304"/>
      <c r="R159" s="549"/>
      <c r="S159" s="301"/>
      <c r="T159" s="301"/>
      <c r="U159" s="301"/>
      <c r="V159" s="301"/>
      <c r="W159" s="301"/>
    </row>
    <row r="160" spans="1:23" s="282" customFormat="1" x14ac:dyDescent="0.2">
      <c r="A160" s="302"/>
      <c r="B160" s="307"/>
      <c r="C160" s="305" t="s">
        <v>251</v>
      </c>
      <c r="D160" s="303"/>
      <c r="E160" s="15"/>
      <c r="F160" s="236" t="s">
        <v>24</v>
      </c>
      <c r="G160" s="302"/>
      <c r="H160" s="302"/>
      <c r="I160" s="302"/>
      <c r="J160" s="302"/>
      <c r="K160" s="302"/>
      <c r="L160" s="302"/>
      <c r="M160" s="302"/>
      <c r="N160" s="302"/>
      <c r="O160" s="304"/>
      <c r="R160" s="549"/>
      <c r="S160" s="301"/>
      <c r="T160" s="301"/>
      <c r="U160" s="301"/>
      <c r="V160" s="301"/>
      <c r="W160" s="301"/>
    </row>
    <row r="161" spans="1:23" s="282" customFormat="1" x14ac:dyDescent="0.2">
      <c r="A161" s="302"/>
      <c r="B161" s="308"/>
      <c r="C161" s="305" t="s">
        <v>252</v>
      </c>
      <c r="D161" s="303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4"/>
      <c r="R161" s="549"/>
      <c r="S161" s="301"/>
      <c r="T161" s="301"/>
      <c r="U161" s="301"/>
      <c r="V161" s="301"/>
      <c r="W161" s="301"/>
    </row>
    <row r="162" spans="1:23" s="282" customFormat="1" x14ac:dyDescent="0.2">
      <c r="A162" s="302"/>
      <c r="B162" s="309"/>
      <c r="C162" s="305" t="s">
        <v>253</v>
      </c>
      <c r="D162" s="303"/>
      <c r="E162" s="302"/>
      <c r="F162" s="302"/>
      <c r="G162" s="302"/>
      <c r="H162" s="302"/>
      <c r="I162" s="302"/>
      <c r="J162" s="302"/>
      <c r="K162" s="302"/>
      <c r="L162" s="302"/>
      <c r="M162" s="302"/>
      <c r="N162" s="302"/>
      <c r="O162" s="304"/>
      <c r="R162" s="549"/>
      <c r="S162" s="301"/>
      <c r="T162" s="301"/>
      <c r="U162" s="301"/>
      <c r="V162" s="301"/>
      <c r="W162" s="301"/>
    </row>
    <row r="163" spans="1:23" s="282" customFormat="1" x14ac:dyDescent="0.2">
      <c r="A163" s="302"/>
      <c r="B163" s="310"/>
      <c r="C163" s="305" t="s">
        <v>254</v>
      </c>
      <c r="D163" s="303"/>
      <c r="E163" s="302"/>
      <c r="F163" s="302"/>
      <c r="G163" s="302"/>
      <c r="H163" s="302"/>
      <c r="I163" s="302"/>
      <c r="J163" s="302"/>
      <c r="K163" s="302"/>
      <c r="L163" s="302"/>
      <c r="M163" s="302"/>
      <c r="N163" s="302"/>
      <c r="O163" s="304"/>
      <c r="R163" s="549"/>
      <c r="S163" s="301"/>
      <c r="T163" s="301"/>
      <c r="U163" s="301"/>
      <c r="V163" s="301"/>
      <c r="W163" s="301"/>
    </row>
    <row r="164" spans="1:23" s="282" customFormat="1" x14ac:dyDescent="0.2">
      <c r="A164" s="302"/>
      <c r="B164" s="311"/>
      <c r="C164" s="305" t="s">
        <v>255</v>
      </c>
      <c r="D164" s="303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4"/>
      <c r="R164" s="549"/>
      <c r="S164" s="301"/>
      <c r="T164" s="301"/>
      <c r="U164" s="301"/>
      <c r="V164" s="301"/>
      <c r="W164" s="301"/>
    </row>
    <row r="165" spans="1:23" s="282" customFormat="1" x14ac:dyDescent="0.2">
      <c r="A165" s="302"/>
      <c r="B165" s="377"/>
      <c r="C165" s="378" t="s">
        <v>256</v>
      </c>
      <c r="D165" s="303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4"/>
      <c r="R165" s="549"/>
      <c r="S165" s="301"/>
      <c r="T165" s="301"/>
      <c r="U165" s="301"/>
      <c r="V165" s="301"/>
      <c r="W165" s="301"/>
    </row>
    <row r="166" spans="1:23" s="282" customFormat="1" x14ac:dyDescent="0.2">
      <c r="A166" s="302"/>
      <c r="B166" s="374"/>
      <c r="C166" s="375" t="s">
        <v>364</v>
      </c>
      <c r="D166" s="303"/>
      <c r="E166" s="302"/>
      <c r="F166" s="302"/>
      <c r="G166" s="302"/>
      <c r="H166" s="302"/>
      <c r="I166" s="302"/>
      <c r="J166" s="302"/>
      <c r="K166" s="302"/>
      <c r="L166" s="302"/>
      <c r="M166" s="302"/>
      <c r="N166" s="302"/>
      <c r="O166" s="304"/>
      <c r="R166" s="549"/>
      <c r="S166" s="301"/>
      <c r="T166" s="301"/>
      <c r="U166" s="301"/>
      <c r="V166" s="301"/>
      <c r="W166" s="301"/>
    </row>
    <row r="167" spans="1:23" s="282" customFormat="1" x14ac:dyDescent="0.2">
      <c r="A167" s="302"/>
      <c r="B167" s="376"/>
      <c r="C167" s="375" t="s">
        <v>365</v>
      </c>
      <c r="D167" s="303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4"/>
      <c r="R167" s="549"/>
      <c r="S167" s="301"/>
      <c r="T167" s="301"/>
      <c r="U167" s="301"/>
      <c r="V167" s="301"/>
      <c r="W167" s="301"/>
    </row>
    <row r="168" spans="1:23" s="282" customFormat="1" x14ac:dyDescent="0.2">
      <c r="A168" s="302"/>
      <c r="B168" s="302"/>
      <c r="C168" s="302"/>
      <c r="D168" s="303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4"/>
      <c r="R168" s="549"/>
      <c r="S168" s="301"/>
      <c r="T168" s="301"/>
      <c r="U168" s="301"/>
      <c r="V168" s="301"/>
      <c r="W168" s="301"/>
    </row>
    <row r="169" spans="1:23" s="282" customFormat="1" x14ac:dyDescent="0.2">
      <c r="A169" s="302"/>
      <c r="B169" s="302"/>
      <c r="C169" s="302"/>
      <c r="D169" s="303"/>
      <c r="E169" s="302"/>
      <c r="F169" s="302"/>
      <c r="G169" s="302"/>
      <c r="H169" s="302"/>
      <c r="I169" s="302"/>
      <c r="J169" s="302"/>
      <c r="K169" s="302"/>
      <c r="L169" s="302"/>
      <c r="M169" s="302"/>
      <c r="N169" s="302"/>
      <c r="O169" s="304"/>
      <c r="R169" s="549"/>
      <c r="S169" s="301"/>
      <c r="T169" s="301"/>
      <c r="U169" s="301"/>
      <c r="V169" s="301"/>
      <c r="W169" s="301"/>
    </row>
    <row r="170" spans="1:23" s="282" customFormat="1" x14ac:dyDescent="0.2">
      <c r="A170" s="302"/>
      <c r="B170" s="302"/>
      <c r="C170" s="302"/>
      <c r="D170" s="303"/>
      <c r="E170" s="302"/>
      <c r="F170" s="302"/>
      <c r="G170" s="302"/>
      <c r="H170" s="302"/>
      <c r="I170" s="302"/>
      <c r="J170" s="302"/>
      <c r="K170" s="302"/>
      <c r="L170" s="302"/>
      <c r="M170" s="302"/>
      <c r="N170" s="302"/>
      <c r="O170" s="304"/>
      <c r="R170" s="549"/>
      <c r="S170" s="301"/>
      <c r="T170" s="301"/>
      <c r="U170" s="301"/>
      <c r="V170" s="301"/>
      <c r="W170" s="301"/>
    </row>
    <row r="171" spans="1:23" s="282" customFormat="1" x14ac:dyDescent="0.2">
      <c r="A171" s="302"/>
      <c r="B171" s="302"/>
      <c r="C171" s="302"/>
      <c r="D171" s="303"/>
      <c r="E171" s="302"/>
      <c r="F171" s="302"/>
      <c r="G171" s="302"/>
      <c r="H171" s="302"/>
      <c r="I171" s="302"/>
      <c r="J171" s="302"/>
      <c r="K171" s="302"/>
      <c r="L171" s="302"/>
      <c r="M171" s="302"/>
      <c r="N171" s="302"/>
      <c r="O171" s="304"/>
      <c r="R171" s="549"/>
      <c r="S171" s="301"/>
      <c r="T171" s="301"/>
      <c r="U171" s="301"/>
      <c r="V171" s="301"/>
      <c r="W171" s="301"/>
    </row>
    <row r="172" spans="1:23" s="282" customFormat="1" x14ac:dyDescent="0.2">
      <c r="A172" s="302"/>
      <c r="B172" s="302"/>
      <c r="C172" s="302"/>
      <c r="D172" s="303"/>
      <c r="E172" s="302"/>
      <c r="F172" s="302"/>
      <c r="G172" s="302"/>
      <c r="H172" s="302"/>
      <c r="I172" s="302"/>
      <c r="J172" s="302"/>
      <c r="K172" s="302"/>
      <c r="L172" s="302"/>
      <c r="M172" s="302"/>
      <c r="N172" s="302"/>
      <c r="O172" s="304"/>
      <c r="R172" s="549"/>
      <c r="S172" s="301"/>
      <c r="T172" s="301"/>
      <c r="U172" s="301"/>
      <c r="V172" s="301"/>
      <c r="W172" s="301"/>
    </row>
    <row r="173" spans="1:23" s="282" customFormat="1" x14ac:dyDescent="0.2">
      <c r="A173" s="302"/>
      <c r="B173" s="302"/>
      <c r="C173" s="302"/>
      <c r="D173" s="303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4"/>
      <c r="R173" s="549"/>
      <c r="S173" s="301"/>
      <c r="T173" s="301"/>
      <c r="U173" s="301"/>
      <c r="V173" s="301"/>
      <c r="W173" s="301"/>
    </row>
    <row r="174" spans="1:23" s="282" customFormat="1" x14ac:dyDescent="0.2">
      <c r="A174" s="302"/>
      <c r="B174" s="302"/>
      <c r="C174" s="302"/>
      <c r="D174" s="303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4"/>
      <c r="R174" s="549"/>
      <c r="S174" s="301"/>
      <c r="T174" s="301"/>
      <c r="U174" s="301"/>
      <c r="V174" s="301"/>
      <c r="W174" s="301"/>
    </row>
    <row r="175" spans="1:23" s="282" customFormat="1" x14ac:dyDescent="0.2">
      <c r="A175" s="302"/>
      <c r="B175" s="302"/>
      <c r="C175" s="302"/>
      <c r="D175" s="303"/>
      <c r="E175" s="302"/>
      <c r="F175" s="302"/>
      <c r="G175" s="302"/>
      <c r="H175" s="302"/>
      <c r="I175" s="302"/>
      <c r="J175" s="302"/>
      <c r="K175" s="302"/>
      <c r="L175" s="302"/>
      <c r="M175" s="302"/>
      <c r="N175" s="302"/>
      <c r="O175" s="304"/>
      <c r="R175" s="549"/>
      <c r="S175" s="301"/>
      <c r="T175" s="301"/>
      <c r="U175" s="301"/>
      <c r="V175" s="301"/>
      <c r="W175" s="301"/>
    </row>
    <row r="176" spans="1:23" s="282" customFormat="1" x14ac:dyDescent="0.2">
      <c r="A176" s="302"/>
      <c r="B176" s="302"/>
      <c r="C176" s="302"/>
      <c r="D176" s="303"/>
      <c r="E176" s="302"/>
      <c r="F176" s="302"/>
      <c r="G176" s="302"/>
      <c r="H176" s="302"/>
      <c r="I176" s="302"/>
      <c r="J176" s="302"/>
      <c r="K176" s="302"/>
      <c r="L176" s="302"/>
      <c r="M176" s="302"/>
      <c r="N176" s="302"/>
      <c r="O176" s="304"/>
      <c r="R176" s="549"/>
      <c r="S176" s="301"/>
      <c r="T176" s="301"/>
      <c r="U176" s="301"/>
      <c r="V176" s="301"/>
      <c r="W176" s="301"/>
    </row>
    <row r="177" spans="1:23" s="282" customFormat="1" x14ac:dyDescent="0.2">
      <c r="A177" s="302"/>
      <c r="B177" s="302"/>
      <c r="C177" s="302"/>
      <c r="D177" s="303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4"/>
      <c r="R177" s="549"/>
      <c r="S177" s="301"/>
      <c r="T177" s="301"/>
      <c r="U177" s="301"/>
      <c r="V177" s="301"/>
      <c r="W177" s="301"/>
    </row>
    <row r="178" spans="1:23" s="282" customFormat="1" x14ac:dyDescent="0.2">
      <c r="A178" s="302"/>
      <c r="B178" s="302"/>
      <c r="C178" s="302"/>
      <c r="D178" s="303"/>
      <c r="E178" s="302"/>
      <c r="F178" s="302"/>
      <c r="G178" s="302"/>
      <c r="H178" s="302"/>
      <c r="I178" s="302"/>
      <c r="J178" s="302"/>
      <c r="K178" s="302"/>
      <c r="L178" s="302"/>
      <c r="M178" s="302"/>
      <c r="N178" s="302"/>
      <c r="O178" s="304"/>
      <c r="R178" s="549"/>
      <c r="S178" s="301"/>
      <c r="T178" s="301"/>
      <c r="U178" s="301"/>
      <c r="V178" s="301"/>
      <c r="W178" s="301"/>
    </row>
    <row r="179" spans="1:23" s="282" customFormat="1" x14ac:dyDescent="0.2">
      <c r="A179" s="302"/>
      <c r="B179" s="302"/>
      <c r="C179" s="302"/>
      <c r="D179" s="303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R179" s="549"/>
      <c r="S179" s="301"/>
      <c r="T179" s="301"/>
      <c r="U179" s="301"/>
      <c r="V179" s="301"/>
      <c r="W179" s="301"/>
    </row>
    <row r="180" spans="1:23" s="282" customFormat="1" x14ac:dyDescent="0.2">
      <c r="A180" s="302"/>
      <c r="B180" s="302"/>
      <c r="C180" s="302"/>
      <c r="D180" s="303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R180" s="549"/>
      <c r="S180" s="301"/>
      <c r="T180" s="301"/>
      <c r="U180" s="301"/>
      <c r="V180" s="301"/>
      <c r="W180" s="301"/>
    </row>
    <row r="181" spans="1:23" s="282" customFormat="1" x14ac:dyDescent="0.2">
      <c r="A181" s="302"/>
      <c r="B181" s="302"/>
      <c r="C181" s="302"/>
      <c r="D181" s="303"/>
      <c r="E181" s="302"/>
      <c r="F181" s="302"/>
      <c r="G181" s="302"/>
      <c r="H181" s="302"/>
      <c r="I181" s="302"/>
      <c r="J181" s="302"/>
      <c r="K181" s="302"/>
      <c r="L181" s="302"/>
      <c r="M181" s="302"/>
      <c r="N181" s="302"/>
      <c r="R181" s="549"/>
      <c r="S181" s="301"/>
      <c r="T181" s="301"/>
      <c r="U181" s="301"/>
      <c r="V181" s="301"/>
      <c r="W181" s="301"/>
    </row>
    <row r="182" spans="1:23" s="282" customFormat="1" x14ac:dyDescent="0.2">
      <c r="A182" s="302"/>
      <c r="B182" s="302"/>
      <c r="C182" s="302"/>
      <c r="D182" s="303"/>
      <c r="E182" s="302"/>
      <c r="F182" s="302"/>
      <c r="G182" s="302"/>
      <c r="H182" s="302"/>
      <c r="I182" s="302"/>
      <c r="J182" s="302"/>
      <c r="K182" s="302"/>
      <c r="L182" s="302"/>
      <c r="M182" s="302"/>
      <c r="N182" s="302"/>
      <c r="R182" s="549"/>
      <c r="S182" s="301"/>
      <c r="T182" s="301"/>
      <c r="U182" s="301"/>
      <c r="V182" s="301"/>
      <c r="W182" s="301"/>
    </row>
    <row r="183" spans="1:23" s="282" customFormat="1" x14ac:dyDescent="0.2">
      <c r="A183" s="302"/>
      <c r="B183" s="302"/>
      <c r="C183" s="302"/>
      <c r="D183" s="303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R183" s="549"/>
      <c r="S183" s="301"/>
      <c r="T183" s="301"/>
      <c r="U183" s="301"/>
      <c r="V183" s="301"/>
      <c r="W183" s="301"/>
    </row>
    <row r="184" spans="1:23" s="282" customFormat="1" x14ac:dyDescent="0.2">
      <c r="A184" s="302"/>
      <c r="B184" s="302"/>
      <c r="C184" s="302"/>
      <c r="D184" s="303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R184" s="549"/>
      <c r="S184" s="301"/>
      <c r="T184" s="301"/>
      <c r="U184" s="301"/>
      <c r="V184" s="301"/>
      <c r="W184" s="301"/>
    </row>
    <row r="185" spans="1:23" s="282" customFormat="1" x14ac:dyDescent="0.2">
      <c r="A185" s="302"/>
      <c r="B185" s="302"/>
      <c r="C185" s="302"/>
      <c r="D185" s="303"/>
      <c r="E185" s="302"/>
      <c r="F185" s="302"/>
      <c r="G185" s="302"/>
      <c r="H185" s="302"/>
      <c r="I185" s="302"/>
      <c r="J185" s="302"/>
      <c r="K185" s="302"/>
      <c r="L185" s="302"/>
      <c r="M185" s="302"/>
      <c r="N185" s="302"/>
      <c r="R185" s="549"/>
      <c r="S185" s="301"/>
      <c r="T185" s="301"/>
      <c r="U185" s="301"/>
      <c r="V185" s="301"/>
      <c r="W185" s="301"/>
    </row>
    <row r="186" spans="1:23" s="282" customFormat="1" x14ac:dyDescent="0.2">
      <c r="A186" s="302"/>
      <c r="B186" s="302"/>
      <c r="C186" s="302"/>
      <c r="D186" s="303"/>
      <c r="E186" s="302"/>
      <c r="F186" s="302"/>
      <c r="G186" s="302"/>
      <c r="H186" s="302"/>
      <c r="I186" s="302"/>
      <c r="J186" s="302"/>
      <c r="K186" s="302"/>
      <c r="L186" s="302"/>
      <c r="M186" s="302"/>
      <c r="N186" s="302"/>
      <c r="R186" s="549"/>
      <c r="S186" s="301"/>
      <c r="T186" s="301"/>
      <c r="U186" s="301"/>
      <c r="V186" s="301"/>
      <c r="W186" s="301"/>
    </row>
    <row r="187" spans="1:23" s="282" customFormat="1" x14ac:dyDescent="0.2">
      <c r="A187" s="302"/>
      <c r="B187" s="302"/>
      <c r="C187" s="302"/>
      <c r="D187" s="303"/>
      <c r="E187" s="302"/>
      <c r="F187" s="302"/>
      <c r="G187" s="302"/>
      <c r="H187" s="302"/>
      <c r="I187" s="302"/>
      <c r="J187" s="302"/>
      <c r="K187" s="302"/>
      <c r="L187" s="302"/>
      <c r="M187" s="302"/>
      <c r="N187" s="302"/>
      <c r="R187" s="549"/>
      <c r="S187" s="301"/>
      <c r="T187" s="301"/>
      <c r="U187" s="301"/>
      <c r="V187" s="301"/>
      <c r="W187" s="301"/>
    </row>
    <row r="188" spans="1:23" s="282" customFormat="1" x14ac:dyDescent="0.2">
      <c r="A188" s="302"/>
      <c r="B188" s="302"/>
      <c r="C188" s="302"/>
      <c r="D188" s="303"/>
      <c r="E188" s="302"/>
      <c r="F188" s="302"/>
      <c r="G188" s="302"/>
      <c r="H188" s="302"/>
      <c r="I188" s="302"/>
      <c r="J188" s="302"/>
      <c r="K188" s="302"/>
      <c r="L188" s="302"/>
      <c r="M188" s="302"/>
      <c r="N188" s="302"/>
      <c r="R188" s="549"/>
      <c r="S188" s="301"/>
      <c r="T188" s="301"/>
      <c r="U188" s="301"/>
      <c r="V188" s="301"/>
      <c r="W188" s="301"/>
    </row>
    <row r="189" spans="1:23" s="282" customFormat="1" x14ac:dyDescent="0.2">
      <c r="A189" s="302"/>
      <c r="B189" s="302"/>
      <c r="C189" s="302"/>
      <c r="D189" s="303"/>
      <c r="E189" s="302"/>
      <c r="F189" s="302"/>
      <c r="G189" s="302"/>
      <c r="H189" s="302"/>
      <c r="I189" s="302"/>
      <c r="J189" s="302"/>
      <c r="K189" s="302"/>
      <c r="L189" s="302"/>
      <c r="M189" s="302"/>
      <c r="N189" s="302"/>
      <c r="R189" s="549"/>
      <c r="S189" s="301"/>
      <c r="T189" s="301"/>
      <c r="U189" s="301"/>
      <c r="V189" s="301"/>
      <c r="W189" s="301"/>
    </row>
    <row r="190" spans="1:23" s="282" customFormat="1" x14ac:dyDescent="0.2">
      <c r="A190" s="302"/>
      <c r="B190" s="302"/>
      <c r="C190" s="302"/>
      <c r="D190" s="303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R190" s="549"/>
      <c r="S190" s="301"/>
      <c r="T190" s="301"/>
      <c r="U190" s="301"/>
      <c r="V190" s="301"/>
      <c r="W190" s="301"/>
    </row>
    <row r="191" spans="1:23" s="282" customFormat="1" x14ac:dyDescent="0.2">
      <c r="A191" s="302"/>
      <c r="B191" s="302"/>
      <c r="C191" s="302"/>
      <c r="D191" s="303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R191" s="549"/>
      <c r="S191" s="301"/>
      <c r="T191" s="301"/>
      <c r="U191" s="301"/>
      <c r="V191" s="301"/>
      <c r="W191" s="301"/>
    </row>
    <row r="192" spans="1:23" s="282" customFormat="1" x14ac:dyDescent="0.2">
      <c r="A192" s="302"/>
      <c r="B192" s="302"/>
      <c r="C192" s="302"/>
      <c r="D192" s="303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R192" s="549"/>
      <c r="S192" s="301"/>
      <c r="T192" s="301"/>
      <c r="U192" s="301"/>
      <c r="V192" s="301"/>
      <c r="W192" s="301"/>
    </row>
    <row r="193" spans="1:23" s="282" customFormat="1" x14ac:dyDescent="0.2">
      <c r="A193" s="302"/>
      <c r="B193" s="302"/>
      <c r="C193" s="302"/>
      <c r="D193" s="303"/>
      <c r="E193" s="302"/>
      <c r="F193" s="302"/>
      <c r="G193" s="302"/>
      <c r="H193" s="302"/>
      <c r="I193" s="302"/>
      <c r="J193" s="302"/>
      <c r="K193" s="302"/>
      <c r="L193" s="302"/>
      <c r="M193" s="302"/>
      <c r="N193" s="302"/>
      <c r="R193" s="549"/>
      <c r="S193" s="301"/>
      <c r="T193" s="301"/>
      <c r="U193" s="301"/>
      <c r="V193" s="301"/>
      <c r="W193" s="301"/>
    </row>
    <row r="194" spans="1:23" s="282" customFormat="1" x14ac:dyDescent="0.2">
      <c r="A194" s="302"/>
      <c r="B194" s="302"/>
      <c r="C194" s="302"/>
      <c r="D194" s="303"/>
      <c r="E194" s="302"/>
      <c r="F194" s="302"/>
      <c r="G194" s="302"/>
      <c r="H194" s="302"/>
      <c r="I194" s="302"/>
      <c r="J194" s="302"/>
      <c r="K194" s="302"/>
      <c r="L194" s="302"/>
      <c r="M194" s="302"/>
      <c r="N194" s="302"/>
      <c r="R194" s="549"/>
      <c r="S194" s="301"/>
      <c r="T194" s="301"/>
      <c r="U194" s="301"/>
      <c r="V194" s="301"/>
      <c r="W194" s="301"/>
    </row>
    <row r="195" spans="1:23" s="282" customFormat="1" x14ac:dyDescent="0.2">
      <c r="A195" s="302"/>
      <c r="B195" s="302"/>
      <c r="C195" s="302"/>
      <c r="D195" s="303"/>
      <c r="E195" s="302"/>
      <c r="F195" s="302"/>
      <c r="G195" s="302"/>
      <c r="H195" s="302"/>
      <c r="I195" s="302"/>
      <c r="J195" s="302"/>
      <c r="K195" s="302"/>
      <c r="L195" s="302"/>
      <c r="M195" s="302"/>
      <c r="N195" s="302"/>
      <c r="R195" s="549"/>
      <c r="S195" s="301"/>
      <c r="T195" s="301"/>
      <c r="U195" s="301"/>
      <c r="V195" s="301"/>
      <c r="W195" s="301"/>
    </row>
    <row r="196" spans="1:23" s="282" customFormat="1" x14ac:dyDescent="0.2">
      <c r="A196" s="302"/>
      <c r="B196" s="302"/>
      <c r="C196" s="302"/>
      <c r="D196" s="303"/>
      <c r="E196" s="302"/>
      <c r="F196" s="302"/>
      <c r="G196" s="302"/>
      <c r="H196" s="302"/>
      <c r="I196" s="302"/>
      <c r="J196" s="302"/>
      <c r="K196" s="302"/>
      <c r="L196" s="302"/>
      <c r="M196" s="302"/>
      <c r="N196" s="302"/>
      <c r="R196" s="549"/>
      <c r="S196" s="301"/>
      <c r="T196" s="301"/>
      <c r="U196" s="301"/>
      <c r="V196" s="301"/>
      <c r="W196" s="301"/>
    </row>
    <row r="197" spans="1:23" s="282" customFormat="1" x14ac:dyDescent="0.2">
      <c r="A197" s="302"/>
      <c r="B197" s="302"/>
      <c r="C197" s="302"/>
      <c r="D197" s="303"/>
      <c r="E197" s="302"/>
      <c r="F197" s="302"/>
      <c r="G197" s="302"/>
      <c r="H197" s="302"/>
      <c r="I197" s="302"/>
      <c r="J197" s="302"/>
      <c r="K197" s="302"/>
      <c r="L197" s="302"/>
      <c r="M197" s="302"/>
      <c r="N197" s="302"/>
      <c r="R197" s="549"/>
      <c r="S197" s="301"/>
      <c r="T197" s="301"/>
      <c r="U197" s="301"/>
      <c r="V197" s="301"/>
      <c r="W197" s="301"/>
    </row>
    <row r="198" spans="1:23" s="282" customFormat="1" x14ac:dyDescent="0.2">
      <c r="A198" s="302"/>
      <c r="B198" s="302"/>
      <c r="C198" s="302"/>
      <c r="D198" s="303"/>
      <c r="E198" s="302"/>
      <c r="F198" s="302"/>
      <c r="G198" s="302"/>
      <c r="H198" s="302"/>
      <c r="I198" s="302"/>
      <c r="J198" s="302"/>
      <c r="K198" s="302"/>
      <c r="L198" s="302"/>
      <c r="M198" s="302"/>
      <c r="N198" s="302"/>
      <c r="R198" s="549"/>
      <c r="S198" s="301"/>
      <c r="T198" s="301"/>
      <c r="U198" s="301"/>
      <c r="V198" s="301"/>
      <c r="W198" s="301"/>
    </row>
    <row r="199" spans="1:23" s="282" customFormat="1" x14ac:dyDescent="0.2">
      <c r="A199" s="302"/>
      <c r="B199" s="302"/>
      <c r="C199" s="302"/>
      <c r="D199" s="303"/>
      <c r="E199" s="302"/>
      <c r="F199" s="302"/>
      <c r="G199" s="302"/>
      <c r="H199" s="302"/>
      <c r="I199" s="302"/>
      <c r="J199" s="302"/>
      <c r="K199" s="302"/>
      <c r="L199" s="302"/>
      <c r="M199" s="302"/>
      <c r="N199" s="302"/>
      <c r="R199" s="549"/>
      <c r="S199" s="301"/>
      <c r="T199" s="301"/>
      <c r="U199" s="301"/>
      <c r="V199" s="301"/>
      <c r="W199" s="301"/>
    </row>
    <row r="200" spans="1:23" s="282" customFormat="1" x14ac:dyDescent="0.2">
      <c r="A200" s="302"/>
      <c r="B200" s="302"/>
      <c r="C200" s="302"/>
      <c r="D200" s="303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R200" s="549"/>
      <c r="S200" s="301"/>
      <c r="T200" s="301"/>
      <c r="U200" s="301"/>
      <c r="V200" s="301"/>
      <c r="W200" s="301"/>
    </row>
    <row r="201" spans="1:23" s="282" customFormat="1" x14ac:dyDescent="0.2">
      <c r="A201" s="302"/>
      <c r="B201" s="302"/>
      <c r="C201" s="302"/>
      <c r="D201" s="303"/>
      <c r="E201" s="302"/>
      <c r="F201" s="302"/>
      <c r="G201" s="302"/>
      <c r="H201" s="302"/>
      <c r="I201" s="302"/>
      <c r="J201" s="302"/>
      <c r="K201" s="302"/>
      <c r="L201" s="302"/>
      <c r="M201" s="302"/>
      <c r="N201" s="302"/>
      <c r="R201" s="549"/>
      <c r="S201" s="301"/>
      <c r="T201" s="301"/>
      <c r="U201" s="301"/>
      <c r="V201" s="301"/>
      <c r="W201" s="301"/>
    </row>
    <row r="202" spans="1:23" s="282" customFormat="1" x14ac:dyDescent="0.2">
      <c r="A202" s="302"/>
      <c r="B202" s="302"/>
      <c r="C202" s="302"/>
      <c r="D202" s="303"/>
      <c r="E202" s="302"/>
      <c r="F202" s="302"/>
      <c r="G202" s="302"/>
      <c r="H202" s="302"/>
      <c r="I202" s="302"/>
      <c r="J202" s="302"/>
      <c r="K202" s="302"/>
      <c r="L202" s="302"/>
      <c r="M202" s="302"/>
      <c r="N202" s="302"/>
      <c r="R202" s="549"/>
      <c r="S202" s="301"/>
      <c r="T202" s="301"/>
      <c r="U202" s="301"/>
      <c r="V202" s="301"/>
      <c r="W202" s="301"/>
    </row>
    <row r="203" spans="1:23" s="282" customFormat="1" x14ac:dyDescent="0.2">
      <c r="A203" s="302"/>
      <c r="B203" s="302"/>
      <c r="C203" s="302"/>
      <c r="D203" s="303"/>
      <c r="E203" s="302"/>
      <c r="F203" s="302"/>
      <c r="G203" s="302"/>
      <c r="H203" s="302"/>
      <c r="I203" s="302"/>
      <c r="J203" s="302"/>
      <c r="K203" s="302"/>
      <c r="L203" s="302"/>
      <c r="M203" s="302"/>
      <c r="N203" s="302"/>
      <c r="R203" s="549"/>
      <c r="S203" s="301"/>
      <c r="T203" s="301"/>
      <c r="U203" s="301"/>
      <c r="V203" s="301"/>
      <c r="W203" s="301"/>
    </row>
    <row r="204" spans="1:23" s="282" customFormat="1" x14ac:dyDescent="0.2">
      <c r="A204" s="302"/>
      <c r="B204" s="302"/>
      <c r="C204" s="302"/>
      <c r="D204" s="303"/>
      <c r="E204" s="302"/>
      <c r="F204" s="302"/>
      <c r="G204" s="302"/>
      <c r="H204" s="302"/>
      <c r="I204" s="302"/>
      <c r="J204" s="302"/>
      <c r="K204" s="302"/>
      <c r="L204" s="302"/>
      <c r="M204" s="302"/>
      <c r="N204" s="302"/>
      <c r="R204" s="549"/>
      <c r="S204" s="301"/>
      <c r="T204" s="301"/>
      <c r="U204" s="301"/>
      <c r="V204" s="301"/>
      <c r="W204" s="301"/>
    </row>
    <row r="205" spans="1:23" s="282" customFormat="1" x14ac:dyDescent="0.2">
      <c r="A205" s="302"/>
      <c r="B205" s="302"/>
      <c r="C205" s="302"/>
      <c r="D205" s="303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R205" s="549"/>
      <c r="S205" s="301"/>
      <c r="T205" s="301"/>
      <c r="U205" s="301"/>
      <c r="V205" s="301"/>
      <c r="W205" s="301"/>
    </row>
    <row r="206" spans="1:23" s="282" customFormat="1" x14ac:dyDescent="0.2">
      <c r="A206" s="302"/>
      <c r="B206" s="302"/>
      <c r="C206" s="302"/>
      <c r="D206" s="303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R206" s="549"/>
    </row>
    <row r="207" spans="1:23" s="282" customFormat="1" x14ac:dyDescent="0.2">
      <c r="A207" s="302"/>
      <c r="B207" s="302"/>
      <c r="C207" s="302"/>
      <c r="D207" s="303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R207" s="549"/>
    </row>
    <row r="208" spans="1:23" s="282" customFormat="1" x14ac:dyDescent="0.2">
      <c r="A208" s="302"/>
      <c r="B208" s="302"/>
      <c r="C208" s="302"/>
      <c r="D208" s="303"/>
      <c r="E208" s="302"/>
      <c r="F208" s="302"/>
      <c r="G208" s="302"/>
      <c r="H208" s="302"/>
      <c r="I208" s="302"/>
      <c r="J208" s="302"/>
      <c r="K208" s="302"/>
      <c r="L208" s="302"/>
      <c r="M208" s="302"/>
      <c r="N208" s="302"/>
      <c r="R208" s="549"/>
    </row>
    <row r="209" spans="1:18" s="282" customFormat="1" x14ac:dyDescent="0.2">
      <c r="A209" s="302"/>
      <c r="B209" s="302"/>
      <c r="C209" s="302"/>
      <c r="D209" s="303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R209" s="549"/>
    </row>
    <row r="210" spans="1:18" s="282" customFormat="1" x14ac:dyDescent="0.2">
      <c r="A210" s="302"/>
      <c r="B210" s="302"/>
      <c r="C210" s="302"/>
      <c r="D210" s="303"/>
      <c r="E210" s="302"/>
      <c r="F210" s="302"/>
      <c r="G210" s="302"/>
      <c r="H210" s="302"/>
      <c r="I210" s="302"/>
      <c r="J210" s="302"/>
      <c r="K210" s="302"/>
      <c r="L210" s="302"/>
      <c r="M210" s="302"/>
      <c r="N210" s="302"/>
      <c r="R210" s="549"/>
    </row>
    <row r="211" spans="1:18" s="282" customFormat="1" x14ac:dyDescent="0.2">
      <c r="A211" s="302"/>
      <c r="B211" s="302"/>
      <c r="C211" s="302"/>
      <c r="D211" s="303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R211" s="549"/>
    </row>
    <row r="212" spans="1:18" s="282" customFormat="1" x14ac:dyDescent="0.2">
      <c r="A212" s="302"/>
      <c r="B212" s="302"/>
      <c r="C212" s="302"/>
      <c r="D212" s="303"/>
      <c r="E212" s="302"/>
      <c r="F212" s="302"/>
      <c r="G212" s="302"/>
      <c r="H212" s="302"/>
      <c r="I212" s="302"/>
      <c r="J212" s="302"/>
      <c r="K212" s="302"/>
      <c r="L212" s="302"/>
      <c r="M212" s="302"/>
      <c r="N212" s="302"/>
      <c r="R212" s="549"/>
    </row>
    <row r="213" spans="1:18" s="282" customFormat="1" x14ac:dyDescent="0.2">
      <c r="A213" s="302"/>
      <c r="B213" s="302"/>
      <c r="C213" s="302"/>
      <c r="D213" s="303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R213" s="549"/>
    </row>
    <row r="214" spans="1:18" s="282" customFormat="1" x14ac:dyDescent="0.2">
      <c r="A214" s="302"/>
      <c r="B214" s="302"/>
      <c r="C214" s="302"/>
      <c r="D214" s="303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R214" s="549"/>
    </row>
    <row r="215" spans="1:18" s="282" customFormat="1" x14ac:dyDescent="0.2">
      <c r="A215" s="302"/>
      <c r="B215" s="302"/>
      <c r="C215" s="302"/>
      <c r="D215" s="303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R215" s="549"/>
    </row>
    <row r="216" spans="1:18" s="282" customFormat="1" x14ac:dyDescent="0.2">
      <c r="A216" s="302"/>
      <c r="B216" s="302"/>
      <c r="C216" s="302"/>
      <c r="D216" s="303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R216" s="549"/>
    </row>
    <row r="217" spans="1:18" s="282" customFormat="1" x14ac:dyDescent="0.2">
      <c r="A217" s="302"/>
      <c r="B217" s="302"/>
      <c r="C217" s="302"/>
      <c r="D217" s="303"/>
      <c r="E217" s="302"/>
      <c r="F217" s="302"/>
      <c r="G217" s="302"/>
      <c r="H217" s="302"/>
      <c r="I217" s="302"/>
      <c r="J217" s="302"/>
      <c r="K217" s="302"/>
      <c r="L217" s="302"/>
      <c r="M217" s="302"/>
      <c r="N217" s="302"/>
      <c r="R217" s="549"/>
    </row>
    <row r="218" spans="1:18" s="282" customFormat="1" x14ac:dyDescent="0.2">
      <c r="A218" s="302"/>
      <c r="B218" s="302"/>
      <c r="C218" s="302"/>
      <c r="D218" s="303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R218" s="549"/>
    </row>
    <row r="219" spans="1:18" s="282" customFormat="1" x14ac:dyDescent="0.2">
      <c r="A219" s="302"/>
      <c r="B219" s="302"/>
      <c r="C219" s="302"/>
      <c r="D219" s="303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R219" s="549"/>
    </row>
    <row r="220" spans="1:18" s="282" customFormat="1" x14ac:dyDescent="0.2">
      <c r="A220" s="302"/>
      <c r="B220" s="302"/>
      <c r="C220" s="302"/>
      <c r="D220" s="303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R220" s="549"/>
    </row>
    <row r="221" spans="1:18" s="282" customFormat="1" x14ac:dyDescent="0.2">
      <c r="A221" s="302"/>
      <c r="B221" s="302"/>
      <c r="C221" s="302"/>
      <c r="D221" s="303"/>
      <c r="E221" s="302"/>
      <c r="F221" s="302"/>
      <c r="G221" s="302"/>
      <c r="H221" s="302"/>
      <c r="I221" s="302"/>
      <c r="J221" s="302"/>
      <c r="K221" s="302"/>
      <c r="L221" s="302"/>
      <c r="M221" s="302"/>
      <c r="N221" s="302"/>
      <c r="R221" s="549"/>
    </row>
    <row r="222" spans="1:18" s="282" customFormat="1" x14ac:dyDescent="0.2">
      <c r="A222" s="302"/>
      <c r="B222" s="302"/>
      <c r="C222" s="302"/>
      <c r="D222" s="303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R222" s="549"/>
    </row>
    <row r="223" spans="1:18" s="282" customFormat="1" x14ac:dyDescent="0.2">
      <c r="A223" s="302"/>
      <c r="B223" s="302"/>
      <c r="C223" s="302"/>
      <c r="D223" s="303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R223" s="549"/>
    </row>
    <row r="224" spans="1:18" s="282" customFormat="1" x14ac:dyDescent="0.2">
      <c r="A224" s="302"/>
      <c r="B224" s="302"/>
      <c r="C224" s="302"/>
      <c r="D224" s="303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R224" s="549"/>
    </row>
    <row r="225" spans="1:18" s="282" customFormat="1" x14ac:dyDescent="0.2">
      <c r="A225" s="302"/>
      <c r="B225" s="302"/>
      <c r="C225" s="302"/>
      <c r="D225" s="303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R225" s="549"/>
    </row>
    <row r="226" spans="1:18" s="282" customFormat="1" x14ac:dyDescent="0.2">
      <c r="A226" s="302"/>
      <c r="B226" s="302"/>
      <c r="C226" s="302"/>
      <c r="D226" s="303"/>
      <c r="E226" s="302"/>
      <c r="F226" s="302"/>
      <c r="G226" s="302"/>
      <c r="H226" s="302"/>
      <c r="I226" s="302"/>
      <c r="J226" s="302"/>
      <c r="K226" s="302"/>
      <c r="L226" s="302"/>
      <c r="M226" s="302"/>
      <c r="N226" s="302"/>
      <c r="R226" s="549"/>
    </row>
    <row r="227" spans="1:18" s="282" customFormat="1" x14ac:dyDescent="0.2">
      <c r="A227" s="302"/>
      <c r="B227" s="302"/>
      <c r="C227" s="302"/>
      <c r="D227" s="303"/>
      <c r="E227" s="302"/>
      <c r="F227" s="302"/>
      <c r="G227" s="302"/>
      <c r="H227" s="302"/>
      <c r="I227" s="302"/>
      <c r="J227" s="302"/>
      <c r="K227" s="302"/>
      <c r="L227" s="302"/>
      <c r="M227" s="302"/>
      <c r="N227" s="302"/>
      <c r="R227" s="549"/>
    </row>
    <row r="228" spans="1:18" s="282" customFormat="1" x14ac:dyDescent="0.2">
      <c r="A228" s="302"/>
      <c r="B228" s="302"/>
      <c r="C228" s="302"/>
      <c r="D228" s="303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R228" s="549"/>
    </row>
    <row r="229" spans="1:18" s="282" customFormat="1" x14ac:dyDescent="0.2">
      <c r="A229" s="302"/>
      <c r="B229" s="302"/>
      <c r="C229" s="302"/>
      <c r="D229" s="303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R229" s="549"/>
    </row>
    <row r="230" spans="1:18" s="282" customFormat="1" x14ac:dyDescent="0.2">
      <c r="A230" s="302"/>
      <c r="B230" s="302"/>
      <c r="C230" s="302"/>
      <c r="D230" s="303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R230" s="549"/>
    </row>
    <row r="231" spans="1:18" s="282" customFormat="1" x14ac:dyDescent="0.2">
      <c r="A231" s="302"/>
      <c r="B231" s="302"/>
      <c r="C231" s="302"/>
      <c r="D231" s="303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R231" s="549"/>
    </row>
    <row r="232" spans="1:18" s="282" customFormat="1" x14ac:dyDescent="0.2">
      <c r="A232" s="302"/>
      <c r="B232" s="302"/>
      <c r="C232" s="302"/>
      <c r="D232" s="303"/>
      <c r="E232" s="302"/>
      <c r="F232" s="302"/>
      <c r="G232" s="302"/>
      <c r="H232" s="302"/>
      <c r="I232" s="302"/>
      <c r="J232" s="302"/>
      <c r="K232" s="302"/>
      <c r="L232" s="302"/>
      <c r="M232" s="302"/>
      <c r="N232" s="302"/>
      <c r="R232" s="549"/>
    </row>
    <row r="233" spans="1:18" s="282" customFormat="1" x14ac:dyDescent="0.2">
      <c r="A233" s="302"/>
      <c r="B233" s="302"/>
      <c r="C233" s="302"/>
      <c r="D233" s="303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R233" s="549"/>
    </row>
    <row r="234" spans="1:18" s="282" customFormat="1" x14ac:dyDescent="0.2">
      <c r="A234" s="302"/>
      <c r="B234" s="302"/>
      <c r="C234" s="302"/>
      <c r="D234" s="303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R234" s="549"/>
    </row>
    <row r="235" spans="1:18" s="282" customFormat="1" x14ac:dyDescent="0.2">
      <c r="A235" s="302"/>
      <c r="B235" s="302"/>
      <c r="C235" s="302"/>
      <c r="D235" s="303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R235" s="549"/>
    </row>
    <row r="236" spans="1:18" s="282" customFormat="1" x14ac:dyDescent="0.2">
      <c r="A236" s="302"/>
      <c r="B236" s="302"/>
      <c r="C236" s="302"/>
      <c r="D236" s="303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R236" s="549"/>
    </row>
    <row r="237" spans="1:18" s="282" customFormat="1" x14ac:dyDescent="0.2">
      <c r="A237" s="302"/>
      <c r="B237" s="302"/>
      <c r="C237" s="302"/>
      <c r="D237" s="303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R237" s="549"/>
    </row>
    <row r="238" spans="1:18" s="282" customFormat="1" x14ac:dyDescent="0.2">
      <c r="A238" s="302"/>
      <c r="B238" s="302"/>
      <c r="C238" s="302"/>
      <c r="D238" s="303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R238" s="549"/>
    </row>
    <row r="239" spans="1:18" s="282" customFormat="1" x14ac:dyDescent="0.2">
      <c r="A239" s="302"/>
      <c r="B239" s="302"/>
      <c r="C239" s="302"/>
      <c r="D239" s="303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R239" s="549"/>
    </row>
    <row r="240" spans="1:18" s="282" customFormat="1" x14ac:dyDescent="0.2">
      <c r="A240" s="302"/>
      <c r="B240" s="302"/>
      <c r="C240" s="302"/>
      <c r="D240" s="303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R240" s="549"/>
    </row>
    <row r="241" spans="1:18" s="282" customFormat="1" x14ac:dyDescent="0.2">
      <c r="A241" s="302"/>
      <c r="B241" s="302"/>
      <c r="C241" s="302"/>
      <c r="D241" s="303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R241" s="549"/>
    </row>
    <row r="242" spans="1:18" s="282" customFormat="1" x14ac:dyDescent="0.2">
      <c r="A242" s="302"/>
      <c r="B242" s="302"/>
      <c r="C242" s="302"/>
      <c r="D242" s="303"/>
      <c r="E242" s="302"/>
      <c r="F242" s="302"/>
      <c r="G242" s="302"/>
      <c r="H242" s="302"/>
      <c r="I242" s="302"/>
      <c r="J242" s="302"/>
      <c r="K242" s="302"/>
      <c r="L242" s="302"/>
      <c r="M242" s="302"/>
      <c r="N242" s="302"/>
      <c r="R242" s="549"/>
    </row>
    <row r="243" spans="1:18" s="282" customFormat="1" x14ac:dyDescent="0.2">
      <c r="A243" s="302"/>
      <c r="B243" s="302"/>
      <c r="C243" s="302"/>
      <c r="D243" s="303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R243" s="549"/>
    </row>
    <row r="244" spans="1:18" s="282" customFormat="1" x14ac:dyDescent="0.2">
      <c r="A244" s="302"/>
      <c r="B244" s="302"/>
      <c r="C244" s="302"/>
      <c r="D244" s="303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R244" s="549"/>
    </row>
    <row r="245" spans="1:18" s="282" customFormat="1" x14ac:dyDescent="0.2">
      <c r="A245" s="302"/>
      <c r="B245" s="302"/>
      <c r="C245" s="302"/>
      <c r="D245" s="303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R245" s="549"/>
    </row>
    <row r="246" spans="1:18" s="282" customFormat="1" x14ac:dyDescent="0.2">
      <c r="A246" s="302"/>
      <c r="B246" s="302"/>
      <c r="C246" s="302"/>
      <c r="D246" s="303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R246" s="549"/>
    </row>
    <row r="247" spans="1:18" s="282" customFormat="1" x14ac:dyDescent="0.2">
      <c r="A247" s="302"/>
      <c r="B247" s="302"/>
      <c r="C247" s="302"/>
      <c r="D247" s="303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R247" s="549"/>
    </row>
    <row r="248" spans="1:18" s="282" customFormat="1" x14ac:dyDescent="0.2">
      <c r="A248" s="302"/>
      <c r="B248" s="302"/>
      <c r="C248" s="302"/>
      <c r="D248" s="303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R248" s="549"/>
    </row>
    <row r="249" spans="1:18" s="282" customFormat="1" x14ac:dyDescent="0.2">
      <c r="A249" s="302"/>
      <c r="B249" s="302"/>
      <c r="C249" s="302"/>
      <c r="D249" s="303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R249" s="549"/>
    </row>
    <row r="250" spans="1:18" s="282" customFormat="1" x14ac:dyDescent="0.2">
      <c r="A250" s="302"/>
      <c r="B250" s="302"/>
      <c r="C250" s="302"/>
      <c r="D250" s="303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R250" s="549"/>
    </row>
    <row r="251" spans="1:18" s="282" customFormat="1" x14ac:dyDescent="0.2">
      <c r="A251" s="549"/>
      <c r="B251" s="549"/>
      <c r="C251" s="549"/>
      <c r="D251" s="279"/>
      <c r="E251" s="549"/>
      <c r="F251" s="549"/>
      <c r="G251" s="302"/>
      <c r="H251" s="302"/>
      <c r="I251" s="302"/>
      <c r="J251" s="302"/>
      <c r="K251" s="302"/>
      <c r="L251" s="302"/>
      <c r="M251" s="302"/>
      <c r="N251" s="302"/>
      <c r="R251" s="549"/>
    </row>
    <row r="252" spans="1:18" s="282" customFormat="1" x14ac:dyDescent="0.2">
      <c r="A252" s="549"/>
      <c r="B252" s="549"/>
      <c r="C252" s="549"/>
      <c r="D252" s="279"/>
      <c r="E252" s="549"/>
      <c r="F252" s="549"/>
      <c r="G252" s="302"/>
      <c r="H252" s="302"/>
      <c r="I252" s="302"/>
      <c r="J252" s="302"/>
      <c r="K252" s="302"/>
      <c r="L252" s="302"/>
      <c r="M252" s="302"/>
      <c r="N252" s="302"/>
      <c r="R252" s="549"/>
    </row>
    <row r="253" spans="1:18" s="282" customFormat="1" x14ac:dyDescent="0.2">
      <c r="A253" s="549"/>
      <c r="B253" s="549"/>
      <c r="C253" s="549"/>
      <c r="D253" s="279"/>
      <c r="E253" s="549"/>
      <c r="F253" s="549"/>
      <c r="G253" s="302"/>
      <c r="H253" s="302"/>
      <c r="I253" s="302"/>
      <c r="J253" s="302"/>
      <c r="K253" s="302"/>
      <c r="L253" s="302"/>
      <c r="M253" s="302"/>
      <c r="N253" s="302"/>
      <c r="R253" s="549"/>
    </row>
    <row r="254" spans="1:18" s="282" customFormat="1" x14ac:dyDescent="0.2">
      <c r="A254" s="549"/>
      <c r="B254" s="549"/>
      <c r="C254" s="549"/>
      <c r="D254" s="279"/>
      <c r="E254" s="549"/>
      <c r="F254" s="549"/>
      <c r="G254" s="302"/>
      <c r="H254" s="302"/>
      <c r="I254" s="302"/>
      <c r="J254" s="302"/>
      <c r="K254" s="302"/>
      <c r="L254" s="302"/>
      <c r="M254" s="302"/>
      <c r="N254" s="302"/>
      <c r="R254" s="549"/>
    </row>
    <row r="255" spans="1:18" s="282" customFormat="1" x14ac:dyDescent="0.2">
      <c r="A255" s="549"/>
      <c r="B255" s="549"/>
      <c r="C255" s="549"/>
      <c r="D255" s="279"/>
      <c r="E255" s="549"/>
      <c r="F255" s="549"/>
      <c r="G255" s="302"/>
      <c r="H255" s="302"/>
      <c r="I255" s="302"/>
      <c r="J255" s="302"/>
      <c r="K255" s="302"/>
      <c r="L255" s="302"/>
      <c r="M255" s="302"/>
      <c r="N255" s="302"/>
      <c r="R255" s="549"/>
    </row>
    <row r="256" spans="1:18" s="282" customFormat="1" x14ac:dyDescent="0.2">
      <c r="A256" s="549"/>
      <c r="B256" s="549"/>
      <c r="C256" s="549"/>
      <c r="D256" s="279"/>
      <c r="E256" s="549"/>
      <c r="F256" s="549"/>
      <c r="G256" s="302"/>
      <c r="H256" s="302"/>
      <c r="I256" s="302"/>
      <c r="J256" s="302"/>
      <c r="K256" s="302"/>
      <c r="L256" s="302"/>
      <c r="M256" s="302"/>
      <c r="N256" s="302"/>
      <c r="R256" s="549"/>
    </row>
    <row r="257" spans="1:18" s="282" customFormat="1" x14ac:dyDescent="0.2">
      <c r="A257" s="549"/>
      <c r="B257" s="549"/>
      <c r="C257" s="549"/>
      <c r="D257" s="279"/>
      <c r="E257" s="549"/>
      <c r="F257" s="549"/>
      <c r="G257" s="302"/>
      <c r="H257" s="302"/>
      <c r="I257" s="302"/>
      <c r="J257" s="302"/>
      <c r="K257" s="302"/>
      <c r="L257" s="302"/>
      <c r="M257" s="302"/>
      <c r="N257" s="302"/>
      <c r="R257" s="549"/>
    </row>
    <row r="258" spans="1:18" s="282" customFormat="1" x14ac:dyDescent="0.2">
      <c r="A258" s="549"/>
      <c r="B258" s="549"/>
      <c r="C258" s="549"/>
      <c r="D258" s="279"/>
      <c r="E258" s="549"/>
      <c r="F258" s="549"/>
      <c r="G258" s="302"/>
      <c r="H258" s="302"/>
      <c r="I258" s="302"/>
      <c r="J258" s="302"/>
      <c r="K258" s="302"/>
      <c r="L258" s="302"/>
      <c r="M258" s="302"/>
      <c r="N258" s="302"/>
      <c r="R258" s="549"/>
    </row>
    <row r="259" spans="1:18" s="282" customFormat="1" x14ac:dyDescent="0.2">
      <c r="A259" s="549"/>
      <c r="B259" s="549"/>
      <c r="C259" s="549"/>
      <c r="D259" s="279"/>
      <c r="E259" s="549"/>
      <c r="F259" s="549"/>
      <c r="G259" s="302"/>
      <c r="H259" s="302"/>
      <c r="I259" s="302"/>
      <c r="J259" s="302"/>
      <c r="K259" s="302"/>
      <c r="L259" s="302"/>
      <c r="M259" s="302"/>
      <c r="N259" s="302"/>
      <c r="R259" s="549"/>
    </row>
    <row r="260" spans="1:18" s="282" customFormat="1" x14ac:dyDescent="0.2">
      <c r="A260" s="549"/>
      <c r="B260" s="549"/>
      <c r="C260" s="549"/>
      <c r="D260" s="279"/>
      <c r="E260" s="549"/>
      <c r="F260" s="549"/>
      <c r="G260" s="302"/>
      <c r="H260" s="302"/>
      <c r="I260" s="302"/>
      <c r="J260" s="302"/>
      <c r="K260" s="302"/>
      <c r="L260" s="302"/>
      <c r="M260" s="302"/>
      <c r="N260" s="302"/>
      <c r="R260" s="549"/>
    </row>
    <row r="261" spans="1:18" s="282" customFormat="1" x14ac:dyDescent="0.2">
      <c r="A261" s="549"/>
      <c r="B261" s="549"/>
      <c r="C261" s="549"/>
      <c r="D261" s="279"/>
      <c r="E261" s="549"/>
      <c r="F261" s="549"/>
      <c r="G261" s="302"/>
      <c r="H261" s="549"/>
      <c r="I261" s="549"/>
      <c r="J261" s="549"/>
      <c r="K261" s="549"/>
      <c r="L261" s="302"/>
      <c r="M261" s="302"/>
      <c r="N261" s="302"/>
      <c r="R261" s="549"/>
    </row>
    <row r="262" spans="1:18" s="282" customFormat="1" x14ac:dyDescent="0.2">
      <c r="A262" s="549"/>
      <c r="B262" s="549"/>
      <c r="C262" s="549"/>
      <c r="D262" s="279"/>
      <c r="E262" s="549"/>
      <c r="F262" s="549"/>
      <c r="G262" s="302"/>
      <c r="H262" s="549"/>
      <c r="I262" s="549"/>
      <c r="J262" s="549"/>
      <c r="K262" s="549"/>
      <c r="L262" s="302"/>
      <c r="M262" s="302"/>
      <c r="N262" s="302"/>
      <c r="R262" s="549"/>
    </row>
    <row r="263" spans="1:18" s="282" customFormat="1" x14ac:dyDescent="0.2">
      <c r="A263" s="549"/>
      <c r="B263" s="549"/>
      <c r="C263" s="549"/>
      <c r="D263" s="279"/>
      <c r="E263" s="549"/>
      <c r="F263" s="549"/>
      <c r="G263" s="549"/>
      <c r="H263" s="549"/>
      <c r="I263" s="549"/>
      <c r="J263" s="549"/>
      <c r="K263" s="549"/>
      <c r="L263" s="549"/>
      <c r="M263" s="302"/>
      <c r="N263" s="302"/>
      <c r="R263" s="549"/>
    </row>
    <row r="264" spans="1:18" s="282" customFormat="1" x14ac:dyDescent="0.2">
      <c r="A264" s="549"/>
      <c r="B264" s="549"/>
      <c r="C264" s="549"/>
      <c r="D264" s="279"/>
      <c r="E264" s="549"/>
      <c r="F264" s="549"/>
      <c r="G264" s="549"/>
      <c r="H264" s="549"/>
      <c r="I264" s="549"/>
      <c r="J264" s="549"/>
      <c r="K264" s="549"/>
      <c r="L264" s="549"/>
      <c r="M264" s="302"/>
      <c r="N264" s="302"/>
      <c r="R264" s="549"/>
    </row>
    <row r="265" spans="1:18" s="282" customFormat="1" x14ac:dyDescent="0.2">
      <c r="A265" s="549"/>
      <c r="B265" s="549"/>
      <c r="C265" s="549"/>
      <c r="D265" s="279"/>
      <c r="E265" s="549"/>
      <c r="F265" s="549"/>
      <c r="G265" s="549"/>
      <c r="H265" s="549"/>
      <c r="I265" s="549"/>
      <c r="J265" s="549"/>
      <c r="K265" s="549"/>
      <c r="L265" s="549"/>
      <c r="M265" s="302"/>
      <c r="N265" s="302"/>
      <c r="R265" s="549"/>
    </row>
    <row r="266" spans="1:18" s="282" customFormat="1" x14ac:dyDescent="0.2">
      <c r="A266" s="549"/>
      <c r="B266" s="549"/>
      <c r="C266" s="549"/>
      <c r="D266" s="279"/>
      <c r="E266" s="549"/>
      <c r="F266" s="549"/>
      <c r="G266" s="549"/>
      <c r="H266" s="549"/>
      <c r="I266" s="549"/>
      <c r="J266" s="549"/>
      <c r="K266" s="549"/>
      <c r="L266" s="549"/>
      <c r="M266" s="302"/>
      <c r="N266" s="302"/>
      <c r="R266" s="549"/>
    </row>
    <row r="267" spans="1:18" s="282" customFormat="1" x14ac:dyDescent="0.2">
      <c r="A267" s="549"/>
      <c r="B267" s="549"/>
      <c r="C267" s="549"/>
      <c r="D267" s="279"/>
      <c r="E267" s="549"/>
      <c r="F267" s="549"/>
      <c r="G267" s="549"/>
      <c r="H267" s="549"/>
      <c r="I267" s="549"/>
      <c r="J267" s="549"/>
      <c r="K267" s="549"/>
      <c r="L267" s="549"/>
      <c r="M267" s="302"/>
      <c r="N267" s="302"/>
      <c r="R267" s="549"/>
    </row>
    <row r="268" spans="1:18" s="282" customFormat="1" x14ac:dyDescent="0.2">
      <c r="A268" s="549"/>
      <c r="B268" s="549"/>
      <c r="C268" s="549"/>
      <c r="D268" s="279"/>
      <c r="E268" s="549"/>
      <c r="F268" s="549"/>
      <c r="G268" s="549"/>
      <c r="H268" s="549"/>
      <c r="I268" s="549"/>
      <c r="J268" s="549"/>
      <c r="K268" s="549"/>
      <c r="L268" s="549"/>
      <c r="M268" s="302"/>
      <c r="N268" s="302"/>
      <c r="R268" s="549"/>
    </row>
    <row r="269" spans="1:18" s="282" customFormat="1" x14ac:dyDescent="0.2">
      <c r="A269" s="549"/>
      <c r="B269" s="549"/>
      <c r="C269" s="549"/>
      <c r="D269" s="279"/>
      <c r="E269" s="549"/>
      <c r="F269" s="549"/>
      <c r="G269" s="549"/>
      <c r="H269" s="549"/>
      <c r="I269" s="549"/>
      <c r="J269" s="549"/>
      <c r="K269" s="549"/>
      <c r="L269" s="549"/>
      <c r="M269" s="302"/>
      <c r="N269" s="302"/>
      <c r="R269" s="549"/>
    </row>
    <row r="270" spans="1:18" s="282" customFormat="1" x14ac:dyDescent="0.2">
      <c r="A270" s="549"/>
      <c r="B270" s="549"/>
      <c r="C270" s="549"/>
      <c r="D270" s="279"/>
      <c r="E270" s="549"/>
      <c r="F270" s="549"/>
      <c r="G270" s="549"/>
      <c r="H270" s="549"/>
      <c r="I270" s="549"/>
      <c r="J270" s="549"/>
      <c r="K270" s="549"/>
      <c r="L270" s="549"/>
      <c r="M270" s="302"/>
      <c r="N270" s="302"/>
      <c r="R270" s="549"/>
    </row>
    <row r="271" spans="1:18" s="282" customFormat="1" x14ac:dyDescent="0.2">
      <c r="A271" s="549"/>
      <c r="B271" s="549"/>
      <c r="C271" s="549"/>
      <c r="D271" s="279"/>
      <c r="E271" s="549"/>
      <c r="F271" s="549"/>
      <c r="G271" s="549"/>
      <c r="H271" s="549"/>
      <c r="I271" s="549"/>
      <c r="J271" s="549"/>
      <c r="K271" s="549"/>
      <c r="L271" s="549"/>
      <c r="M271" s="302"/>
      <c r="N271" s="302"/>
      <c r="R271" s="549"/>
    </row>
    <row r="272" spans="1:18" s="282" customFormat="1" x14ac:dyDescent="0.2">
      <c r="A272" s="549"/>
      <c r="B272" s="549"/>
      <c r="C272" s="549"/>
      <c r="D272" s="279"/>
      <c r="E272" s="549"/>
      <c r="F272" s="549"/>
      <c r="G272" s="549"/>
      <c r="H272" s="549"/>
      <c r="I272" s="549"/>
      <c r="J272" s="549"/>
      <c r="K272" s="549"/>
      <c r="L272" s="549"/>
      <c r="M272" s="302"/>
      <c r="N272" s="302"/>
      <c r="R272" s="549"/>
    </row>
  </sheetData>
  <customSheetViews>
    <customSheetView guid="{06317133-151B-4DBC-8EB3-9345BA061F91}" scale="80" showPageBreaks="1" fitToPage="1" hiddenColumns="1">
      <pane ySplit="7" topLeftCell="A145" activePane="bottomLeft" state="frozen"/>
      <selection pane="bottomLeft" activeCell="G151" sqref="G151"/>
      <pageMargins left="0.11811023622047245" right="0" top="1.0629921259842521" bottom="0.11811023622047245" header="0.31496062992125984" footer="0.11811023622047245"/>
      <pageSetup paperSize="8" scale="59" fitToHeight="0" orientation="portrait" r:id="rId1"/>
      <headerFooter>
        <oddFooter>&amp;L&amp;A&amp;Rлист &amp;P    листов &amp;N</oddFooter>
      </headerFooter>
    </customSheetView>
    <customSheetView guid="{A1BD6C0C-B1B9-4F48-A6B1-3BFD273F4CD7}" showPageBreaks="1" fitToPage="1" hiddenColumns="1">
      <pane ySplit="7" topLeftCell="A143" activePane="bottomLeft" state="frozen"/>
      <selection pane="bottomLeft" activeCell="Y156" sqref="Y156"/>
      <pageMargins left="0.11811023622047245" right="0" top="1.0629921259842521" bottom="0.11811023622047245" header="0.31496062992125984" footer="0.11811023622047245"/>
      <pageSetup paperSize="8" scale="41" fitToHeight="0" orientation="portrait" r:id="rId2"/>
      <headerFooter>
        <oddFooter>&amp;L&amp;A&amp;Rлист &amp;P    листов &amp;N</oddFooter>
      </headerFooter>
    </customSheetView>
    <customSheetView guid="{D42288F7-1871-4EF6-BC87-1B9EF747C744}" scale="80" fitToPage="1" hiddenColumns="1">
      <pane ySplit="7" topLeftCell="A36" activePane="bottomLeft" state="frozen"/>
      <selection pane="bottomLeft" activeCell="C115" sqref="C115"/>
      <pageMargins left="0.11811023622047245" right="0" top="1.0629921259842521" bottom="0.11811023622047245" header="0.31496062992125984" footer="0.11811023622047245"/>
      <pageSetup paperSize="8" scale="59" fitToHeight="0" orientation="portrait" r:id="rId3"/>
      <headerFooter>
        <oddFooter>&amp;L&amp;A&amp;Rлист &amp;P    листов &amp;N</oddFooter>
      </headerFooter>
    </customSheetView>
    <customSheetView guid="{8C638750-2D78-446E-B8DA-A6202AF1ED31}" showPageBreaks="1" fitToPage="1" printArea="1" hiddenColumns="1">
      <pane ySplit="7" topLeftCell="A124" activePane="bottomLeft" state="frozen"/>
      <selection pane="bottomLeft" activeCell="C77" sqref="C77"/>
      <pageMargins left="0.11811023622047245" right="0" top="1.0629921259842521" bottom="0.11811023622047245" header="0.31496062992125984" footer="0.11811023622047245"/>
      <pageSetup paperSize="8" fitToHeight="0" orientation="portrait" r:id="rId4"/>
      <headerFooter>
        <oddFooter>&amp;L&amp;A&amp;Rлист &amp;P    листов &amp;N</oddFooter>
      </headerFooter>
    </customSheetView>
  </customSheetViews>
  <mergeCells count="18">
    <mergeCell ref="H6:K6"/>
    <mergeCell ref="L6:L7"/>
    <mergeCell ref="M6:M7"/>
    <mergeCell ref="C4:D4"/>
    <mergeCell ref="E4:G4"/>
    <mergeCell ref="F6:F7"/>
    <mergeCell ref="G6:G7"/>
    <mergeCell ref="A6:A7"/>
    <mergeCell ref="B6:B7"/>
    <mergeCell ref="C6:C7"/>
    <mergeCell ref="D6:D7"/>
    <mergeCell ref="E6:E7"/>
    <mergeCell ref="A1:B1"/>
    <mergeCell ref="J1:M1"/>
    <mergeCell ref="A2:B2"/>
    <mergeCell ref="J2:M2"/>
    <mergeCell ref="A3:B3"/>
    <mergeCell ref="J3:M3"/>
  </mergeCells>
  <pageMargins left="0.11811023622047245" right="0" top="1.0629921259842521" bottom="0.11811023622047245" header="0.31496062992125984" footer="0.11811023622047245"/>
  <pageSetup paperSize="8" scale="59" fitToHeight="0" orientation="portrait" r:id="rId5"/>
  <headerFooter>
    <oddFooter>&amp;L&amp;A&amp;Rлист &amp;P    листов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7"/>
  <sheetViews>
    <sheetView zoomScale="50" zoomScaleNormal="50" workbookViewId="0">
      <selection activeCell="F8" sqref="F8"/>
    </sheetView>
  </sheetViews>
  <sheetFormatPr defaultRowHeight="15" x14ac:dyDescent="0.25"/>
  <cols>
    <col min="1" max="1" width="8.85546875" customWidth="1"/>
    <col min="2" max="2" width="14.28515625" customWidth="1"/>
    <col min="3" max="5" width="20.7109375" customWidth="1"/>
    <col min="6" max="6" width="17.5703125" customWidth="1"/>
    <col min="7" max="8" width="20.7109375" customWidth="1"/>
    <col min="9" max="9" width="19" customWidth="1"/>
    <col min="10" max="10" width="18.28515625" customWidth="1"/>
    <col min="11" max="11" width="20.7109375" customWidth="1"/>
    <col min="12" max="12" width="1.7109375" customWidth="1"/>
    <col min="13" max="13" width="15.7109375" customWidth="1"/>
    <col min="14" max="14" width="17.85546875" customWidth="1"/>
    <col min="15" max="15" width="15.7109375" customWidth="1"/>
    <col min="16" max="16" width="1.7109375" customWidth="1"/>
    <col min="17" max="17" width="15.7109375" customWidth="1"/>
  </cols>
  <sheetData>
    <row r="2" spans="2:17" ht="15.75" thickBot="1" x14ac:dyDescent="0.3"/>
    <row r="3" spans="2:17" ht="38.25" thickBot="1" x14ac:dyDescent="0.3">
      <c r="C3" s="176" t="s">
        <v>61</v>
      </c>
      <c r="D3" s="173" t="s">
        <v>66</v>
      </c>
      <c r="E3" s="173" t="s">
        <v>67</v>
      </c>
      <c r="F3" s="173" t="s">
        <v>71</v>
      </c>
      <c r="G3" s="174" t="s">
        <v>68</v>
      </c>
      <c r="H3" s="174" t="s">
        <v>69</v>
      </c>
      <c r="I3" s="174" t="s">
        <v>71</v>
      </c>
      <c r="J3" s="175" t="s">
        <v>107</v>
      </c>
      <c r="K3" s="176" t="s">
        <v>70</v>
      </c>
      <c r="M3" s="178" t="s">
        <v>55</v>
      </c>
      <c r="N3" s="175" t="s">
        <v>108</v>
      </c>
      <c r="O3" s="179" t="s">
        <v>57</v>
      </c>
      <c r="P3" s="210"/>
      <c r="Q3" s="177" t="s">
        <v>56</v>
      </c>
    </row>
    <row r="4" spans="2:17" ht="21" x14ac:dyDescent="0.35">
      <c r="B4" s="167">
        <v>1</v>
      </c>
      <c r="C4" s="160">
        <f>'январь 2019 Эпотос-К'!E100</f>
        <v>4762066.3600000003</v>
      </c>
      <c r="D4" s="80">
        <f>'январь 2019 Эпотос-К'!E98</f>
        <v>1786514.86</v>
      </c>
      <c r="E4" s="77">
        <f>'январь 2019 Эпотос-К'!L98</f>
        <v>2075328.1199999996</v>
      </c>
      <c r="F4" s="122">
        <f t="shared" ref="F4:F9" si="0">E4/D4</f>
        <v>1.1616629486082191</v>
      </c>
      <c r="G4" s="77">
        <f>'январь 2019 Эпотос-К'!E99</f>
        <v>2975551.5</v>
      </c>
      <c r="H4" s="77">
        <f>'январь 2019 Эпотос-К'!L99</f>
        <v>2547709.9899999998</v>
      </c>
      <c r="I4" s="122">
        <f t="shared" ref="I4:I9" si="1">H4/G4</f>
        <v>0.85621438244305292</v>
      </c>
      <c r="J4" s="142">
        <f>SUM('январь 2019'!L46:L57)</f>
        <v>1232935</v>
      </c>
      <c r="K4" s="78">
        <f>'январь 2019 Эпотос-К'!L100</f>
        <v>4623038.1099999994</v>
      </c>
      <c r="M4" s="74">
        <f t="shared" ref="M4:M14" si="2">E4/K4</f>
        <v>0.4489100177458844</v>
      </c>
      <c r="N4" s="146">
        <f t="shared" ref="N4:N14" si="3">J4/K4</f>
        <v>0.26669366997712252</v>
      </c>
      <c r="O4" s="74">
        <f>1-M4-N4</f>
        <v>0.28439631227699302</v>
      </c>
      <c r="P4" s="211"/>
      <c r="Q4" s="76">
        <f>K4/C4</f>
        <v>0.97080505824786512</v>
      </c>
    </row>
    <row r="5" spans="2:17" ht="21" x14ac:dyDescent="0.35">
      <c r="B5" s="168">
        <v>32</v>
      </c>
      <c r="C5" s="161">
        <f>'февраль 2019 Эпотос-К'!E100</f>
        <v>7140923.9299999997</v>
      </c>
      <c r="D5" s="83">
        <f>'февраль 2019 Эпотос-К'!E98</f>
        <v>2437995.9300000002</v>
      </c>
      <c r="E5" s="29">
        <f>'февраль 2019 Эпотос-К'!L98</f>
        <v>2257906.75</v>
      </c>
      <c r="F5" s="234">
        <f t="shared" si="0"/>
        <v>0.92613228849811902</v>
      </c>
      <c r="G5" s="27">
        <f>'февраль 2019 Эпотос-К'!E99</f>
        <v>4702928</v>
      </c>
      <c r="H5" s="27">
        <f>'февраль 2019 Эпотос-К'!L99</f>
        <v>4335470.8</v>
      </c>
      <c r="I5" s="234">
        <f t="shared" si="1"/>
        <v>0.92186629265853104</v>
      </c>
      <c r="J5" s="143">
        <f>SUM('февраль 2019'!L36:L44)</f>
        <v>682380</v>
      </c>
      <c r="K5" s="28">
        <f>'февраль 2019 Эпотос-К'!L100</f>
        <v>6593377.5499999998</v>
      </c>
      <c r="M5" s="74">
        <f t="shared" si="2"/>
        <v>0.34245069888345769</v>
      </c>
      <c r="N5" s="146">
        <f t="shared" si="3"/>
        <v>0.10349475588577511</v>
      </c>
      <c r="O5" s="74">
        <f t="shared" ref="O5:O10" si="4">1-M5-N5</f>
        <v>0.55405454523076725</v>
      </c>
      <c r="P5" s="211"/>
      <c r="Q5" s="76">
        <f t="shared" ref="Q5:Q10" si="5">K5/C5</f>
        <v>0.92332275411873765</v>
      </c>
    </row>
    <row r="6" spans="2:17" ht="21" x14ac:dyDescent="0.35">
      <c r="B6" s="168">
        <v>61</v>
      </c>
      <c r="C6" s="162">
        <f>'март 2019 Эпотос-К'!E97</f>
        <v>8510685.75</v>
      </c>
      <c r="D6" s="82">
        <f>'март 2019 Эпотос-К'!E95</f>
        <v>2530531.4699999997</v>
      </c>
      <c r="E6" s="27">
        <f>'март 2019 Эпотос-К'!L95</f>
        <v>2684708.5899999994</v>
      </c>
      <c r="F6" s="234">
        <f t="shared" si="0"/>
        <v>1.0609267744060102</v>
      </c>
      <c r="G6" s="27">
        <f>'март 2019 Эпотос-К'!E96</f>
        <v>5980154.2800000003</v>
      </c>
      <c r="H6" s="27">
        <f>'март 2019 Эпотос-К'!L96</f>
        <v>3629075.62</v>
      </c>
      <c r="I6" s="234">
        <f t="shared" si="1"/>
        <v>0.60685317636989122</v>
      </c>
      <c r="J6" s="143">
        <f>SUM('март 2019'!L34:L89)</f>
        <v>3260401.5</v>
      </c>
      <c r="K6" s="28">
        <f>'март 2019 Эпотос-К'!L97</f>
        <v>6313784.209999999</v>
      </c>
      <c r="M6" s="74">
        <f t="shared" si="2"/>
        <v>0.42521386552107071</v>
      </c>
      <c r="N6" s="146">
        <f t="shared" si="3"/>
        <v>0.51639419269921494</v>
      </c>
      <c r="O6" s="74">
        <f t="shared" si="4"/>
        <v>5.8391941779714407E-2</v>
      </c>
      <c r="P6" s="211"/>
      <c r="Q6" s="76">
        <f t="shared" si="5"/>
        <v>0.74186550831112508</v>
      </c>
    </row>
    <row r="7" spans="2:17" ht="21" x14ac:dyDescent="0.35">
      <c r="B7" s="168">
        <v>92</v>
      </c>
      <c r="C7" s="162">
        <f>'апрель 2019 Эпотос-К'!E97</f>
        <v>7488873.6400000006</v>
      </c>
      <c r="D7" s="82">
        <f>'апрель 2019 Эпотос-К'!E95</f>
        <v>2743084.64</v>
      </c>
      <c r="E7" s="27">
        <f>'апрель 2019 Эпотос-К'!L95</f>
        <v>2551197.6800000002</v>
      </c>
      <c r="F7" s="234">
        <f t="shared" si="0"/>
        <v>0.93004701451720428</v>
      </c>
      <c r="G7" s="27">
        <f>'апрель 2019 Эпотос-К'!E96</f>
        <v>4745789</v>
      </c>
      <c r="H7" s="27">
        <f>'апрель 2019 Эпотос-К'!L96</f>
        <v>3407629.4800000004</v>
      </c>
      <c r="I7" s="234">
        <f t="shared" si="1"/>
        <v>0.71803223447144415</v>
      </c>
      <c r="J7" s="143">
        <f>SUM('апрель 2019'!L34:L82)</f>
        <v>622314.5</v>
      </c>
      <c r="K7" s="28">
        <f>'апрель 2019 Эпотос-К'!L97</f>
        <v>5958827.1600000001</v>
      </c>
      <c r="M7" s="74">
        <f t="shared" si="2"/>
        <v>0.4281375531623911</v>
      </c>
      <c r="N7" s="146">
        <f t="shared" si="3"/>
        <v>0.10443573597459403</v>
      </c>
      <c r="O7" s="74">
        <f t="shared" si="4"/>
        <v>0.46742671086301485</v>
      </c>
      <c r="P7" s="211"/>
      <c r="Q7" s="76">
        <f t="shared" si="5"/>
        <v>0.79569070683371812</v>
      </c>
    </row>
    <row r="8" spans="2:17" ht="21" x14ac:dyDescent="0.35">
      <c r="B8" s="168">
        <v>122</v>
      </c>
      <c r="C8" s="162">
        <f>'май 2019 Эпотос-К'!E97</f>
        <v>5695548.7400000002</v>
      </c>
      <c r="D8" s="82">
        <f>'май 2019 Эпотос-К'!E95</f>
        <v>1974138.2</v>
      </c>
      <c r="E8" s="27">
        <f>'май 2019 Эпотос-К'!L95</f>
        <v>2364301.25</v>
      </c>
      <c r="F8" s="234">
        <f t="shared" si="0"/>
        <v>1.1976371512389559</v>
      </c>
      <c r="G8" s="27">
        <f>'май 2019 Эпотос-К'!E96</f>
        <v>3721410.54</v>
      </c>
      <c r="H8" s="27">
        <f>'май 2019 Эпотос-К'!L96</f>
        <v>1400754.04</v>
      </c>
      <c r="I8" s="234">
        <f t="shared" si="1"/>
        <v>0.37640406102574214</v>
      </c>
      <c r="J8" s="143">
        <f>SUM('май 2019'!L33:L60)</f>
        <v>364236.5</v>
      </c>
      <c r="K8" s="28">
        <f>'май 2019 Эпотос-К'!L97</f>
        <v>3765055.29</v>
      </c>
      <c r="M8" s="75">
        <f t="shared" si="2"/>
        <v>0.62795923775132656</v>
      </c>
      <c r="N8" s="146">
        <f t="shared" si="3"/>
        <v>9.6741341612542428E-2</v>
      </c>
      <c r="O8" s="75">
        <f t="shared" si="4"/>
        <v>0.275299420636131</v>
      </c>
      <c r="P8" s="209"/>
      <c r="Q8" s="75">
        <f t="shared" si="5"/>
        <v>0.66105224656544681</v>
      </c>
    </row>
    <row r="9" spans="2:17" ht="21" x14ac:dyDescent="0.35">
      <c r="B9" s="168">
        <v>153</v>
      </c>
      <c r="C9" s="162">
        <f>'июнь 2019 Эпотос-К'!E97</f>
        <v>6220504.0500000007</v>
      </c>
      <c r="D9" s="82">
        <f>'июнь 2019 Эпотос-К'!E95</f>
        <v>1905228.35</v>
      </c>
      <c r="E9" s="27">
        <f>'июнь 2019 Эпотос-К'!L95</f>
        <v>777382</v>
      </c>
      <c r="F9" s="234">
        <f t="shared" si="0"/>
        <v>0.40802563115334706</v>
      </c>
      <c r="G9" s="27">
        <f>'июнь 2019 Эпотос-К'!E96</f>
        <v>4315275.7</v>
      </c>
      <c r="H9" s="27">
        <f>'июнь 2019 Эпотос-К'!L96</f>
        <v>112525.2</v>
      </c>
      <c r="I9" s="234">
        <f t="shared" si="1"/>
        <v>2.6076016417676394E-2</v>
      </c>
      <c r="J9" s="143">
        <f>SUM('июнь 2019'!L37:L52)</f>
        <v>0</v>
      </c>
      <c r="K9" s="28">
        <f>'июнь 2019 Эпотос-К'!L97</f>
        <v>889907.19999999995</v>
      </c>
      <c r="M9" s="75">
        <f t="shared" si="2"/>
        <v>0.87355400653011916</v>
      </c>
      <c r="N9" s="146">
        <f t="shared" si="3"/>
        <v>0</v>
      </c>
      <c r="O9" s="75">
        <f t="shared" si="4"/>
        <v>0.12644599346988084</v>
      </c>
      <c r="P9" s="209"/>
      <c r="Q9" s="75">
        <f t="shared" si="5"/>
        <v>0.14306030393147962</v>
      </c>
    </row>
    <row r="10" spans="2:17" ht="21" x14ac:dyDescent="0.35">
      <c r="B10" s="168">
        <v>183</v>
      </c>
      <c r="C10" s="162"/>
      <c r="D10" s="82"/>
      <c r="E10" s="27"/>
      <c r="F10" s="234"/>
      <c r="G10" s="27"/>
      <c r="H10" s="27"/>
      <c r="I10" s="234"/>
      <c r="J10" s="143"/>
      <c r="K10" s="28"/>
      <c r="M10" s="75" t="e">
        <f t="shared" si="2"/>
        <v>#DIV/0!</v>
      </c>
      <c r="N10" s="146" t="e">
        <f t="shared" si="3"/>
        <v>#DIV/0!</v>
      </c>
      <c r="O10" s="75" t="e">
        <f t="shared" si="4"/>
        <v>#DIV/0!</v>
      </c>
      <c r="P10" s="209"/>
      <c r="Q10" s="75" t="e">
        <f t="shared" si="5"/>
        <v>#DIV/0!</v>
      </c>
    </row>
    <row r="11" spans="2:17" ht="21" x14ac:dyDescent="0.35">
      <c r="B11" s="168">
        <v>214</v>
      </c>
      <c r="C11" s="162"/>
      <c r="D11" s="82"/>
      <c r="E11" s="27"/>
      <c r="F11" s="234"/>
      <c r="G11" s="27"/>
      <c r="H11" s="27"/>
      <c r="I11" s="234"/>
      <c r="J11" s="143"/>
      <c r="K11" s="28"/>
      <c r="M11" s="75" t="e">
        <f t="shared" si="2"/>
        <v>#DIV/0!</v>
      </c>
      <c r="N11" s="146" t="e">
        <f t="shared" si="3"/>
        <v>#DIV/0!</v>
      </c>
      <c r="O11" s="75" t="e">
        <f>1-M11-N11</f>
        <v>#DIV/0!</v>
      </c>
      <c r="P11" s="209"/>
      <c r="Q11" s="75" t="e">
        <f>K11/C11</f>
        <v>#DIV/0!</v>
      </c>
    </row>
    <row r="12" spans="2:17" ht="21" x14ac:dyDescent="0.35">
      <c r="B12" s="168">
        <v>245</v>
      </c>
      <c r="C12" s="162"/>
      <c r="D12" s="82"/>
      <c r="E12" s="27"/>
      <c r="F12" s="234"/>
      <c r="G12" s="27"/>
      <c r="H12" s="27"/>
      <c r="I12" s="234"/>
      <c r="J12" s="143"/>
      <c r="K12" s="28"/>
      <c r="M12" s="75" t="e">
        <f t="shared" si="2"/>
        <v>#DIV/0!</v>
      </c>
      <c r="N12" s="146" t="e">
        <f t="shared" si="3"/>
        <v>#DIV/0!</v>
      </c>
      <c r="O12" s="75" t="e">
        <f>1-M12-N12</f>
        <v>#DIV/0!</v>
      </c>
      <c r="P12" s="209"/>
      <c r="Q12" s="75" t="e">
        <f>K12/C12</f>
        <v>#DIV/0!</v>
      </c>
    </row>
    <row r="13" spans="2:17" ht="21" x14ac:dyDescent="0.35">
      <c r="B13" s="168">
        <v>275</v>
      </c>
      <c r="C13" s="162"/>
      <c r="D13" s="82"/>
      <c r="E13" s="27"/>
      <c r="F13" s="234"/>
      <c r="G13" s="27"/>
      <c r="H13" s="27"/>
      <c r="I13" s="234"/>
      <c r="J13" s="143"/>
      <c r="K13" s="28"/>
      <c r="M13" s="75" t="e">
        <f t="shared" si="2"/>
        <v>#DIV/0!</v>
      </c>
      <c r="N13" s="146" t="e">
        <f t="shared" si="3"/>
        <v>#DIV/0!</v>
      </c>
      <c r="O13" s="75" t="e">
        <f>1-M13-N13</f>
        <v>#DIV/0!</v>
      </c>
      <c r="P13" s="209"/>
      <c r="Q13" s="75" t="e">
        <f>K13/C13</f>
        <v>#DIV/0!</v>
      </c>
    </row>
    <row r="14" spans="2:17" ht="21" x14ac:dyDescent="0.35">
      <c r="B14" s="168">
        <v>306</v>
      </c>
      <c r="C14" s="162"/>
      <c r="D14" s="82"/>
      <c r="E14" s="27"/>
      <c r="F14" s="234"/>
      <c r="G14" s="27"/>
      <c r="H14" s="27"/>
      <c r="I14" s="234"/>
      <c r="J14" s="143"/>
      <c r="K14" s="28"/>
      <c r="M14" s="75" t="e">
        <f t="shared" si="2"/>
        <v>#DIV/0!</v>
      </c>
      <c r="N14" s="146" t="e">
        <f t="shared" si="3"/>
        <v>#DIV/0!</v>
      </c>
      <c r="O14" s="75" t="e">
        <f>1-M14-N14</f>
        <v>#DIV/0!</v>
      </c>
      <c r="P14" s="209"/>
      <c r="Q14" s="75" t="e">
        <f>K14/C14</f>
        <v>#DIV/0!</v>
      </c>
    </row>
    <row r="15" spans="2:17" ht="21.75" thickBot="1" x14ac:dyDescent="0.4">
      <c r="B15" s="169">
        <v>336</v>
      </c>
      <c r="C15" s="163"/>
      <c r="D15" s="164"/>
      <c r="E15" s="165"/>
      <c r="F15" s="234"/>
      <c r="G15" s="165"/>
      <c r="H15" s="165"/>
      <c r="I15" s="234"/>
      <c r="J15" s="143"/>
      <c r="K15" s="166"/>
      <c r="M15" s="75" t="e">
        <f>E15/K15</f>
        <v>#DIV/0!</v>
      </c>
      <c r="N15" s="146" t="e">
        <f>J15/K15</f>
        <v>#DIV/0!</v>
      </c>
      <c r="O15" s="75" t="e">
        <f>1-M15-N15</f>
        <v>#DIV/0!</v>
      </c>
      <c r="P15" s="209"/>
      <c r="Q15" s="75" t="e">
        <f>K15/C15</f>
        <v>#DIV/0!</v>
      </c>
    </row>
    <row r="16" spans="2:17" ht="21.75" thickBot="1" x14ac:dyDescent="0.4">
      <c r="B16" s="113" t="s">
        <v>72</v>
      </c>
      <c r="C16" s="114">
        <f>SUM(C4:C15)</f>
        <v>39818602.469999999</v>
      </c>
      <c r="D16" s="114">
        <f>SUM(D4:D15)</f>
        <v>13377493.449999999</v>
      </c>
      <c r="E16" s="114">
        <f>SUM(E4:E15)</f>
        <v>12710824.389999999</v>
      </c>
      <c r="F16" s="120">
        <f>AVERAGEIF(F4:F15,"&gt;0")</f>
        <v>0.94740530140364243</v>
      </c>
      <c r="G16" s="114">
        <f>SUM(G4:G15)</f>
        <v>26441109.02</v>
      </c>
      <c r="H16" s="114">
        <f>SUM(H4:H15)</f>
        <v>15433165.129999999</v>
      </c>
      <c r="I16" s="120">
        <f>AVERAGEIF(I4:I15,"&gt;0")</f>
        <v>0.58424102723105631</v>
      </c>
      <c r="J16" s="147">
        <f>SUM(J4:J15)</f>
        <v>6162267.5</v>
      </c>
      <c r="K16" s="115">
        <f>SUM(K4:K15)</f>
        <v>28143989.519999996</v>
      </c>
      <c r="M16" s="145"/>
      <c r="N16" s="144"/>
    </row>
    <row r="17" spans="2:17" ht="15.75" thickBot="1" x14ac:dyDescent="0.3"/>
    <row r="18" spans="2:17" ht="21.75" thickBot="1" x14ac:dyDescent="0.3">
      <c r="B18" s="219" t="s">
        <v>110</v>
      </c>
      <c r="C18" s="172">
        <f>AVERAGEIF(C4:C15,"&gt;0")</f>
        <v>6636433.7450000001</v>
      </c>
      <c r="D18" s="217">
        <f>AVERAGEIF(D4:D15,"&gt;0")</f>
        <v>2229582.2416666667</v>
      </c>
      <c r="E18" s="172">
        <f t="shared" ref="E18:J18" si="6">AVERAGEIF(E4:E15,"&gt;0")</f>
        <v>2118470.7316666665</v>
      </c>
      <c r="F18" s="218">
        <f>AVERAGEIF(F4:F15,"&gt;0")</f>
        <v>0.94740530140364243</v>
      </c>
      <c r="G18" s="217">
        <f>AVERAGEIF(G4:G15,"&gt;0")</f>
        <v>4406851.5033333329</v>
      </c>
      <c r="H18" s="185">
        <f t="shared" si="6"/>
        <v>2572194.188333333</v>
      </c>
      <c r="I18" s="218">
        <f>AVERAGEIF(I4:I15,"&gt;0")</f>
        <v>0.58424102723105631</v>
      </c>
      <c r="J18" s="172">
        <f t="shared" si="6"/>
        <v>1232453.5</v>
      </c>
      <c r="K18" s="217">
        <f>AVERAGEIF(K4:K15,"&gt;0")</f>
        <v>4690664.919999999</v>
      </c>
    </row>
    <row r="19" spans="2:17" ht="15.75" thickBot="1" x14ac:dyDescent="0.3"/>
    <row r="20" spans="2:17" ht="21.75" thickBot="1" x14ac:dyDescent="0.4">
      <c r="I20" s="116" t="s">
        <v>110</v>
      </c>
      <c r="J20" s="170" t="s">
        <v>517</v>
      </c>
      <c r="K20" s="105">
        <f>AVERAGEIF(K4:K15,"&gt;0")</f>
        <v>4690664.919999999</v>
      </c>
      <c r="M20" s="201">
        <f>AVERAGEIF(M4:M15,"&gt;0")</f>
        <v>0.52437089659904157</v>
      </c>
      <c r="N20" s="201">
        <f>AVERAGEIF(N4:N15,"&gt;0")</f>
        <v>0.21755193922984981</v>
      </c>
      <c r="O20" s="201">
        <f>AVERAGEIF(O4:O15,"&gt;0")</f>
        <v>0.29433582070941688</v>
      </c>
      <c r="P20" s="212"/>
      <c r="Q20" s="201">
        <f>AVERAGEIF(Q4:Q15,"&gt;0")</f>
        <v>0.70596609633472873</v>
      </c>
    </row>
    <row r="21" spans="2:17" ht="15.75" thickBot="1" x14ac:dyDescent="0.3">
      <c r="P21" s="213"/>
    </row>
    <row r="22" spans="2:17" ht="21.75" thickBot="1" x14ac:dyDescent="0.4">
      <c r="I22" s="116" t="s">
        <v>110</v>
      </c>
      <c r="J22" s="220" t="s">
        <v>126</v>
      </c>
      <c r="K22" s="121">
        <f>'обзор 2018'!K20</f>
        <v>5967668.2458800003</v>
      </c>
      <c r="M22" s="202">
        <f>'обзор 2018'!M20</f>
        <v>0.52091676661164177</v>
      </c>
      <c r="N22" s="202">
        <f>'обзор 2018'!N20</f>
        <v>0.25110395082334552</v>
      </c>
      <c r="O22" s="202">
        <f>'обзор 2018'!O20</f>
        <v>0.2279792825650129</v>
      </c>
      <c r="P22" s="202">
        <f>'обзор 2018'!P20</f>
        <v>0</v>
      </c>
      <c r="Q22" s="202">
        <f>'обзор 2018'!Q20</f>
        <v>0.80131285515713035</v>
      </c>
    </row>
    <row r="23" spans="2:17" ht="21.75" thickBot="1" x14ac:dyDescent="0.4">
      <c r="I23" s="203"/>
      <c r="J23" s="207"/>
      <c r="K23" s="204"/>
      <c r="M23" s="205"/>
      <c r="N23" s="205"/>
      <c r="O23" s="205"/>
      <c r="P23" s="206"/>
      <c r="Q23" s="205"/>
    </row>
    <row r="24" spans="2:17" ht="21.75" thickBot="1" x14ac:dyDescent="0.4">
      <c r="B24" s="220" t="s">
        <v>126</v>
      </c>
      <c r="C24" s="114">
        <f>'обзор 2018'!C18</f>
        <v>7534624.8050466664</v>
      </c>
      <c r="D24" s="114">
        <f>'обзор 2018'!D18</f>
        <v>3279962.4408800001</v>
      </c>
      <c r="E24" s="114">
        <f>'обзор 2018'!E18</f>
        <v>2979766.4867133335</v>
      </c>
      <c r="F24" s="221">
        <f>'обзор 2018'!F18</f>
        <v>0.94607711968047914</v>
      </c>
      <c r="G24" s="114">
        <f>'обзор 2018'!G18</f>
        <v>4254662.3641666668</v>
      </c>
      <c r="H24" s="114">
        <f>'обзор 2018'!H18</f>
        <v>2987901.7591666668</v>
      </c>
      <c r="I24" s="221">
        <f>'обзор 2018'!I18</f>
        <v>0.70205624148820023</v>
      </c>
      <c r="J24" s="114">
        <f>'обзор 2018'!J18</f>
        <v>1657901.2083333333</v>
      </c>
      <c r="K24" s="114">
        <f>'обзор 2018'!K18</f>
        <v>5967668.2458800003</v>
      </c>
    </row>
    <row r="25" spans="2:17" x14ac:dyDescent="0.25">
      <c r="M25" s="200"/>
    </row>
    <row r="27" spans="2:17" x14ac:dyDescent="0.25">
      <c r="E27" s="199"/>
    </row>
  </sheetData>
  <customSheetViews>
    <customSheetView guid="{06317133-151B-4DBC-8EB3-9345BA061F91}" scale="50" showPageBreaks="1" printArea="1">
      <selection activeCell="F8" sqref="F8"/>
      <pageMargins left="0.7" right="0.7" top="0.75" bottom="0.75" header="0.3" footer="0.3"/>
      <pageSetup paperSize="9" orientation="portrait" r:id="rId1"/>
    </customSheetView>
    <customSheetView guid="{375BA386-B398-4A0E-AF86-4319F1FDDF11}" scale="90" showPageBreaks="1" topLeftCell="A16">
      <selection activeCell="J7" sqref="J7"/>
      <pageMargins left="0.7" right="0.7" top="0.75" bottom="0.75" header="0.3" footer="0.3"/>
      <pageSetup paperSize="9" orientation="portrait" r:id="rId2"/>
    </customSheetView>
    <customSheetView guid="{45C31AC1-6FB2-488C-94EA-BCF9E79D0043}" scale="70" showPageBreaks="1" printArea="1" topLeftCell="A13">
      <selection activeCell="H13" sqref="H13"/>
      <pageMargins left="0.7" right="0.7" top="0.75" bottom="0.75" header="0.3" footer="0.3"/>
      <pageSetup paperSize="9" orientation="portrait" r:id="rId3"/>
    </customSheetView>
    <customSheetView guid="{368B64E8-7AD6-4BC7-A731-9903B52ABB0C}" scale="70" topLeftCell="A13">
      <selection activeCell="H13" sqref="H13"/>
      <pageMargins left="0.7" right="0.7" top="0.75" bottom="0.75" header="0.3" footer="0.3"/>
      <pageSetup paperSize="9" orientation="portrait" r:id="rId4"/>
    </customSheetView>
    <customSheetView guid="{1168776E-3CE1-4C5E-BCD8-35079C55D78E}" scale="70" topLeftCell="A13">
      <selection activeCell="H13" sqref="H13"/>
      <pageMargins left="0.7" right="0.7" top="0.75" bottom="0.75" header="0.3" footer="0.3"/>
      <pageSetup paperSize="9" orientation="portrait" r:id="rId5"/>
    </customSheetView>
    <customSheetView guid="{845EA106-2CB5-4F86-BBCF-D0DE18153B1C}" scale="70" showPageBreaks="1" printArea="1" topLeftCell="A13">
      <selection activeCell="H13" sqref="H13"/>
      <pageMargins left="0.7" right="0.7" top="0.75" bottom="0.75" header="0.3" footer="0.3"/>
      <pageSetup paperSize="9" orientation="portrait" r:id="rId6"/>
    </customSheetView>
    <customSheetView guid="{C29DA669-F4F9-44CD-9569-E796ADF74A86}" scale="70" showPageBreaks="1" printArea="1" topLeftCell="A13">
      <selection activeCell="H13" sqref="H13"/>
      <pageMargins left="0.7" right="0.7" top="0.75" bottom="0.75" header="0.3" footer="0.3"/>
      <pageSetup paperSize="9" orientation="portrait" r:id="rId7"/>
    </customSheetView>
    <customSheetView guid="{A1BD6C0C-B1B9-4F48-A6B1-3BFD273F4CD7}" scale="90" showPageBreaks="1" topLeftCell="A25">
      <selection activeCell="K10" sqref="K10"/>
      <pageMargins left="0.7" right="0.7" top="0.75" bottom="0.75" header="0.3" footer="0.3"/>
      <pageSetup paperSize="9" orientation="portrait" r:id="rId8"/>
    </customSheetView>
    <customSheetView guid="{D42288F7-1871-4EF6-BC87-1B9EF747C744}" scale="60">
      <selection activeCell="F8" sqref="F8"/>
      <pageMargins left="0.7" right="0.7" top="0.75" bottom="0.75" header="0.3" footer="0.3"/>
      <pageSetup paperSize="9" orientation="portrait" r:id="rId9"/>
    </customSheetView>
    <customSheetView guid="{8C638750-2D78-446E-B8DA-A6202AF1ED31}" scale="70" showPageBreaks="1" printArea="1" topLeftCell="A13">
      <selection activeCell="H13" sqref="H13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drawing r:id="rId1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7"/>
  <sheetViews>
    <sheetView topLeftCell="A10" zoomScale="60" zoomScaleNormal="80" workbookViewId="0">
      <selection activeCell="O30" sqref="O30"/>
    </sheetView>
  </sheetViews>
  <sheetFormatPr defaultRowHeight="15" x14ac:dyDescent="0.25"/>
  <cols>
    <col min="1" max="1" width="8.85546875" customWidth="1"/>
    <col min="2" max="2" width="14.28515625" customWidth="1"/>
    <col min="3" max="5" width="20.7109375" customWidth="1"/>
    <col min="6" max="6" width="17.5703125" customWidth="1"/>
    <col min="7" max="8" width="20.7109375" customWidth="1"/>
    <col min="9" max="9" width="19" customWidth="1"/>
    <col min="10" max="10" width="18.28515625" customWidth="1"/>
    <col min="11" max="11" width="20.7109375" customWidth="1"/>
    <col min="12" max="12" width="1.7109375" customWidth="1"/>
    <col min="13" max="13" width="15.7109375" customWidth="1"/>
    <col min="14" max="14" width="17.85546875" customWidth="1"/>
    <col min="15" max="15" width="15.7109375" customWidth="1"/>
    <col min="16" max="16" width="1.7109375" customWidth="1"/>
    <col min="17" max="17" width="15.7109375" customWidth="1"/>
  </cols>
  <sheetData>
    <row r="2" spans="2:17" ht="15.75" thickBot="1" x14ac:dyDescent="0.3"/>
    <row r="3" spans="2:17" ht="38.25" thickBot="1" x14ac:dyDescent="0.3">
      <c r="C3" s="176" t="s">
        <v>61</v>
      </c>
      <c r="D3" s="173" t="s">
        <v>66</v>
      </c>
      <c r="E3" s="173" t="s">
        <v>67</v>
      </c>
      <c r="F3" s="173" t="s">
        <v>71</v>
      </c>
      <c r="G3" s="174" t="s">
        <v>68</v>
      </c>
      <c r="H3" s="174" t="s">
        <v>69</v>
      </c>
      <c r="I3" s="174" t="s">
        <v>71</v>
      </c>
      <c r="J3" s="175" t="s">
        <v>107</v>
      </c>
      <c r="K3" s="176" t="s">
        <v>70</v>
      </c>
      <c r="M3" s="178" t="s">
        <v>55</v>
      </c>
      <c r="N3" s="175" t="s">
        <v>108</v>
      </c>
      <c r="O3" s="179" t="s">
        <v>57</v>
      </c>
      <c r="P3" s="210"/>
      <c r="Q3" s="222" t="s">
        <v>56</v>
      </c>
    </row>
    <row r="4" spans="2:17" ht="21" x14ac:dyDescent="0.35">
      <c r="B4" s="167">
        <v>1</v>
      </c>
      <c r="C4" s="223">
        <f>'[1]январь 2018 Эпотос-К'!E87</f>
        <v>4171346</v>
      </c>
      <c r="D4" s="77">
        <f>'[1]январь 2018 Эпотос-К'!E85</f>
        <v>2767960.5</v>
      </c>
      <c r="E4" s="77">
        <f>'[1]январь 2018 Эпотос-К'!L85</f>
        <v>2828469</v>
      </c>
      <c r="F4" s="122">
        <f>E4/D4</f>
        <v>1.0218603191772426</v>
      </c>
      <c r="G4" s="77">
        <f>'[1]январь 2018 Эпотос-К'!E86</f>
        <v>1403385.5</v>
      </c>
      <c r="H4" s="77">
        <f>'[1]январь 2018 Эпотос-К'!L86</f>
        <v>765934.5</v>
      </c>
      <c r="I4" s="122">
        <f>H4/G4</f>
        <v>0.54577626746179153</v>
      </c>
      <c r="J4" s="27">
        <f>'[1]обзор 2018'!$J$4</f>
        <v>558873.5</v>
      </c>
      <c r="K4" s="78">
        <f>'[1]январь 2018 Эпотос-К'!L87</f>
        <v>3594403.5</v>
      </c>
      <c r="M4" s="74">
        <f t="shared" ref="M4:M14" si="0">E4/K4</f>
        <v>0.78690914918149846</v>
      </c>
      <c r="N4" s="146">
        <f t="shared" ref="N4:N14" si="1">J4/K4</f>
        <v>0.15548435227152432</v>
      </c>
      <c r="O4" s="74">
        <f>1-M4-N4</f>
        <v>5.7606498546977219E-2</v>
      </c>
      <c r="P4" s="211"/>
      <c r="Q4" s="74">
        <f>K4/C4</f>
        <v>0.86168912864097102</v>
      </c>
    </row>
    <row r="5" spans="2:17" ht="21" x14ac:dyDescent="0.35">
      <c r="B5" s="168">
        <v>32</v>
      </c>
      <c r="C5" s="224">
        <f>'[1]февраль 2018 Эпотос-К'!E90</f>
        <v>8567459.5</v>
      </c>
      <c r="D5" s="29">
        <f>'[1]февраль 2018 Эпотос-К'!E88</f>
        <v>3082338.5</v>
      </c>
      <c r="E5" s="29">
        <f>'[1]февраль 2018 Эпотос-К'!L88</f>
        <v>2756429.1999999997</v>
      </c>
      <c r="F5" s="234">
        <f>E5/D5</f>
        <v>0.89426557141598817</v>
      </c>
      <c r="G5" s="27">
        <f>'[1]февраль 2018 Эпотос-К'!E89</f>
        <v>5485121</v>
      </c>
      <c r="H5" s="27">
        <f>'[1]февраль 2018 Эпотос-К'!L89</f>
        <v>1571558.98</v>
      </c>
      <c r="I5" s="234">
        <f>H5/G5</f>
        <v>0.28651309241856288</v>
      </c>
      <c r="J5" s="27">
        <f>'[1]обзор 2018'!$J$5</f>
        <v>1102994.5</v>
      </c>
      <c r="K5" s="28">
        <f>'[1]февраль 2018 Эпотос-К'!L90</f>
        <v>4327988.18</v>
      </c>
      <c r="M5" s="74">
        <f t="shared" si="0"/>
        <v>0.63688464139936718</v>
      </c>
      <c r="N5" s="146">
        <f t="shared" si="1"/>
        <v>0.25485155091158312</v>
      </c>
      <c r="O5" s="74">
        <f t="shared" ref="O5:O10" si="2">1-M5-N5</f>
        <v>0.1082638076890497</v>
      </c>
      <c r="P5" s="211"/>
      <c r="Q5" s="74">
        <f t="shared" ref="Q5:Q10" si="3">K5/C5</f>
        <v>0.50516587560174631</v>
      </c>
    </row>
    <row r="6" spans="2:17" ht="21" x14ac:dyDescent="0.35">
      <c r="B6" s="168">
        <v>61</v>
      </c>
      <c r="C6" s="225">
        <f>'[1]март 2018 Эпотос-К'!E90</f>
        <v>8286608.5350400005</v>
      </c>
      <c r="D6" s="27">
        <f>'[1]март 2018 Эпотос-К'!E88</f>
        <v>3691282.03504</v>
      </c>
      <c r="E6" s="27">
        <f>'[1]март 2018 Эпотос-К'!L88</f>
        <v>3229724.4850399997</v>
      </c>
      <c r="F6" s="234">
        <f>E6/D6</f>
        <v>0.87496009635172767</v>
      </c>
      <c r="G6" s="27">
        <f>'[1]март 2018 Эпотос-К'!E89</f>
        <v>4595326.5</v>
      </c>
      <c r="H6" s="27">
        <f>'[1]март 2018 Эпотос-К'!L89</f>
        <v>4176771</v>
      </c>
      <c r="I6" s="234">
        <f>H6/G6</f>
        <v>0.90891713570297994</v>
      </c>
      <c r="J6" s="27">
        <f>'[1]обзор 2018'!$J$6</f>
        <v>3370118</v>
      </c>
      <c r="K6" s="28">
        <f>'[1]март 2018 Эпотос-К'!L90</f>
        <v>7406495.4850399997</v>
      </c>
      <c r="M6" s="74">
        <f t="shared" si="0"/>
        <v>0.43606648941642567</v>
      </c>
      <c r="N6" s="146">
        <f t="shared" si="1"/>
        <v>0.45502194753336833</v>
      </c>
      <c r="O6" s="74">
        <f t="shared" si="2"/>
        <v>0.108911563050206</v>
      </c>
      <c r="P6" s="211"/>
      <c r="Q6" s="74">
        <f t="shared" si="3"/>
        <v>0.89379092227194823</v>
      </c>
    </row>
    <row r="7" spans="2:17" ht="21" x14ac:dyDescent="0.35">
      <c r="B7" s="168">
        <v>92</v>
      </c>
      <c r="C7" s="225">
        <f>'[1]апрель 2018 Эпотос-К'!E88</f>
        <v>10432361.095520001</v>
      </c>
      <c r="D7" s="27">
        <f>'[1]апрель 2018 Эпотос-К'!E86</f>
        <v>2605388.09552</v>
      </c>
      <c r="E7" s="27">
        <f>'[1]апрель 2018 Эпотос-К'!L86</f>
        <v>2447623.09552</v>
      </c>
      <c r="F7" s="234">
        <f>E7/D7</f>
        <v>0.93944664126189914</v>
      </c>
      <c r="G7" s="27">
        <f>'[1]апрель 2018 Эпотос-К'!E87</f>
        <v>7826973</v>
      </c>
      <c r="H7" s="27">
        <f>'[1]апрель 2018 Эпотос-К'!L87</f>
        <v>6205825.5</v>
      </c>
      <c r="I7" s="234">
        <f t="shared" ref="I7:I15" si="4">H7/G7</f>
        <v>0.79287682479548605</v>
      </c>
      <c r="J7" s="27">
        <f>'[1]обзор 2018'!$J$7</f>
        <v>5421586.5</v>
      </c>
      <c r="K7" s="28">
        <f>'[1]апрель 2018 Эпотос-К'!L88</f>
        <v>8653448.5955200009</v>
      </c>
      <c r="M7" s="74">
        <f t="shared" si="0"/>
        <v>0.28284944071744589</v>
      </c>
      <c r="N7" s="146">
        <f t="shared" si="1"/>
        <v>0.62652322252273196</v>
      </c>
      <c r="O7" s="74">
        <f t="shared" si="2"/>
        <v>9.0627336759822152E-2</v>
      </c>
      <c r="P7" s="211"/>
      <c r="Q7" s="74">
        <f t="shared" si="3"/>
        <v>0.82948131456416674</v>
      </c>
    </row>
    <row r="8" spans="2:17" ht="21" x14ac:dyDescent="0.35">
      <c r="B8" s="168">
        <v>122</v>
      </c>
      <c r="C8" s="225">
        <f>'[1]май 2018 Эпотос-К'!E88</f>
        <v>6941492.0999999996</v>
      </c>
      <c r="D8" s="27">
        <f>'[1]май 2018 Эпотос-К'!E86</f>
        <v>2991882.1</v>
      </c>
      <c r="E8" s="27">
        <f>'[1]май 2018 Эпотос-К'!L86</f>
        <v>2889005.5</v>
      </c>
      <c r="F8" s="234">
        <f t="shared" ref="F8:F15" si="5">E8/D8</f>
        <v>0.96561475467231805</v>
      </c>
      <c r="G8" s="27">
        <f>'[1]май 2018 Эпотос-К'!E87</f>
        <v>3949610</v>
      </c>
      <c r="H8" s="27">
        <f>'[1]май 2018 Эпотос-К'!L87</f>
        <v>2133662</v>
      </c>
      <c r="I8" s="234">
        <f t="shared" si="4"/>
        <v>0.54022093320606335</v>
      </c>
      <c r="J8" s="27">
        <f>'[1]обзор 2018'!$J$8</f>
        <v>1663540</v>
      </c>
      <c r="K8" s="28">
        <f>'[1]май 2018 Эпотос-К'!L88</f>
        <v>5022667.5</v>
      </c>
      <c r="M8" s="75">
        <f t="shared" si="0"/>
        <v>0.57519346044706321</v>
      </c>
      <c r="N8" s="146">
        <f t="shared" si="1"/>
        <v>0.33120647544357656</v>
      </c>
      <c r="O8" s="75">
        <f t="shared" si="2"/>
        <v>9.3600064109360226E-2</v>
      </c>
      <c r="P8" s="209"/>
      <c r="Q8" s="75">
        <f t="shared" si="3"/>
        <v>0.72357173755193072</v>
      </c>
    </row>
    <row r="9" spans="2:17" ht="21" x14ac:dyDescent="0.35">
      <c r="B9" s="168">
        <v>153</v>
      </c>
      <c r="C9" s="225">
        <f>'[1]июнь 2018 Эпотос-К'!E86</f>
        <v>7745716.5</v>
      </c>
      <c r="D9" s="27">
        <f>'[1]июнь 2018 Эпотос-К'!E84</f>
        <v>3150157.5</v>
      </c>
      <c r="E9" s="27">
        <f>'[1]июнь 2018 Эпотос-К'!L84</f>
        <v>3006067</v>
      </c>
      <c r="F9" s="234">
        <f t="shared" si="5"/>
        <v>0.9542592711634259</v>
      </c>
      <c r="G9" s="27">
        <f>'[1]июнь 2018 Эпотос-К'!E85</f>
        <v>4595559</v>
      </c>
      <c r="H9" s="27">
        <f>'[1]июнь 2018 Эпотос-К'!L85</f>
        <v>3756600.5</v>
      </c>
      <c r="I9" s="234">
        <f t="shared" si="4"/>
        <v>0.8174414690356494</v>
      </c>
      <c r="J9" s="27">
        <f>'[1]обзор 2018'!$J$9</f>
        <v>2949752</v>
      </c>
      <c r="K9" s="28">
        <f>'[1]июнь 2018 Эпотос-К'!L86</f>
        <v>6762667.5</v>
      </c>
      <c r="M9" s="75">
        <f t="shared" si="0"/>
        <v>0.44450906391597694</v>
      </c>
      <c r="N9" s="146">
        <f t="shared" si="1"/>
        <v>0.43618172858565057</v>
      </c>
      <c r="O9" s="75">
        <f t="shared" si="2"/>
        <v>0.11930920749837243</v>
      </c>
      <c r="P9" s="209"/>
      <c r="Q9" s="75">
        <f t="shared" si="3"/>
        <v>0.87308482049401115</v>
      </c>
    </row>
    <row r="10" spans="2:17" ht="21" x14ac:dyDescent="0.35">
      <c r="B10" s="168">
        <v>183</v>
      </c>
      <c r="C10" s="225">
        <f>'[1]июль 2018 Эпотос-К'!E167</f>
        <v>8568337.4600000009</v>
      </c>
      <c r="D10" s="27">
        <f>'[1]июль 2018 Эпотос-К'!E165</f>
        <v>4894374.0600000005</v>
      </c>
      <c r="E10" s="27">
        <f>'[1]июль 2018 Эпотос-К'!L165</f>
        <v>3903746.5100000002</v>
      </c>
      <c r="F10" s="234">
        <f t="shared" si="5"/>
        <v>0.79759872501449136</v>
      </c>
      <c r="G10" s="27">
        <f>'[1]июль 2018 Эпотос-К'!E166</f>
        <v>3673963.4</v>
      </c>
      <c r="H10" s="27">
        <f>'[1]июль 2018 Эпотос-К'!L166</f>
        <v>2874155.9</v>
      </c>
      <c r="I10" s="234">
        <f t="shared" si="4"/>
        <v>0.78230390101327629</v>
      </c>
      <c r="J10" s="27">
        <f>'[1]обзор 2018'!$J$10</f>
        <v>1900602.5</v>
      </c>
      <c r="K10" s="28">
        <f>'[1]июль 2018 Эпотос-К'!L167</f>
        <v>6777902.4100000001</v>
      </c>
      <c r="M10" s="75">
        <f t="shared" si="0"/>
        <v>0.5759520090228033</v>
      </c>
      <c r="N10" s="146">
        <f t="shared" si="1"/>
        <v>0.28041160598533904</v>
      </c>
      <c r="O10" s="75">
        <f t="shared" si="2"/>
        <v>0.14363638499185766</v>
      </c>
      <c r="P10" s="209"/>
      <c r="Q10" s="75">
        <f t="shared" si="3"/>
        <v>0.79104055385792416</v>
      </c>
    </row>
    <row r="11" spans="2:17" ht="21" x14ac:dyDescent="0.35">
      <c r="B11" s="168">
        <v>214</v>
      </c>
      <c r="C11" s="225">
        <f>'[1]август 2018 Эпотос-К'!E97</f>
        <v>7649547.4199999999</v>
      </c>
      <c r="D11" s="27">
        <f>'[1]август 2018 Эпотос-К'!E95</f>
        <v>3491483.75</v>
      </c>
      <c r="E11" s="27">
        <f>'[1]август 2018 Эпотос-К'!L95</f>
        <v>3690745.05</v>
      </c>
      <c r="F11" s="234">
        <f t="shared" si="5"/>
        <v>1.0570706651577571</v>
      </c>
      <c r="G11" s="27">
        <f>'[1]август 2018 Эпотос-К'!E96</f>
        <v>4158063.67</v>
      </c>
      <c r="H11" s="27">
        <f>'[1]август 2018 Эпотос-К'!L96</f>
        <v>3430934.37</v>
      </c>
      <c r="I11" s="234">
        <f t="shared" si="4"/>
        <v>0.82512790623044985</v>
      </c>
      <c r="J11" s="27">
        <f>'[1]обзор 2018'!$J$11</f>
        <v>942684</v>
      </c>
      <c r="K11" s="28">
        <f>'[1]август 2018 Эпотос-К'!L97</f>
        <v>7121679.4199999999</v>
      </c>
      <c r="M11" s="75">
        <f t="shared" si="0"/>
        <v>0.51824082949243455</v>
      </c>
      <c r="N11" s="146">
        <f t="shared" si="1"/>
        <v>0.1323682160352003</v>
      </c>
      <c r="O11" s="75">
        <f>1-M11-N11</f>
        <v>0.34939095447236512</v>
      </c>
      <c r="P11" s="209"/>
      <c r="Q11" s="75">
        <f>K11/C11</f>
        <v>0.93099356458398164</v>
      </c>
    </row>
    <row r="12" spans="2:17" ht="21" x14ac:dyDescent="0.35">
      <c r="B12" s="168">
        <v>245</v>
      </c>
      <c r="C12" s="225">
        <f>'[1]сентябрь 2018 Эпотос-К'!E97</f>
        <v>5365180.17</v>
      </c>
      <c r="D12" s="27">
        <f>'[1]сентябрь 2018 Эпотос-К'!E95</f>
        <v>2927682.62</v>
      </c>
      <c r="E12" s="27">
        <f>'[1]сентябрь 2018 Эпотос-К'!L95</f>
        <v>2464102.48</v>
      </c>
      <c r="F12" s="234">
        <f t="shared" si="5"/>
        <v>0.8416562858169373</v>
      </c>
      <c r="G12" s="27">
        <f>'[1]сентябрь 2018 Эпотос-К'!E96</f>
        <v>2437497.5499999998</v>
      </c>
      <c r="H12" s="27">
        <f>'[1]сентябрь 2018 Эпотос-К'!L96</f>
        <v>2250993.5700000003</v>
      </c>
      <c r="I12" s="234">
        <f t="shared" si="4"/>
        <v>0.92348546975975443</v>
      </c>
      <c r="J12" s="27">
        <f>'[1]обзор 2018'!$J$12</f>
        <v>183200</v>
      </c>
      <c r="K12" s="28">
        <f>'[1]сентябрь 2018 Эпотос-К'!L97</f>
        <v>4715096.0500000007</v>
      </c>
      <c r="M12" s="75">
        <f t="shared" si="0"/>
        <v>0.52259857569603474</v>
      </c>
      <c r="N12" s="146">
        <f t="shared" si="1"/>
        <v>3.8853927482558913E-2</v>
      </c>
      <c r="O12" s="75">
        <f>1-M12-N12</f>
        <v>0.43854749682140637</v>
      </c>
      <c r="P12" s="209"/>
      <c r="Q12" s="75">
        <f>K12/C12</f>
        <v>0.87883275129602978</v>
      </c>
    </row>
    <row r="13" spans="2:17" ht="21" x14ac:dyDescent="0.35">
      <c r="B13" s="168">
        <v>275</v>
      </c>
      <c r="C13" s="225">
        <f>'[1]октябрь 2018 Эпотос-К'!E96</f>
        <v>9789881.879999999</v>
      </c>
      <c r="D13" s="27">
        <f>'[1]октябрь 2018 Эпотос-К'!E94</f>
        <v>5611130.6099999994</v>
      </c>
      <c r="E13" s="27">
        <f>'[1]октябрь 2018 Эпотос-К'!L94</f>
        <v>3746420.2100000004</v>
      </c>
      <c r="F13" s="234">
        <f t="shared" si="5"/>
        <v>0.66767652909793895</v>
      </c>
      <c r="G13" s="27">
        <f>'[1]октябрь 2018 Эпотос-К'!E95</f>
        <v>4178751.2699999996</v>
      </c>
      <c r="H13" s="27">
        <f>'[1]октябрь 2018 Эпотос-К'!L95</f>
        <v>2758695.95</v>
      </c>
      <c r="I13" s="234">
        <f t="shared" si="4"/>
        <v>0.66017232703108464</v>
      </c>
      <c r="J13" s="27">
        <f>'[1]обзор 2018'!$J$13</f>
        <v>1013120</v>
      </c>
      <c r="K13" s="28">
        <f>'[1]октябрь 2018 Эпотос-К'!L96</f>
        <v>6505116.1600000001</v>
      </c>
      <c r="M13" s="75">
        <f t="shared" si="0"/>
        <v>0.57591903324290528</v>
      </c>
      <c r="N13" s="146">
        <f t="shared" si="1"/>
        <v>0.15574203059273273</v>
      </c>
      <c r="O13" s="75">
        <f>1-M13-N13</f>
        <v>0.268338936164362</v>
      </c>
      <c r="P13" s="209"/>
      <c r="Q13" s="75">
        <f>K13/C13</f>
        <v>0.66447340629200735</v>
      </c>
    </row>
    <row r="14" spans="2:17" ht="21" x14ac:dyDescent="0.35">
      <c r="B14" s="168">
        <v>306</v>
      </c>
      <c r="C14" s="225">
        <f>'[1]ноябрь 2018 Эпотос-К'!E96</f>
        <v>6302750.5</v>
      </c>
      <c r="D14" s="27">
        <f>'[1]ноябрь 2018 Эпотос-К'!E94</f>
        <v>2700034.52</v>
      </c>
      <c r="E14" s="27">
        <f>'[1]ноябрь 2018 Эпотос-К'!L94</f>
        <v>3043527.34</v>
      </c>
      <c r="F14" s="234">
        <f t="shared" si="5"/>
        <v>1.1272179364580863</v>
      </c>
      <c r="G14" s="27">
        <f>'[1]ноябрь 2018 Эпотос-К'!E95</f>
        <v>3602715.9799999995</v>
      </c>
      <c r="H14" s="27">
        <f>'[1]ноябрь 2018 Эпотос-К'!L95</f>
        <v>2281992.2400000002</v>
      </c>
      <c r="I14" s="234">
        <f t="shared" si="4"/>
        <v>0.63340886505297056</v>
      </c>
      <c r="J14" s="27">
        <f>'[1]обзор 2018'!$J$14</f>
        <v>229470</v>
      </c>
      <c r="K14" s="28">
        <f>'[1]ноябрь 2018 Эпотос-К'!L96</f>
        <v>5325519.58</v>
      </c>
      <c r="M14" s="75">
        <f t="shared" si="0"/>
        <v>0.57149866680238548</v>
      </c>
      <c r="N14" s="146">
        <f t="shared" si="1"/>
        <v>4.308875341699523E-2</v>
      </c>
      <c r="O14" s="75">
        <f>1-M14-N14</f>
        <v>0.38541257978061927</v>
      </c>
      <c r="P14" s="209"/>
      <c r="Q14" s="75">
        <f>K14/C14</f>
        <v>0.84495167308304531</v>
      </c>
    </row>
    <row r="15" spans="2:17" ht="21.75" thickBot="1" x14ac:dyDescent="0.4">
      <c r="B15" s="169">
        <v>336</v>
      </c>
      <c r="C15" s="226">
        <f>'[1]декабрь 2018 Эпотос-К'!E100</f>
        <v>6594816.5</v>
      </c>
      <c r="D15" s="165">
        <f>'[1]декабрь 2018 Эпотос-К'!E98</f>
        <v>1445835</v>
      </c>
      <c r="E15" s="165">
        <f>'[1]декабрь 2018 Эпотос-К'!L98</f>
        <v>1751337.97</v>
      </c>
      <c r="F15" s="234">
        <f t="shared" si="5"/>
        <v>1.211298640577936</v>
      </c>
      <c r="G15" s="165">
        <f>'[1]декабрь 2018 Эпотос-К'!E99</f>
        <v>5148981.5</v>
      </c>
      <c r="H15" s="165">
        <f>'[1]декабрь 2018 Эпотос-К'!L99</f>
        <v>3647696.6</v>
      </c>
      <c r="I15" s="234">
        <f t="shared" si="4"/>
        <v>0.70843070615033288</v>
      </c>
      <c r="J15" s="27">
        <f>'[1]обзор 2018'!$J$4</f>
        <v>558873.5</v>
      </c>
      <c r="K15" s="166">
        <f>'[1]декабрь 2018 Эпотос-К'!L100</f>
        <v>5399034.5700000003</v>
      </c>
      <c r="M15" s="75">
        <f>E15/K15</f>
        <v>0.32437984000535858</v>
      </c>
      <c r="N15" s="146">
        <f>J15/K15</f>
        <v>0.10351359909888481</v>
      </c>
      <c r="O15" s="75">
        <f>1-M15-N15</f>
        <v>0.57210656089575662</v>
      </c>
      <c r="P15" s="209"/>
      <c r="Q15" s="75">
        <f>K15/C15</f>
        <v>0.81867851364780209</v>
      </c>
    </row>
    <row r="16" spans="2:17" ht="21.75" thickBot="1" x14ac:dyDescent="0.4">
      <c r="B16" s="113" t="s">
        <v>72</v>
      </c>
      <c r="C16" s="147">
        <f>SUM(C4:C15)</f>
        <v>90415497.660559997</v>
      </c>
      <c r="D16" s="147">
        <f>SUM(D4:D15)</f>
        <v>39359549.29056</v>
      </c>
      <c r="E16" s="147">
        <f>SUM(E4:E15)</f>
        <v>35757197.840560004</v>
      </c>
      <c r="F16" s="120">
        <f>AVERAGEIF(F4:F15,"&gt;0")</f>
        <v>0.94607711968047914</v>
      </c>
      <c r="G16" s="147">
        <f>SUM(G4:G15)</f>
        <v>51055948.369999997</v>
      </c>
      <c r="H16" s="147">
        <f>SUM(H4:H15)</f>
        <v>35854821.109999999</v>
      </c>
      <c r="I16" s="120">
        <f>AVERAGEIF(I4:I15,"&gt;0")</f>
        <v>0.70205624148820023</v>
      </c>
      <c r="J16" s="147">
        <f>SUM(J4:J15)</f>
        <v>19894814.5</v>
      </c>
      <c r="K16" s="153">
        <f>SUM(K4:K15)</f>
        <v>71612018.950560004</v>
      </c>
      <c r="M16" s="145"/>
      <c r="N16" s="144"/>
    </row>
    <row r="17" spans="2:17" ht="21.75" thickBot="1" x14ac:dyDescent="0.4">
      <c r="Q17" s="312"/>
    </row>
    <row r="18" spans="2:17" ht="21.75" thickBot="1" x14ac:dyDescent="0.3">
      <c r="B18" s="116" t="s">
        <v>110</v>
      </c>
      <c r="C18" s="172">
        <f>AVERAGEIF(C4:C15,"&gt;0")</f>
        <v>7534624.8050466664</v>
      </c>
      <c r="D18" s="172">
        <f>AVERAGEIF(D4:D15,"&gt;0")</f>
        <v>3279962.4408800001</v>
      </c>
      <c r="E18" s="172">
        <f t="shared" ref="E18:J18" si="6">AVERAGEIF(E4:E15,"&gt;0")</f>
        <v>2979766.4867133335</v>
      </c>
      <c r="F18" s="227">
        <f>AVERAGEIF(F4:F15,"&gt;0")</f>
        <v>0.94607711968047914</v>
      </c>
      <c r="G18" s="172">
        <f>AVERAGEIF(G4:G15,"&gt;0")</f>
        <v>4254662.3641666668</v>
      </c>
      <c r="H18" s="172">
        <f t="shared" si="6"/>
        <v>2987901.7591666668</v>
      </c>
      <c r="I18" s="227">
        <f>AVERAGEIF(I4:I15,"&gt;0")</f>
        <v>0.70205624148820023</v>
      </c>
      <c r="J18" s="172">
        <f t="shared" si="6"/>
        <v>1657901.2083333333</v>
      </c>
      <c r="K18" s="172">
        <f>AVERAGEIF(K4:K15,"&gt;0")</f>
        <v>5967668.2458800003</v>
      </c>
    </row>
    <row r="19" spans="2:17" ht="15.75" thickBot="1" x14ac:dyDescent="0.3"/>
    <row r="20" spans="2:17" ht="21.75" thickBot="1" x14ac:dyDescent="0.4">
      <c r="I20" s="116" t="s">
        <v>110</v>
      </c>
      <c r="J20" s="170" t="s">
        <v>126</v>
      </c>
      <c r="K20" s="105">
        <f>AVERAGEIF(K4:K15,"&gt;0")</f>
        <v>5967668.2458800003</v>
      </c>
      <c r="M20" s="228">
        <f>AVERAGEIF(M4:M15,"&gt;0")</f>
        <v>0.52091676661164177</v>
      </c>
      <c r="N20" s="228">
        <f>AVERAGEIF(N4:N15,"&gt;0")</f>
        <v>0.25110395082334552</v>
      </c>
      <c r="O20" s="228">
        <f>AVERAGEIF(O4:O15,"&gt;0")</f>
        <v>0.2279792825650129</v>
      </c>
      <c r="P20" s="229"/>
      <c r="Q20" s="228">
        <f>AVERAGEIF(Q4:Q15,"&gt;0")</f>
        <v>0.80131285515713035</v>
      </c>
    </row>
    <row r="21" spans="2:17" ht="15.75" thickBot="1" x14ac:dyDescent="0.3">
      <c r="P21" s="213"/>
    </row>
    <row r="22" spans="2:17" ht="21.75" thickBot="1" x14ac:dyDescent="0.4">
      <c r="I22" s="116" t="s">
        <v>110</v>
      </c>
      <c r="J22" s="220" t="s">
        <v>93</v>
      </c>
      <c r="K22" s="105">
        <f>'[1]обзор 2017'!K20</f>
        <v>4590855.729166667</v>
      </c>
      <c r="M22" s="228">
        <f>'[1]обзор 2017'!M20</f>
        <v>0.51623695342567588</v>
      </c>
      <c r="N22" s="228">
        <f>'[1]обзор 2017'!N20</f>
        <v>0.24419949425099283</v>
      </c>
      <c r="O22" s="228">
        <f>'[1]обзор 2017'!O20</f>
        <v>0.23956355232333135</v>
      </c>
      <c r="P22" s="229"/>
      <c r="Q22" s="228">
        <f>'[1]обзор 2017'!Q20</f>
        <v>0.91017505533463916</v>
      </c>
    </row>
    <row r="23" spans="2:17" ht="21.75" thickBot="1" x14ac:dyDescent="0.4">
      <c r="I23" s="203"/>
      <c r="J23" s="230"/>
      <c r="K23" s="231"/>
      <c r="M23" s="232"/>
      <c r="N23" s="232"/>
      <c r="O23" s="232"/>
      <c r="P23" s="233"/>
      <c r="Q23" s="232"/>
    </row>
    <row r="24" spans="2:17" ht="21.75" thickBot="1" x14ac:dyDescent="0.4">
      <c r="B24" s="220" t="s">
        <v>93</v>
      </c>
      <c r="C24" s="147">
        <f>'[1]обзор 2017'!C16</f>
        <v>60888453.930000007</v>
      </c>
      <c r="D24" s="147">
        <f>'[1]обзор 2017'!D16</f>
        <v>29344094.940000001</v>
      </c>
      <c r="E24" s="147">
        <f>'[1]обзор 2017'!E16</f>
        <v>28774606.77</v>
      </c>
      <c r="F24" s="277">
        <f>'[1]обзор 2017'!F16</f>
        <v>1.030945143746236</v>
      </c>
      <c r="G24" s="147">
        <f>'[1]обзор 2017'!G16</f>
        <v>31544358.989999998</v>
      </c>
      <c r="H24" s="147">
        <f>'[1]обзор 2017'!H16</f>
        <v>26315661.980000004</v>
      </c>
      <c r="I24" s="277">
        <f>'[1]обзор 2017'!I16</f>
        <v>0.83870396329502384</v>
      </c>
      <c r="J24" s="147">
        <f>'[1]обзор 2017'!J16</f>
        <v>13208798.1</v>
      </c>
      <c r="K24" s="147">
        <f>'[1]обзор 2017'!K16</f>
        <v>55090268.75</v>
      </c>
    </row>
    <row r="25" spans="2:17" x14ac:dyDescent="0.25">
      <c r="M25" s="200"/>
    </row>
    <row r="27" spans="2:17" x14ac:dyDescent="0.25">
      <c r="E27" s="199"/>
    </row>
  </sheetData>
  <customSheetViews>
    <customSheetView guid="{06317133-151B-4DBC-8EB3-9345BA061F91}" scale="60" showPageBreaks="1" printArea="1" topLeftCell="A10">
      <selection activeCell="O30" sqref="O30"/>
      <pageMargins left="0.7" right="0.7" top="0.75" bottom="0.75" header="0.3" footer="0.3"/>
      <pageSetup paperSize="9" orientation="portrait" r:id="rId1"/>
    </customSheetView>
    <customSheetView guid="{375BA386-B398-4A0E-AF86-4319F1FDDF11}" scale="80" showPageBreaks="1" topLeftCell="A16">
      <selection activeCell="K18" sqref="K18"/>
      <pageMargins left="0.7" right="0.7" top="0.75" bottom="0.75" header="0.3" footer="0.3"/>
      <pageSetup paperSize="9" orientation="portrait" r:id="rId2"/>
    </customSheetView>
    <customSheetView guid="{45C31AC1-6FB2-488C-94EA-BCF9E79D0043}" scale="80" showPageBreaks="1" printArea="1" topLeftCell="A34">
      <selection activeCell="Q25" sqref="Q25"/>
      <pageMargins left="0.7" right="0.7" top="0.75" bottom="0.75" header="0.3" footer="0.3"/>
      <pageSetup paperSize="9" orientation="portrait" r:id="rId3"/>
    </customSheetView>
    <customSheetView guid="{368B64E8-7AD6-4BC7-A731-9903B52ABB0C}" scale="80" topLeftCell="A34">
      <selection activeCell="Q25" sqref="Q25"/>
      <pageMargins left="0.7" right="0.7" top="0.75" bottom="0.75" header="0.3" footer="0.3"/>
      <pageSetup paperSize="9" orientation="portrait" r:id="rId4"/>
    </customSheetView>
    <customSheetView guid="{1168776E-3CE1-4C5E-BCD8-35079C55D78E}" scale="80" topLeftCell="A34">
      <selection activeCell="Q25" sqref="Q25"/>
      <pageMargins left="0.7" right="0.7" top="0.75" bottom="0.75" header="0.3" footer="0.3"/>
      <pageSetup paperSize="9" orientation="portrait" r:id="rId5"/>
    </customSheetView>
    <customSheetView guid="{845EA106-2CB5-4F86-BBCF-D0DE18153B1C}" scale="80" showPageBreaks="1" printArea="1" topLeftCell="A34">
      <selection activeCell="Q25" sqref="Q25"/>
      <pageMargins left="0.7" right="0.7" top="0.75" bottom="0.75" header="0.3" footer="0.3"/>
      <pageSetup paperSize="9" orientation="portrait" r:id="rId6"/>
    </customSheetView>
    <customSheetView guid="{C29DA669-F4F9-44CD-9569-E796ADF74A86}" scale="80" showPageBreaks="1" printArea="1" topLeftCell="A34">
      <selection activeCell="Q25" sqref="Q25"/>
      <pageMargins left="0.7" right="0.7" top="0.75" bottom="0.75" header="0.3" footer="0.3"/>
      <pageSetup paperSize="9" orientation="portrait" r:id="rId7"/>
    </customSheetView>
    <customSheetView guid="{A1BD6C0C-B1B9-4F48-A6B1-3BFD273F4CD7}" scale="80" showPageBreaks="1" topLeftCell="A22">
      <selection activeCell="I12" sqref="I12"/>
      <pageMargins left="0.7" right="0.7" top="0.75" bottom="0.75" header="0.3" footer="0.3"/>
      <pageSetup paperSize="9" orientation="portrait" r:id="rId8"/>
    </customSheetView>
    <customSheetView guid="{D42288F7-1871-4EF6-BC87-1B9EF747C744}" scale="60" topLeftCell="A10">
      <selection activeCell="O30" sqref="O30"/>
      <pageMargins left="0.7" right="0.7" top="0.75" bottom="0.75" header="0.3" footer="0.3"/>
      <pageSetup paperSize="9" orientation="portrait" r:id="rId9"/>
    </customSheetView>
    <customSheetView guid="{8C638750-2D78-446E-B8DA-A6202AF1ED31}" scale="80" showPageBreaks="1" printArea="1" topLeftCell="A34">
      <selection activeCell="Q25" sqref="Q25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drawing r:id="rId1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7"/>
  <sheetViews>
    <sheetView topLeftCell="A7" zoomScale="60" zoomScaleNormal="80" workbookViewId="0">
      <selection activeCell="K20" sqref="K20"/>
    </sheetView>
  </sheetViews>
  <sheetFormatPr defaultRowHeight="15" x14ac:dyDescent="0.25"/>
  <cols>
    <col min="1" max="1" width="8.85546875" customWidth="1"/>
    <col min="2" max="2" width="14.28515625" customWidth="1"/>
    <col min="3" max="5" width="20.7109375" customWidth="1"/>
    <col min="6" max="6" width="15.7109375" customWidth="1"/>
    <col min="7" max="8" width="20.7109375" customWidth="1"/>
    <col min="9" max="9" width="15.7109375" customWidth="1"/>
    <col min="10" max="10" width="18.28515625" customWidth="1"/>
    <col min="11" max="11" width="20.7109375" customWidth="1"/>
    <col min="12" max="12" width="1.7109375" customWidth="1"/>
    <col min="13" max="13" width="15.7109375" customWidth="1"/>
    <col min="14" max="14" width="17.85546875" customWidth="1"/>
    <col min="15" max="15" width="15.7109375" customWidth="1"/>
    <col min="16" max="16" width="1.7109375" customWidth="1"/>
    <col min="17" max="17" width="15.7109375" customWidth="1"/>
  </cols>
  <sheetData>
    <row r="2" spans="2:17" ht="15.75" thickBot="1" x14ac:dyDescent="0.3"/>
    <row r="3" spans="2:17" ht="38.25" thickBot="1" x14ac:dyDescent="0.3">
      <c r="C3" s="176" t="s">
        <v>61</v>
      </c>
      <c r="D3" s="173" t="s">
        <v>66</v>
      </c>
      <c r="E3" s="173" t="s">
        <v>67</v>
      </c>
      <c r="F3" s="173" t="s">
        <v>71</v>
      </c>
      <c r="G3" s="174" t="s">
        <v>68</v>
      </c>
      <c r="H3" s="174" t="s">
        <v>69</v>
      </c>
      <c r="I3" s="174" t="s">
        <v>71</v>
      </c>
      <c r="J3" s="175" t="s">
        <v>107</v>
      </c>
      <c r="K3" s="176" t="s">
        <v>70</v>
      </c>
      <c r="M3" s="178" t="s">
        <v>55</v>
      </c>
      <c r="N3" s="175" t="s">
        <v>108</v>
      </c>
      <c r="O3" s="179" t="s">
        <v>57</v>
      </c>
      <c r="P3" s="210"/>
      <c r="Q3" s="222" t="s">
        <v>56</v>
      </c>
    </row>
    <row r="4" spans="2:17" ht="21.75" thickBot="1" x14ac:dyDescent="0.4">
      <c r="B4" s="167">
        <v>43101</v>
      </c>
      <c r="C4" s="223">
        <f>'[2]январь 2017 Эпотос-К'!E88</f>
        <v>4278985.0999999996</v>
      </c>
      <c r="D4" s="77">
        <f>'[2]январь 2017 Эпотос-К'!E86</f>
        <v>856447.5</v>
      </c>
      <c r="E4" s="77">
        <f>'[2]январь 2017 Эпотос-К'!L86</f>
        <v>980251.4</v>
      </c>
      <c r="F4" s="122">
        <f t="shared" ref="F4:F13" si="0">E4/D4</f>
        <v>1.144555153701774</v>
      </c>
      <c r="G4" s="77">
        <f>'[2]январь 2017 Эпотос-К'!E87</f>
        <v>3422537.6</v>
      </c>
      <c r="H4" s="77">
        <f>'[2]январь 2017 Эпотос-К'!L87</f>
        <v>3265989.6</v>
      </c>
      <c r="I4" s="122">
        <f t="shared" ref="I4:I13" si="1">H4/G4</f>
        <v>0.95425966978419752</v>
      </c>
      <c r="J4" s="142">
        <f>SUM([2]январь2017!L28:L108)</f>
        <v>2774400.1</v>
      </c>
      <c r="K4" s="78">
        <f>'[2]январь 2017 Эпотос-К'!L88</f>
        <v>4246241</v>
      </c>
      <c r="M4" s="74">
        <f t="shared" ref="M4:M15" si="2">E4/K4</f>
        <v>0.23085156965890538</v>
      </c>
      <c r="N4" s="146">
        <f t="shared" ref="N4:N15" si="3">J4/K4</f>
        <v>0.65337791708007154</v>
      </c>
      <c r="O4" s="74">
        <f t="shared" ref="O4:O15" si="4">1-M4-N4</f>
        <v>0.11577051326102306</v>
      </c>
      <c r="P4" s="211"/>
      <c r="Q4" s="74">
        <f t="shared" ref="Q4:Q15" si="5">K4/C4</f>
        <v>0.99234769478398055</v>
      </c>
    </row>
    <row r="5" spans="2:17" ht="21.75" thickBot="1" x14ac:dyDescent="0.4">
      <c r="B5" s="167">
        <v>43132</v>
      </c>
      <c r="C5" s="224">
        <f>'[2]февраль 2017 Эпотос-К'!E92</f>
        <v>5366551.5</v>
      </c>
      <c r="D5" s="29">
        <f>'[2]февраль 2017 Эпотос-К'!E90</f>
        <v>2728378.5</v>
      </c>
      <c r="E5" s="29">
        <f>'[2]февраль 2017 Эпотос-К'!L90</f>
        <v>2540508.7999999998</v>
      </c>
      <c r="F5" s="139">
        <f t="shared" si="0"/>
        <v>0.93114236166279707</v>
      </c>
      <c r="G5" s="27">
        <f>'[2]февраль 2017 Эпотос-К'!E91</f>
        <v>2638173</v>
      </c>
      <c r="H5" s="27">
        <f>'[2]февраль 2017 Эпотос-К'!L91</f>
        <v>1914622.3</v>
      </c>
      <c r="I5" s="137">
        <f t="shared" si="1"/>
        <v>0.72573796335570107</v>
      </c>
      <c r="J5" s="143">
        <f>SUM('[2]февраль 2017'!L31:L33)</f>
        <v>1374074</v>
      </c>
      <c r="K5" s="28">
        <f>'[2]февраль 2017 Эпотос-К'!L92</f>
        <v>4455131.0999999996</v>
      </c>
      <c r="M5" s="74">
        <f t="shared" si="2"/>
        <v>0.57024333133541238</v>
      </c>
      <c r="N5" s="146">
        <f t="shared" si="3"/>
        <v>0.30842504275575644</v>
      </c>
      <c r="O5" s="74">
        <f t="shared" si="4"/>
        <v>0.12133162590883118</v>
      </c>
      <c r="P5" s="211"/>
      <c r="Q5" s="74">
        <f t="shared" si="5"/>
        <v>0.83016646723692111</v>
      </c>
    </row>
    <row r="6" spans="2:17" ht="21.75" thickBot="1" x14ac:dyDescent="0.4">
      <c r="B6" s="167">
        <v>43160</v>
      </c>
      <c r="C6" s="225">
        <f>'[2]март 2017 Эпотос-К'!E90</f>
        <v>3516192.5</v>
      </c>
      <c r="D6" s="27">
        <f>'[2]март 2017 Эпотос-К'!E88</f>
        <v>1057130.5</v>
      </c>
      <c r="E6" s="27">
        <f>'[2]март 2017 Эпотос-К'!L88</f>
        <v>1638353.25</v>
      </c>
      <c r="F6" s="140">
        <f t="shared" si="0"/>
        <v>1.5498117309073951</v>
      </c>
      <c r="G6" s="27">
        <f>'[2]март 2017 Эпотос-К'!E89</f>
        <v>2459062</v>
      </c>
      <c r="H6" s="27">
        <f>'[2]март 2017 Эпотос-К'!L89</f>
        <v>1831080</v>
      </c>
      <c r="I6" s="138">
        <f t="shared" si="1"/>
        <v>0.74462538968110603</v>
      </c>
      <c r="J6" s="143">
        <f>SUM('[2]март 2017'!L26:L97)</f>
        <v>926920.5</v>
      </c>
      <c r="K6" s="28">
        <f>'[2]март 2017 Эпотос-К'!L90</f>
        <v>3469433.25</v>
      </c>
      <c r="M6" s="74">
        <f t="shared" si="2"/>
        <v>0.47222503848431152</v>
      </c>
      <c r="N6" s="146">
        <f t="shared" si="3"/>
        <v>0.26716769950826985</v>
      </c>
      <c r="O6" s="74">
        <f t="shared" si="4"/>
        <v>0.26060726200741863</v>
      </c>
      <c r="P6" s="211"/>
      <c r="Q6" s="74">
        <f t="shared" si="5"/>
        <v>0.98670173774615577</v>
      </c>
    </row>
    <row r="7" spans="2:17" ht="21.75" thickBot="1" x14ac:dyDescent="0.4">
      <c r="B7" s="167">
        <v>43191</v>
      </c>
      <c r="C7" s="225">
        <f>'[2]апрель 2017 Эпотос-К'!E90</f>
        <v>5446926.0999999996</v>
      </c>
      <c r="D7" s="27">
        <f>'[2]апрель 2017 Эпотос-К'!E88</f>
        <v>2933925.1</v>
      </c>
      <c r="E7" s="27">
        <f>'[2]апрель 2017 Эпотос-К'!L88</f>
        <v>2212646.4500000002</v>
      </c>
      <c r="F7" s="140">
        <f t="shared" si="0"/>
        <v>0.75415914673486384</v>
      </c>
      <c r="G7" s="27">
        <f>'[2]апрель 2017 Эпотос-К'!E89</f>
        <v>2513001</v>
      </c>
      <c r="H7" s="27">
        <f>'[2]апрель 2017 Эпотос-К'!L89</f>
        <v>1465422.58</v>
      </c>
      <c r="I7" s="138">
        <f t="shared" si="1"/>
        <v>0.58313648900259096</v>
      </c>
      <c r="J7" s="143">
        <f>SUM('[2]апрель 2017'!L39:L51)</f>
        <v>341172</v>
      </c>
      <c r="K7" s="28">
        <f>'[2]апрель 2017 Эпотос-К'!L90</f>
        <v>3678069.0300000003</v>
      </c>
      <c r="M7" s="74">
        <f t="shared" si="2"/>
        <v>0.60157828250439338</v>
      </c>
      <c r="N7" s="146">
        <f t="shared" si="3"/>
        <v>9.2758454835199206E-2</v>
      </c>
      <c r="O7" s="74">
        <f t="shared" si="4"/>
        <v>0.30566326266040744</v>
      </c>
      <c r="P7" s="211"/>
      <c r="Q7" s="74">
        <f t="shared" si="5"/>
        <v>0.67525590809833103</v>
      </c>
    </row>
    <row r="8" spans="2:17" ht="21.75" thickBot="1" x14ac:dyDescent="0.4">
      <c r="B8" s="167">
        <v>43221</v>
      </c>
      <c r="C8" s="225">
        <f>'[2]май 2017 Эпотос-К'!E90</f>
        <v>4960218.0600000005</v>
      </c>
      <c r="D8" s="27">
        <f>'[2]май 2017 Эпотос-К'!E88</f>
        <v>1926884.5</v>
      </c>
      <c r="E8" s="27">
        <f>'[2]май 2017 Эпотос-К'!L88</f>
        <v>1804965.7</v>
      </c>
      <c r="F8" s="140">
        <f t="shared" si="0"/>
        <v>0.93672749975413672</v>
      </c>
      <c r="G8" s="27">
        <f>'[2]май 2017 Эпотос-К'!E89</f>
        <v>3033333.56</v>
      </c>
      <c r="H8" s="27">
        <f>'[2]май 2017 Эпотос-К'!L89</f>
        <v>2628645.5600000005</v>
      </c>
      <c r="I8" s="138">
        <f t="shared" si="1"/>
        <v>0.86658638359574292</v>
      </c>
      <c r="J8" s="143">
        <f>SUM('[2]май 2017'!L31:L40)</f>
        <v>1730520</v>
      </c>
      <c r="K8" s="28">
        <f>'[2]май 2017 Эпотос-К'!L90</f>
        <v>4433611.2600000007</v>
      </c>
      <c r="M8" s="75">
        <f t="shared" si="2"/>
        <v>0.40710959850819212</v>
      </c>
      <c r="N8" s="146">
        <f t="shared" si="3"/>
        <v>0.3903183879950719</v>
      </c>
      <c r="O8" s="75">
        <f t="shared" si="4"/>
        <v>0.20257201349673604</v>
      </c>
      <c r="P8" s="209"/>
      <c r="Q8" s="75">
        <f t="shared" si="5"/>
        <v>0.89383394164731544</v>
      </c>
    </row>
    <row r="9" spans="2:17" ht="21.75" thickBot="1" x14ac:dyDescent="0.4">
      <c r="B9" s="167">
        <v>43252</v>
      </c>
      <c r="C9" s="225">
        <f>'[2]июнь 2017 Эпотос-К'!E91</f>
        <v>5823051.0199999996</v>
      </c>
      <c r="D9" s="27">
        <f>'[2]июнь 2017 Эпотос-К'!E89</f>
        <v>1743524.5</v>
      </c>
      <c r="E9" s="27">
        <f>'[2]июнь 2017 Эпотос-К'!L89</f>
        <v>1697943.1</v>
      </c>
      <c r="F9" s="140">
        <f t="shared" si="0"/>
        <v>0.97385674821317403</v>
      </c>
      <c r="G9" s="27">
        <f>'[2]июнь 2017 Эпотос-К'!E90</f>
        <v>4079526.52</v>
      </c>
      <c r="H9" s="27">
        <f>'[2]июнь 2017 Эпотос-К'!L90</f>
        <v>3267725.16</v>
      </c>
      <c r="I9" s="138">
        <f t="shared" si="1"/>
        <v>0.80100598537106704</v>
      </c>
      <c r="J9" s="143">
        <f>SUM([2]июнь2017!L36:L62)</f>
        <v>2079435</v>
      </c>
      <c r="K9" s="28">
        <f>'[2]июнь 2017 Эпотос-К'!L91</f>
        <v>4965668.26</v>
      </c>
      <c r="M9" s="75">
        <f t="shared" si="2"/>
        <v>0.34193647483007655</v>
      </c>
      <c r="N9" s="146">
        <f t="shared" si="3"/>
        <v>0.4187623681490153</v>
      </c>
      <c r="O9" s="75">
        <f t="shared" si="4"/>
        <v>0.2393011570209081</v>
      </c>
      <c r="P9" s="209"/>
      <c r="Q9" s="75">
        <f t="shared" si="5"/>
        <v>0.8527605619364812</v>
      </c>
    </row>
    <row r="10" spans="2:17" ht="21.75" thickBot="1" x14ac:dyDescent="0.4">
      <c r="B10" s="167">
        <v>43282</v>
      </c>
      <c r="C10" s="225">
        <f>'[2]июль 2017 Эпотос-К'!E87</f>
        <v>4371126.5</v>
      </c>
      <c r="D10" s="27">
        <f>'[2]июль 2017 Эпотос-К'!E85</f>
        <v>1765698</v>
      </c>
      <c r="E10" s="27">
        <f>'[2]июль 2017 Эпотос-К'!L85</f>
        <v>1995322.5</v>
      </c>
      <c r="F10" s="140">
        <f t="shared" si="0"/>
        <v>1.1300474373307328</v>
      </c>
      <c r="G10" s="27">
        <f>'[2]июль 2017 Эпотос-К'!E86</f>
        <v>2605428.5</v>
      </c>
      <c r="H10" s="27">
        <f>'[2]июль 2017 Эпотос-К'!L86</f>
        <v>2155442.2400000002</v>
      </c>
      <c r="I10" s="138">
        <f t="shared" si="1"/>
        <v>0.82728896225707216</v>
      </c>
      <c r="J10" s="143">
        <f>SUM([2]июль2017!L40:L49)</f>
        <v>737940</v>
      </c>
      <c r="K10" s="28">
        <f>'[2]июль 2017 Эпотос-К'!L87</f>
        <v>4150764.74</v>
      </c>
      <c r="M10" s="75">
        <f t="shared" si="2"/>
        <v>0.48071201934706614</v>
      </c>
      <c r="N10" s="146">
        <f t="shared" si="3"/>
        <v>0.17778410635722997</v>
      </c>
      <c r="O10" s="75">
        <f t="shared" si="4"/>
        <v>0.34150387429570384</v>
      </c>
      <c r="P10" s="209"/>
      <c r="Q10" s="75">
        <f t="shared" si="5"/>
        <v>0.9495869634520987</v>
      </c>
    </row>
    <row r="11" spans="2:17" ht="21.75" thickBot="1" x14ac:dyDescent="0.4">
      <c r="B11" s="167">
        <v>43313</v>
      </c>
      <c r="C11" s="225">
        <f>'[2]август 2017 Эпотос-К'!E91</f>
        <v>5069982.7699999996</v>
      </c>
      <c r="D11" s="27">
        <f>'[2]август 2017 Эпотос-К'!E89</f>
        <v>2948807.5</v>
      </c>
      <c r="E11" s="27">
        <f>'[2]август 2017 Эпотос-К'!L89</f>
        <v>3051944.5</v>
      </c>
      <c r="F11" s="140">
        <f t="shared" si="0"/>
        <v>1.0349758334513188</v>
      </c>
      <c r="G11" s="27">
        <f>'[2]август 2017 Эпотос-К'!E90</f>
        <v>2121175.27</v>
      </c>
      <c r="H11" s="27">
        <f>'[2]август 2017 Эпотос-К'!L90</f>
        <v>1766923.1400000001</v>
      </c>
      <c r="I11" s="138">
        <f t="shared" si="1"/>
        <v>0.83299252305539095</v>
      </c>
      <c r="J11" s="143">
        <f>SUM([2]август2017!L44:L46)</f>
        <v>531200</v>
      </c>
      <c r="K11" s="28">
        <f>'[2]август 2017 Эпотос-К'!L91</f>
        <v>4818867.6400000006</v>
      </c>
      <c r="M11" s="75">
        <f t="shared" si="2"/>
        <v>0.63333229463841423</v>
      </c>
      <c r="N11" s="146">
        <f t="shared" si="3"/>
        <v>0.11023336594486748</v>
      </c>
      <c r="O11" s="75">
        <f t="shared" si="4"/>
        <v>0.25643433941671828</v>
      </c>
      <c r="P11" s="209"/>
      <c r="Q11" s="75">
        <f t="shared" si="5"/>
        <v>0.95047022023706029</v>
      </c>
    </row>
    <row r="12" spans="2:17" ht="21.75" thickBot="1" x14ac:dyDescent="0.4">
      <c r="B12" s="167">
        <v>43344</v>
      </c>
      <c r="C12" s="225">
        <f>'[2]сентябрь 2017 Эпотос-К'!E89</f>
        <v>5091111.95</v>
      </c>
      <c r="D12" s="27">
        <f>'[2]сентябрь 2017 Эпотос-К'!E87</f>
        <v>2506769.1100000003</v>
      </c>
      <c r="E12" s="27">
        <f>'[2]сентябрь 2017 Эпотос-К'!L87</f>
        <v>2621516.6399999997</v>
      </c>
      <c r="F12" s="140">
        <f t="shared" si="0"/>
        <v>1.0457750694079677</v>
      </c>
      <c r="G12" s="27">
        <f>'[2]сентябрь 2017 Эпотос-К'!E88</f>
        <v>2584342.84</v>
      </c>
      <c r="H12" s="27">
        <f>'[2]сентябрь 2017 Эпотос-К'!L88</f>
        <v>2259016.85</v>
      </c>
      <c r="I12" s="138">
        <f t="shared" si="1"/>
        <v>0.87411655103778729</v>
      </c>
      <c r="J12" s="143">
        <f>SUM('[2]сентябрь 2017'!L132:L179)</f>
        <v>840773</v>
      </c>
      <c r="K12" s="28">
        <f>'[2]сентябрь 2017 Эпотос-К'!L89</f>
        <v>4880533.49</v>
      </c>
      <c r="M12" s="75">
        <f t="shared" si="2"/>
        <v>0.53713731201135551</v>
      </c>
      <c r="N12" s="146">
        <f t="shared" si="3"/>
        <v>0.17227071624909596</v>
      </c>
      <c r="O12" s="75">
        <f t="shared" si="4"/>
        <v>0.29059197173954854</v>
      </c>
      <c r="P12" s="209"/>
      <c r="Q12" s="75">
        <f t="shared" si="5"/>
        <v>0.95863802209260007</v>
      </c>
    </row>
    <row r="13" spans="2:17" ht="21.75" thickBot="1" x14ac:dyDescent="0.4">
      <c r="B13" s="167">
        <v>43374</v>
      </c>
      <c r="C13" s="225">
        <f>'[2]октябрь 2017 Эпотос-К'!E100</f>
        <v>5592830.2000000002</v>
      </c>
      <c r="D13" s="27">
        <f>'[2]октябрь 2017 Эпотос-К'!E98</f>
        <v>2903713.5</v>
      </c>
      <c r="E13" s="27">
        <f>'[2]октябрь 2017 Эпотос-К'!L98</f>
        <v>3157639.35</v>
      </c>
      <c r="F13" s="140">
        <f t="shared" si="0"/>
        <v>1.0874486584161971</v>
      </c>
      <c r="G13" s="27">
        <f>'[2]октябрь 2017 Эпотос-К'!E99</f>
        <v>2689116.7</v>
      </c>
      <c r="H13" s="27">
        <f>'[2]октябрь 2017 Эпотос-К'!L99</f>
        <v>2480726.48</v>
      </c>
      <c r="I13" s="138">
        <f t="shared" si="1"/>
        <v>0.92250607048775524</v>
      </c>
      <c r="J13" s="143">
        <f>SUM('[2]октябрь 2017'!L78:L100)</f>
        <v>1228415.5</v>
      </c>
      <c r="K13" s="28">
        <f>'[2]октябрь 2017 Эпотос-К'!L100</f>
        <v>5638365.8300000001</v>
      </c>
      <c r="M13" s="75">
        <f t="shared" si="2"/>
        <v>0.5600273989316511</v>
      </c>
      <c r="N13" s="146">
        <f t="shared" si="3"/>
        <v>0.21786729294221763</v>
      </c>
      <c r="O13" s="75">
        <f t="shared" si="4"/>
        <v>0.22210530812613127</v>
      </c>
      <c r="P13" s="209"/>
      <c r="Q13" s="75">
        <f t="shared" si="5"/>
        <v>1.0081417866038558</v>
      </c>
    </row>
    <row r="14" spans="2:17" ht="21.75" thickBot="1" x14ac:dyDescent="0.4">
      <c r="B14" s="167">
        <v>43405</v>
      </c>
      <c r="C14" s="225">
        <f>'[2]ноябрь 2017 Эпотос-К'!E100</f>
        <v>6255533.2300000004</v>
      </c>
      <c r="D14" s="27">
        <f>'[2]ноябрь 2017 Эпотос-К'!E98</f>
        <v>4659814.2300000004</v>
      </c>
      <c r="E14" s="27">
        <f>'[2]ноябрь 2017 Эпотос-К'!L98</f>
        <v>4037531.43</v>
      </c>
      <c r="F14" s="140">
        <f>E14/D14</f>
        <v>0.8664575948127442</v>
      </c>
      <c r="G14" s="27">
        <f>'[2]ноябрь 2017 Эпотос-К'!E99</f>
        <v>1595719</v>
      </c>
      <c r="H14" s="27">
        <f>'[2]ноябрь 2017 Эпотос-К'!L99</f>
        <v>1567529.17</v>
      </c>
      <c r="I14" s="138">
        <f>H14/G14</f>
        <v>0.9823340888966039</v>
      </c>
      <c r="J14" s="143">
        <f>SUM('[2]ноябрь 2017'!L76:L90)</f>
        <v>440674</v>
      </c>
      <c r="K14" s="28">
        <f>'[2]ноябрь 2017 Эпотос-К'!L100</f>
        <v>5605060.5999999996</v>
      </c>
      <c r="M14" s="75">
        <f t="shared" si="2"/>
        <v>0.72033680242458042</v>
      </c>
      <c r="N14" s="146">
        <f t="shared" si="3"/>
        <v>7.8620737838231411E-2</v>
      </c>
      <c r="O14" s="75">
        <f t="shared" si="4"/>
        <v>0.20104245973718815</v>
      </c>
      <c r="P14" s="209"/>
      <c r="Q14" s="75">
        <f t="shared" si="5"/>
        <v>0.89601643759472116</v>
      </c>
    </row>
    <row r="15" spans="2:17" ht="21.75" thickBot="1" x14ac:dyDescent="0.4">
      <c r="B15" s="167">
        <v>43435</v>
      </c>
      <c r="C15" s="226">
        <f>'[2]декабрь 2017 Эпотос-К'!E89</f>
        <v>5115945</v>
      </c>
      <c r="D15" s="165">
        <f>'[2]декабрь 2017 Эпотос-К'!E87</f>
        <v>3313002</v>
      </c>
      <c r="E15" s="165">
        <f>'[2]декабрь 2017 Эпотос-К'!L87</f>
        <v>3035983.65</v>
      </c>
      <c r="F15" s="140">
        <f>E15/D15</f>
        <v>0.91638449056173221</v>
      </c>
      <c r="G15" s="165">
        <f>'[2]декабрь 2017 Эпотос-К'!E88</f>
        <v>1802943</v>
      </c>
      <c r="H15" s="165">
        <f>'[2]декабрь 2017 Эпотос-К'!L88</f>
        <v>1712538.9</v>
      </c>
      <c r="I15" s="138">
        <f>H15/G15</f>
        <v>0.94985748301526995</v>
      </c>
      <c r="J15" s="143">
        <f>SUM('[2]декабрь 2017'!L63:L77)</f>
        <v>203274</v>
      </c>
      <c r="K15" s="166">
        <f>'[2]декабрь 2017 Эпотос-К'!L89</f>
        <v>4748522.55</v>
      </c>
      <c r="M15" s="75">
        <f t="shared" si="2"/>
        <v>0.63935331843375154</v>
      </c>
      <c r="N15" s="146">
        <f t="shared" si="3"/>
        <v>4.2807841356886894E-2</v>
      </c>
      <c r="O15" s="75">
        <f t="shared" si="4"/>
        <v>0.31783884020936159</v>
      </c>
      <c r="P15" s="209"/>
      <c r="Q15" s="75">
        <f t="shared" si="5"/>
        <v>0.9281809225861497</v>
      </c>
    </row>
    <row r="16" spans="2:17" ht="21.75" thickBot="1" x14ac:dyDescent="0.4">
      <c r="B16" s="113" t="s">
        <v>72</v>
      </c>
      <c r="C16" s="147">
        <f>SUM(C4:C15)</f>
        <v>60888453.930000007</v>
      </c>
      <c r="D16" s="147">
        <f>SUM(D4:D15)</f>
        <v>29344094.940000001</v>
      </c>
      <c r="E16" s="147">
        <f>SUM(E4:E15)</f>
        <v>28774606.77</v>
      </c>
      <c r="F16" s="120">
        <f>AVERAGEIF(F4:F15,"&gt;0")</f>
        <v>1.030945143746236</v>
      </c>
      <c r="G16" s="147">
        <f>SUM(G4:G15)</f>
        <v>31544358.989999998</v>
      </c>
      <c r="H16" s="147">
        <f>SUM(H4:H15)</f>
        <v>26315661.980000004</v>
      </c>
      <c r="I16" s="120">
        <f>AVERAGEIF(I4:I15,"&gt;0")</f>
        <v>0.83870396329502384</v>
      </c>
      <c r="J16" s="147">
        <f>SUM(J4:J15)</f>
        <v>13208798.1</v>
      </c>
      <c r="K16" s="153">
        <f>SUM(K4:K15)</f>
        <v>55090268.75</v>
      </c>
      <c r="M16" s="145"/>
      <c r="N16" s="144"/>
    </row>
    <row r="17" spans="2:17" ht="15.75" thickBot="1" x14ac:dyDescent="0.3"/>
    <row r="18" spans="2:17" ht="21.75" thickBot="1" x14ac:dyDescent="0.3">
      <c r="B18" s="116" t="s">
        <v>110</v>
      </c>
      <c r="C18" s="172">
        <f>AVERAGEIF(C4:C15,"&gt;0")</f>
        <v>5074037.8275000006</v>
      </c>
      <c r="D18" s="172">
        <f>AVERAGEIF(D4:D15,"&gt;0")</f>
        <v>2445341.2450000001</v>
      </c>
      <c r="E18" s="172">
        <f t="shared" ref="E18:J18" si="6">AVERAGEIF(E4:E15,"&gt;0")</f>
        <v>2397883.8975</v>
      </c>
      <c r="F18" s="227">
        <f>AVERAGEIF(F4:F15,"&gt;0")</f>
        <v>1.030945143746236</v>
      </c>
      <c r="G18" s="172">
        <f>AVERAGEIF(G4:G15,"&gt;0")</f>
        <v>2628696.5825</v>
      </c>
      <c r="H18" s="172">
        <f t="shared" si="6"/>
        <v>2192971.831666667</v>
      </c>
      <c r="I18" s="227">
        <f>AVERAGEIF(I4:I15,"&gt;0")</f>
        <v>0.83870396329502384</v>
      </c>
      <c r="J18" s="172">
        <f t="shared" si="6"/>
        <v>1100733.175</v>
      </c>
      <c r="K18" s="172">
        <f>AVERAGEIF(K4:K15,"&gt;0")</f>
        <v>4590855.729166667</v>
      </c>
    </row>
    <row r="19" spans="2:17" ht="15.75" thickBot="1" x14ac:dyDescent="0.3"/>
    <row r="20" spans="2:17" ht="21.75" thickBot="1" x14ac:dyDescent="0.4">
      <c r="I20" s="116" t="s">
        <v>110</v>
      </c>
      <c r="J20" s="170" t="s">
        <v>93</v>
      </c>
      <c r="K20" s="105">
        <f>AVERAGEIF(K4:K15,"&gt;0")</f>
        <v>4590855.729166667</v>
      </c>
      <c r="M20" s="228">
        <f>AVERAGEIF(M4:M15,"&gt;0")</f>
        <v>0.51623695342567588</v>
      </c>
      <c r="N20" s="228">
        <f>AVERAGEIF(N4:N15,"&gt;0")</f>
        <v>0.24419949425099283</v>
      </c>
      <c r="O20" s="228">
        <f>AVERAGEIF(O4:O15,"&gt;0")</f>
        <v>0.23956355232333135</v>
      </c>
      <c r="P20" s="229"/>
      <c r="Q20" s="228">
        <f>AVERAGEIF(Q4:Q15,"&gt;0")</f>
        <v>0.91017505533463916</v>
      </c>
    </row>
    <row r="21" spans="2:17" ht="15.75" thickBot="1" x14ac:dyDescent="0.3">
      <c r="P21" s="213"/>
    </row>
    <row r="22" spans="2:17" ht="21.75" thickBot="1" x14ac:dyDescent="0.4">
      <c r="I22" s="116" t="s">
        <v>110</v>
      </c>
      <c r="J22" s="220" t="s">
        <v>92</v>
      </c>
      <c r="K22" s="105">
        <f>'[2]обзор 2016'!Q20</f>
        <v>4741951.8525</v>
      </c>
      <c r="M22" s="228">
        <f>'[2]обзор 2016'!M19</f>
        <v>0.51445072377510959</v>
      </c>
      <c r="N22" s="228">
        <f>'[2]обзор 2016'!N19</f>
        <v>0.32634546723943331</v>
      </c>
      <c r="O22" s="228">
        <f>'[2]обзор 2016'!O19</f>
        <v>0.15920380898545708</v>
      </c>
      <c r="P22" s="229"/>
      <c r="Q22" s="228">
        <f>'[2]обзор 2016'!Q19</f>
        <v>0.90330687725741943</v>
      </c>
    </row>
    <row r="23" spans="2:17" ht="21.75" thickBot="1" x14ac:dyDescent="0.4">
      <c r="I23" s="203"/>
      <c r="J23" s="230"/>
      <c r="K23" s="231"/>
      <c r="M23" s="232"/>
      <c r="N23" s="232"/>
      <c r="O23" s="232"/>
      <c r="P23" s="233"/>
      <c r="Q23" s="232"/>
    </row>
    <row r="24" spans="2:17" ht="21.75" thickBot="1" x14ac:dyDescent="0.4">
      <c r="B24" s="220" t="s">
        <v>92</v>
      </c>
      <c r="C24" s="147">
        <f>'[2]обзор 2016'!C16</f>
        <v>64063368.989999995</v>
      </c>
      <c r="D24" s="147">
        <f>'[2]обзор 2016'!D16</f>
        <v>28327954.800000001</v>
      </c>
      <c r="E24" s="147">
        <f>'[2]обзор 2016'!E16</f>
        <v>28804740.280000001</v>
      </c>
      <c r="F24" s="120">
        <f>'[2]обзор 2016'!F16</f>
        <v>1.0267643212053172</v>
      </c>
      <c r="G24" s="147">
        <f>'[2]обзор 2016'!G16</f>
        <v>35735414.189999998</v>
      </c>
      <c r="H24" s="147">
        <f>'[2]обзор 2016'!H16</f>
        <v>28081335.570000004</v>
      </c>
      <c r="I24" s="120">
        <f>'[2]обзор 2016'!I16</f>
        <v>0.80418337944206975</v>
      </c>
      <c r="J24" s="147">
        <f>'[2]обзор 2016'!J16</f>
        <v>19288061</v>
      </c>
      <c r="K24" s="147">
        <f>'[2]обзор 2016'!K16</f>
        <v>56903422.229999997</v>
      </c>
    </row>
    <row r="25" spans="2:17" x14ac:dyDescent="0.25">
      <c r="M25" s="200"/>
    </row>
    <row r="27" spans="2:17" x14ac:dyDescent="0.25">
      <c r="E27" s="199"/>
    </row>
  </sheetData>
  <customSheetViews>
    <customSheetView guid="{06317133-151B-4DBC-8EB3-9345BA061F91}" scale="60" showPageBreaks="1" printArea="1" topLeftCell="A7">
      <selection activeCell="K20" sqref="K20"/>
      <pageMargins left="0.7" right="0.7" top="0.75" bottom="0.75" header="0.3" footer="0.3"/>
      <pageSetup paperSize="9" orientation="portrait" r:id="rId1"/>
    </customSheetView>
    <customSheetView guid="{375BA386-B398-4A0E-AF86-4319F1FDDF11}" scale="80" showPageBreaks="1" topLeftCell="A20">
      <selection activeCell="Q29" sqref="Q29"/>
      <pageMargins left="0.7" right="0.7" top="0.75" bottom="0.75" header="0.3" footer="0.3"/>
      <pageSetup paperSize="9" orientation="portrait" r:id="rId2"/>
    </customSheetView>
    <customSheetView guid="{45C31AC1-6FB2-488C-94EA-BCF9E79D0043}" scale="90" showPageBreaks="1" printArea="1">
      <selection activeCell="D10" sqref="D10"/>
      <pageMargins left="0.7" right="0.7" top="0.75" bottom="0.75" header="0.3" footer="0.3"/>
      <pageSetup paperSize="9" orientation="portrait" r:id="rId3"/>
    </customSheetView>
    <customSheetView guid="{368B64E8-7AD6-4BC7-A731-9903B52ABB0C}" scale="90" showPageBreaks="1" printArea="1">
      <selection activeCell="J4" sqref="J4:J6"/>
      <pageMargins left="0.7" right="0.7" top="0.75" bottom="0.75" header="0.3" footer="0.3"/>
      <pageSetup paperSize="9" orientation="portrait" r:id="rId4"/>
    </customSheetView>
    <customSheetView guid="{985ED1BC-53D6-40D6-BED0-BF19A973D3E0}" scale="60" showPageBreaks="1" printArea="1" topLeftCell="A10">
      <selection activeCell="K20" sqref="K20"/>
      <pageMargins left="0.7" right="0.7" top="0.75" bottom="0.75" header="0.3" footer="0.3"/>
      <pageSetup paperSize="9" orientation="portrait" r:id="rId5"/>
    </customSheetView>
    <customSheetView guid="{CA0EFFCB-6323-469D-93EE-7365AC1A8B79}" scale="70" topLeftCell="A13">
      <selection activeCell="N34" sqref="N34"/>
      <pageMargins left="0.7" right="0.7" top="0.75" bottom="0.75" header="0.3" footer="0.3"/>
      <pageSetup paperSize="9" orientation="portrait" r:id="rId6"/>
    </customSheetView>
    <customSheetView guid="{1168776E-3CE1-4C5E-BCD8-35079C55D78E}" scale="60" showPageBreaks="1" printArea="1" topLeftCell="A10">
      <selection activeCell="K20" sqref="K20"/>
      <pageMargins left="0.7" right="0.7" top="0.75" bottom="0.75" header="0.3" footer="0.3"/>
      <pageSetup paperSize="9" orientation="portrait" r:id="rId7"/>
    </customSheetView>
    <customSheetView guid="{845EA106-2CB5-4F86-BBCF-D0DE18153B1C}" scale="90" showPageBreaks="1" printArea="1">
      <selection activeCell="J4" sqref="J4:J6"/>
      <pageMargins left="0.7" right="0.7" top="0.75" bottom="0.75" header="0.3" footer="0.3"/>
      <pageSetup paperSize="9" orientation="portrait" r:id="rId8"/>
    </customSheetView>
    <customSheetView guid="{C29DA669-F4F9-44CD-9569-E796ADF74A86}" scale="90" showPageBreaks="1" printArea="1">
      <selection activeCell="J4" sqref="J4:J6"/>
      <pageMargins left="0.7" right="0.7" top="0.75" bottom="0.75" header="0.3" footer="0.3"/>
      <pageSetup paperSize="9" orientation="portrait" r:id="rId9"/>
    </customSheetView>
    <customSheetView guid="{A1BD6C0C-B1B9-4F48-A6B1-3BFD273F4CD7}" scale="80" showPageBreaks="1" topLeftCell="A17">
      <selection activeCell="Q29" sqref="Q29"/>
      <pageMargins left="0.7" right="0.7" top="0.75" bottom="0.75" header="0.3" footer="0.3"/>
      <pageSetup paperSize="9" orientation="portrait" r:id="rId10"/>
    </customSheetView>
    <customSheetView guid="{D42288F7-1871-4EF6-BC87-1B9EF747C744}" scale="60" topLeftCell="A7">
      <selection activeCell="K20" sqref="K20"/>
      <pageMargins left="0.7" right="0.7" top="0.75" bottom="0.75" header="0.3" footer="0.3"/>
      <pageSetup paperSize="9" orientation="portrait" r:id="rId11"/>
    </customSheetView>
    <customSheetView guid="{8C638750-2D78-446E-B8DA-A6202AF1ED31}" scale="90" showPageBreaks="1" printArea="1">
      <selection activeCell="J4" sqref="J4:J6"/>
      <pageMargins left="0.7" right="0.7" top="0.75" bottom="0.75" header="0.3" footer="0.3"/>
      <pageSetup paperSize="9" orientation="portrait" r:id="rId12"/>
    </customSheetView>
  </customSheetViews>
  <pageMargins left="0.7" right="0.7" top="0.75" bottom="0.75" header="0.3" footer="0.3"/>
  <pageSetup paperSize="9" orientation="portrait" r:id="rId13"/>
  <drawing r:id="rId1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3"/>
  <sheetViews>
    <sheetView topLeftCell="B1" zoomScale="60" zoomScaleNormal="60" workbookViewId="0">
      <selection activeCell="K25" sqref="K25"/>
    </sheetView>
  </sheetViews>
  <sheetFormatPr defaultRowHeight="15" x14ac:dyDescent="0.25"/>
  <cols>
    <col min="1" max="1" width="8.85546875" hidden="1" customWidth="1"/>
    <col min="2" max="2" width="14.28515625" customWidth="1"/>
    <col min="3" max="5" width="20.7109375" customWidth="1"/>
    <col min="6" max="6" width="10.7109375" customWidth="1"/>
    <col min="7" max="8" width="20.7109375" customWidth="1"/>
    <col min="9" max="9" width="10.7109375" customWidth="1"/>
    <col min="10" max="10" width="18.7109375" customWidth="1"/>
    <col min="11" max="11" width="20.7109375" customWidth="1"/>
    <col min="13" max="13" width="15.7109375" customWidth="1"/>
    <col min="14" max="14" width="17.85546875" customWidth="1"/>
    <col min="15" max="15" width="15.7109375" customWidth="1"/>
    <col min="16" max="16" width="3.7109375" customWidth="1"/>
    <col min="17" max="17" width="19.42578125" customWidth="1"/>
  </cols>
  <sheetData>
    <row r="2" spans="2:17" ht="15.75" thickBot="1" x14ac:dyDescent="0.3"/>
    <row r="3" spans="2:17" ht="38.25" thickBot="1" x14ac:dyDescent="0.3">
      <c r="C3" s="107" t="s">
        <v>61</v>
      </c>
      <c r="D3" s="108" t="s">
        <v>66</v>
      </c>
      <c r="E3" s="108" t="s">
        <v>67</v>
      </c>
      <c r="F3" s="108" t="s">
        <v>71</v>
      </c>
      <c r="G3" s="108" t="s">
        <v>68</v>
      </c>
      <c r="H3" s="108" t="s">
        <v>69</v>
      </c>
      <c r="I3" s="108" t="s">
        <v>71</v>
      </c>
      <c r="J3" s="108" t="s">
        <v>107</v>
      </c>
      <c r="K3" s="107" t="s">
        <v>70</v>
      </c>
      <c r="M3" s="70" t="s">
        <v>55</v>
      </c>
      <c r="N3" s="108" t="s">
        <v>109</v>
      </c>
      <c r="O3" s="70" t="s">
        <v>57</v>
      </c>
      <c r="P3" s="70"/>
      <c r="Q3" s="108" t="s">
        <v>56</v>
      </c>
    </row>
    <row r="4" spans="2:17" ht="21" x14ac:dyDescent="0.35">
      <c r="B4" s="79">
        <v>1</v>
      </c>
      <c r="C4" s="77">
        <f>'[3]январь 2016_Эпотос-К'!E77</f>
        <v>3779161.8</v>
      </c>
      <c r="D4" s="77">
        <f>'[3]январь 2016_Эпотос-К'!E75</f>
        <v>2081667.8</v>
      </c>
      <c r="E4" s="77">
        <f>'[3]январь 2016_Эпотос-К'!L75</f>
        <v>2073626.5</v>
      </c>
      <c r="F4" s="148">
        <f t="shared" ref="F4:F15" si="0">E4/D4</f>
        <v>0.99613708777164156</v>
      </c>
      <c r="G4" s="77">
        <f>'[3]январь 2016_Эпотос-К'!E76</f>
        <v>1697494</v>
      </c>
      <c r="H4" s="77">
        <f>'[3]январь 2016_Эпотос-К'!L76</f>
        <v>1158857</v>
      </c>
      <c r="I4" s="149">
        <f t="shared" ref="I4:I15" si="1">H4/G4</f>
        <v>0.68268694911440042</v>
      </c>
      <c r="J4" s="150">
        <f>SUM('[3]январь 2016'!L30:L31)</f>
        <v>284240</v>
      </c>
      <c r="K4" s="78">
        <f>'[3]январь 2016_Эпотос-К'!L77</f>
        <v>3232483.5</v>
      </c>
      <c r="M4" s="74">
        <f t="shared" ref="M4:M14" si="2">E4/K4</f>
        <v>0.64149639124221358</v>
      </c>
      <c r="N4" s="74">
        <f>J4/K4</f>
        <v>8.7932390064790741E-2</v>
      </c>
      <c r="O4" s="74">
        <f>1-M4-N4</f>
        <v>0.27057121869299566</v>
      </c>
      <c r="P4" s="74"/>
      <c r="Q4" s="74">
        <f t="shared" ref="Q4:Q14" si="3">K4/C4</f>
        <v>0.85534403422473215</v>
      </c>
    </row>
    <row r="5" spans="2:17" ht="21" x14ac:dyDescent="0.35">
      <c r="B5" s="81">
        <v>32</v>
      </c>
      <c r="C5" s="29">
        <f>'[3]февраль 2016_Эпотос-К'!E80</f>
        <v>5130922.5999999996</v>
      </c>
      <c r="D5" s="29">
        <f>'[3]февраль 2016_Эпотос-К'!E78</f>
        <v>2976868.6</v>
      </c>
      <c r="E5" s="29">
        <f>'[3]февраль 2016_Эпотос-К'!L78</f>
        <v>3106802.4000000004</v>
      </c>
      <c r="F5" s="109">
        <f t="shared" si="0"/>
        <v>1.0436478116635717</v>
      </c>
      <c r="G5" s="27">
        <f>'[3]февраль 2016_Эпотос-К'!E79</f>
        <v>2154054</v>
      </c>
      <c r="H5" s="27">
        <f>'[3]февраль 2016_Эпотос-К'!L79</f>
        <v>1322783.43</v>
      </c>
      <c r="I5" s="109">
        <f t="shared" si="1"/>
        <v>0.61409018993952791</v>
      </c>
      <c r="J5" s="151">
        <f>SUM('[3]февраль 2016'!L33:L40)</f>
        <v>920521</v>
      </c>
      <c r="K5" s="28">
        <f>'[3]февраль 2016_Эпотос-К'!L80</f>
        <v>4429585.83</v>
      </c>
      <c r="M5" s="74">
        <f t="shared" si="2"/>
        <v>0.701375369895474</v>
      </c>
      <c r="N5" s="74">
        <f t="shared" ref="N5:N15" si="4">J5/K5</f>
        <v>0.207811979568302</v>
      </c>
      <c r="O5" s="74">
        <f t="shared" ref="O5:O15" si="5">1-M5-N5</f>
        <v>9.0812650536224004E-2</v>
      </c>
      <c r="P5" s="74"/>
      <c r="Q5" s="74">
        <f t="shared" si="3"/>
        <v>0.86331176190418468</v>
      </c>
    </row>
    <row r="6" spans="2:17" ht="21" x14ac:dyDescent="0.35">
      <c r="B6" s="81">
        <v>61</v>
      </c>
      <c r="C6" s="27">
        <f>'[3]март 2016_Эпотос-К'!E66</f>
        <v>5947955.5</v>
      </c>
      <c r="D6" s="27">
        <f>'[3]март 2016_Эпотос-К'!E64</f>
        <v>1657413</v>
      </c>
      <c r="E6" s="27">
        <f>'[3]март 2016_Эпотос-К'!L64</f>
        <v>1726754.5</v>
      </c>
      <c r="F6" s="109">
        <f t="shared" si="0"/>
        <v>1.0418371884376434</v>
      </c>
      <c r="G6" s="27">
        <f>'[3]март 2016_Эпотос-К'!E65</f>
        <v>4290542.5</v>
      </c>
      <c r="H6" s="27">
        <f>'[3]март 2016_Эпотос-К'!L65</f>
        <v>2490229.8000000003</v>
      </c>
      <c r="I6" s="109">
        <f t="shared" si="1"/>
        <v>0.58039975131349941</v>
      </c>
      <c r="J6" s="151">
        <f>SUM('[3]март 2016'!L35:L90)</f>
        <v>1548768.8000000003</v>
      </c>
      <c r="K6" s="28">
        <f>'[3]март 2016_Эпотос-К'!L66</f>
        <v>4216984.3000000007</v>
      </c>
      <c r="M6" s="74">
        <f t="shared" si="2"/>
        <v>0.40947615100203233</v>
      </c>
      <c r="N6" s="74">
        <f t="shared" si="4"/>
        <v>0.36726928293282951</v>
      </c>
      <c r="O6" s="74">
        <f t="shared" si="5"/>
        <v>0.2232545660651381</v>
      </c>
      <c r="P6" s="74"/>
      <c r="Q6" s="74">
        <f t="shared" si="3"/>
        <v>0.70898047236567263</v>
      </c>
    </row>
    <row r="7" spans="2:17" ht="21" x14ac:dyDescent="0.35">
      <c r="B7" s="81">
        <v>92</v>
      </c>
      <c r="C7" s="27">
        <f>'[3]апрель 2016_Эпотос-К'!E81</f>
        <v>5975372.0700000003</v>
      </c>
      <c r="D7" s="27">
        <f>'[3]апрель 2016_Эпотос-К'!E79</f>
        <v>1427213.5</v>
      </c>
      <c r="E7" s="27">
        <f>'[3]апрель 2016_Эпотос-К'!L79</f>
        <v>1459454</v>
      </c>
      <c r="F7" s="109">
        <f t="shared" si="0"/>
        <v>1.0225898227560208</v>
      </c>
      <c r="G7" s="27">
        <f>'[3]апрель 2016_Эпотос-К'!E80</f>
        <v>4548158.57</v>
      </c>
      <c r="H7" s="27">
        <f>'[3]апрель 2016_Эпотос-К'!L80</f>
        <v>2625190.0499999998</v>
      </c>
      <c r="I7" s="109">
        <f t="shared" si="1"/>
        <v>0.57719844407271836</v>
      </c>
      <c r="J7" s="151">
        <f>SUM('[3]апрель 2016'!L37:L90)</f>
        <v>1867272.7</v>
      </c>
      <c r="K7" s="28">
        <f>'[3]апрель 2016_Эпотос-К'!L81</f>
        <v>4084644.05</v>
      </c>
      <c r="M7" s="74">
        <f t="shared" si="2"/>
        <v>0.35730261489982218</v>
      </c>
      <c r="N7" s="74">
        <f t="shared" si="4"/>
        <v>0.4571445338058282</v>
      </c>
      <c r="O7" s="74">
        <f t="shared" si="5"/>
        <v>0.18555285129434962</v>
      </c>
      <c r="P7" s="74"/>
      <c r="Q7" s="74">
        <f t="shared" si="3"/>
        <v>0.68357986785582703</v>
      </c>
    </row>
    <row r="8" spans="2:17" ht="21" x14ac:dyDescent="0.35">
      <c r="B8" s="81">
        <v>122</v>
      </c>
      <c r="C8" s="27">
        <f>'[3]май 2016 Эпотос-К'!E74</f>
        <v>3957376.18</v>
      </c>
      <c r="D8" s="27">
        <f>'[3]май 2016 Эпотос-К'!E72</f>
        <v>1983746.6800000002</v>
      </c>
      <c r="E8" s="27">
        <f>'[3]май 2016 Эпотос-К'!L72</f>
        <v>2341350.1800000002</v>
      </c>
      <c r="F8" s="109">
        <f t="shared" si="0"/>
        <v>1.1802667163127905</v>
      </c>
      <c r="G8" s="27">
        <f>'[3]май 2016 Эпотос-К'!E73</f>
        <v>1973629.5</v>
      </c>
      <c r="H8" s="27">
        <f>'[3]май 2016 Эпотос-К'!L73</f>
        <v>1815395.4</v>
      </c>
      <c r="I8" s="109">
        <f t="shared" si="1"/>
        <v>0.91982583357210657</v>
      </c>
      <c r="J8" s="151">
        <f>SUM('[3]май 2016'!L25:L33)</f>
        <v>1203609.5</v>
      </c>
      <c r="K8" s="28">
        <f>'[3]май 2016 Эпотос-К'!L74</f>
        <v>4156745.58</v>
      </c>
      <c r="M8" s="75">
        <f t="shared" si="2"/>
        <v>0.56326521191609713</v>
      </c>
      <c r="N8" s="74">
        <f t="shared" si="4"/>
        <v>0.28955572979763655</v>
      </c>
      <c r="O8" s="74">
        <f t="shared" si="5"/>
        <v>0.14717905828626632</v>
      </c>
      <c r="P8" s="75"/>
      <c r="Q8" s="75">
        <f t="shared" si="3"/>
        <v>1.0503791883641449</v>
      </c>
    </row>
    <row r="9" spans="2:17" ht="21" x14ac:dyDescent="0.35">
      <c r="B9" s="81">
        <v>153</v>
      </c>
      <c r="C9" s="27">
        <f>'[3]июнь 2016 Эпотос-К'!E73</f>
        <v>4530233.24</v>
      </c>
      <c r="D9" s="27">
        <f>'[3]июнь 2016 Эпотос-К'!E71</f>
        <v>2322991.2199999997</v>
      </c>
      <c r="E9" s="27">
        <f>'[3]июнь 2016 Эпотос-К'!L71</f>
        <v>2494416.25</v>
      </c>
      <c r="F9" s="109">
        <f t="shared" si="0"/>
        <v>1.0737949539043028</v>
      </c>
      <c r="G9" s="27">
        <f>'[3]июнь 2016 Эпотос-К'!E72</f>
        <v>2207242.02</v>
      </c>
      <c r="H9" s="27">
        <f>'[3]июнь 2016 Эпотос-К'!L72</f>
        <v>2011042.42</v>
      </c>
      <c r="I9" s="109">
        <f t="shared" si="1"/>
        <v>0.91111097096638272</v>
      </c>
      <c r="J9" s="151">
        <f>SUM('[3]июнь 2016'!L22:L52)</f>
        <v>1567290.5</v>
      </c>
      <c r="K9" s="28">
        <f>'[3]июнь 2016 Эпотос-К'!L73</f>
        <v>4505458.67</v>
      </c>
      <c r="M9" s="75">
        <f t="shared" si="2"/>
        <v>0.55364313218747163</v>
      </c>
      <c r="N9" s="74">
        <f t="shared" si="4"/>
        <v>0.34786480462820446</v>
      </c>
      <c r="O9" s="74">
        <f t="shared" si="5"/>
        <v>9.8492063184323908E-2</v>
      </c>
      <c r="P9" s="75"/>
      <c r="Q9" s="75">
        <f t="shared" si="3"/>
        <v>0.99453128157260173</v>
      </c>
    </row>
    <row r="10" spans="2:17" ht="21" x14ac:dyDescent="0.35">
      <c r="B10" s="81">
        <v>183</v>
      </c>
      <c r="C10" s="27">
        <f>'[3]июль 2016 Эпотос-К'!E81</f>
        <v>7370162.6699999999</v>
      </c>
      <c r="D10" s="27">
        <f>'[3]июль 2016 Эпотос-К'!E79</f>
        <v>2886920.8</v>
      </c>
      <c r="E10" s="27">
        <f>'[3]июль 2016 Эпотос-К'!L79</f>
        <v>2366265.1</v>
      </c>
      <c r="F10" s="109">
        <f t="shared" si="0"/>
        <v>0.8196501615146492</v>
      </c>
      <c r="G10" s="27">
        <f>'[3]июль 2016 Эпотос-К'!E80</f>
        <v>4483241.87</v>
      </c>
      <c r="H10" s="27">
        <f>'[3]июль 2016 Эпотос-К'!L80</f>
        <v>3629355.74</v>
      </c>
      <c r="I10" s="109">
        <f t="shared" si="1"/>
        <v>0.80953824157606735</v>
      </c>
      <c r="J10" s="151">
        <f>SUM('[3]июль 2016'!L25:L72)</f>
        <v>2882594</v>
      </c>
      <c r="K10" s="28">
        <f>'[3]июль 2016 Эпотос-К'!L81</f>
        <v>5995620.8399999999</v>
      </c>
      <c r="M10" s="75">
        <f t="shared" si="2"/>
        <v>0.39466556727759994</v>
      </c>
      <c r="N10" s="74">
        <f t="shared" si="4"/>
        <v>0.48078323778726478</v>
      </c>
      <c r="O10" s="74">
        <f t="shared" si="5"/>
        <v>0.12455119493513528</v>
      </c>
      <c r="P10" s="75"/>
      <c r="Q10" s="75">
        <f t="shared" si="3"/>
        <v>0.81349911914495099</v>
      </c>
    </row>
    <row r="11" spans="2:17" ht="21" x14ac:dyDescent="0.35">
      <c r="B11" s="81">
        <v>214</v>
      </c>
      <c r="C11" s="27">
        <f>'[3]август 2016 Эпотос-К'!E83</f>
        <v>7010713.9100000001</v>
      </c>
      <c r="D11" s="27">
        <f>'[3]август 2016 Эпотос-К'!E81</f>
        <v>2984491.6</v>
      </c>
      <c r="E11" s="27">
        <f>'[3]август 2016 Эпотос-К'!L81</f>
        <v>2314954.6</v>
      </c>
      <c r="F11" s="109">
        <f t="shared" si="0"/>
        <v>0.77566128850890381</v>
      </c>
      <c r="G11" s="27">
        <f>'[3]август 2016 Эпотос-К'!E82</f>
        <v>4026222.3100000005</v>
      </c>
      <c r="H11" s="27">
        <f>'[3]август 2016 Эпотос-К'!L82</f>
        <v>3435300.6900000004</v>
      </c>
      <c r="I11" s="109">
        <f t="shared" si="1"/>
        <v>0.85323174566582738</v>
      </c>
      <c r="J11" s="151">
        <f>SUM('[3]август 2016'!L33:L68)</f>
        <v>2644569.5</v>
      </c>
      <c r="K11" s="28">
        <f>'[3]август 2016 Эпотос-К'!L83</f>
        <v>5750255.290000001</v>
      </c>
      <c r="M11" s="75">
        <f t="shared" si="2"/>
        <v>0.40258292601822898</v>
      </c>
      <c r="N11" s="74">
        <f t="shared" si="4"/>
        <v>0.45990471146542777</v>
      </c>
      <c r="O11" s="74">
        <f t="shared" si="5"/>
        <v>0.13751236251634325</v>
      </c>
      <c r="P11" s="75"/>
      <c r="Q11" s="75">
        <f t="shared" si="3"/>
        <v>0.82020966249926475</v>
      </c>
    </row>
    <row r="12" spans="2:17" ht="21" x14ac:dyDescent="0.35">
      <c r="B12" s="81">
        <v>245</v>
      </c>
      <c r="C12" s="27">
        <f>'[3]сентябрь 2016 Эпотос-К'!E85</f>
        <v>5790244.7200000007</v>
      </c>
      <c r="D12" s="27">
        <f>'[3]сентябрь 2016 Эпотос-К'!E83</f>
        <v>2550922.2000000002</v>
      </c>
      <c r="E12" s="27">
        <f>'[3]сентябрь 2016 Эпотос-К'!L83</f>
        <v>2542865</v>
      </c>
      <c r="F12" s="109">
        <f t="shared" si="0"/>
        <v>0.99684145600363661</v>
      </c>
      <c r="G12" s="27">
        <f>'[3]сентябрь 2016 Эпотос-К'!E84</f>
        <v>3239322.52</v>
      </c>
      <c r="H12" s="27">
        <f>'[3]сентябрь 2016 Эпотос-К'!L84</f>
        <v>2867355.9400000004</v>
      </c>
      <c r="I12" s="109">
        <f t="shared" si="1"/>
        <v>0.88517148950021818</v>
      </c>
      <c r="J12" s="151">
        <f>SUM('[3]сентябрь 2016'!L52:L73)</f>
        <v>1980197.5</v>
      </c>
      <c r="K12" s="28">
        <f>'[3]сентябрь 2016 Эпотос-К'!L85</f>
        <v>5410220.9400000004</v>
      </c>
      <c r="M12" s="75">
        <f t="shared" si="2"/>
        <v>0.47001130419638643</v>
      </c>
      <c r="N12" s="74">
        <f t="shared" si="4"/>
        <v>0.36601046832664097</v>
      </c>
      <c r="O12" s="74">
        <f t="shared" si="5"/>
        <v>0.16397822747697255</v>
      </c>
      <c r="P12" s="75"/>
      <c r="Q12" s="75">
        <f t="shared" si="3"/>
        <v>0.93436826967133779</v>
      </c>
    </row>
    <row r="13" spans="2:17" ht="21" x14ac:dyDescent="0.35">
      <c r="B13" s="81">
        <v>275</v>
      </c>
      <c r="C13" s="27">
        <f>'[3]октябрь 2016 Эпотос-К'!E90</f>
        <v>4939969</v>
      </c>
      <c r="D13" s="27">
        <f>'[3]октябрь 2016 Эпотос-К'!E88</f>
        <v>2681845.5</v>
      </c>
      <c r="E13" s="27">
        <f>'[3]октябрь 2016 Эпотос-К'!L88</f>
        <v>2975330.8000000003</v>
      </c>
      <c r="F13" s="109">
        <f t="shared" si="0"/>
        <v>1.1094340818663866</v>
      </c>
      <c r="G13" s="27">
        <f>'[3]октябрь 2016 Эпотос-К'!E89</f>
        <v>2258123.5</v>
      </c>
      <c r="H13" s="27">
        <f>'[3]октябрь 2016 Эпотос-К'!L89</f>
        <v>2019770</v>
      </c>
      <c r="I13" s="109">
        <f t="shared" si="1"/>
        <v>0.89444620721585866</v>
      </c>
      <c r="J13" s="151">
        <f>SUM('[3]октябрь 2016'!L33:L50)</f>
        <v>1049373.5</v>
      </c>
      <c r="K13" s="28">
        <f>'[3]октябрь 2016 Эпотос-К'!L93</f>
        <v>5012447.1800000006</v>
      </c>
      <c r="M13" s="75">
        <f t="shared" si="2"/>
        <v>0.59358845951968708</v>
      </c>
      <c r="N13" s="74">
        <f t="shared" si="4"/>
        <v>0.2093535277911896</v>
      </c>
      <c r="O13" s="74">
        <f t="shared" si="5"/>
        <v>0.19705801268912332</v>
      </c>
      <c r="P13" s="75"/>
      <c r="Q13" s="75">
        <f t="shared" si="3"/>
        <v>1.0146717884262029</v>
      </c>
    </row>
    <row r="14" spans="2:17" ht="21" x14ac:dyDescent="0.35">
      <c r="B14" s="81">
        <v>306</v>
      </c>
      <c r="C14" s="27">
        <f>'[3]ноябрь 2016 Эпотос-К'!E88</f>
        <v>4338285.3</v>
      </c>
      <c r="D14" s="27">
        <f>'[3]ноябрь 2016 Эпотос-К'!E86</f>
        <v>2546736.9</v>
      </c>
      <c r="E14" s="27">
        <f>'[3]ноябрь 2016 Эпотос-К'!L86</f>
        <v>2921823.05</v>
      </c>
      <c r="F14" s="109">
        <f t="shared" si="0"/>
        <v>1.1472810756383982</v>
      </c>
      <c r="G14" s="27">
        <f>'[3]ноябрь 2016 Эпотос-К'!E87</f>
        <v>1791548.4000000001</v>
      </c>
      <c r="H14" s="27">
        <f>'[3]ноябрь 2016 Эпотос-К'!L87</f>
        <v>1670257.1</v>
      </c>
      <c r="I14" s="109">
        <f t="shared" si="1"/>
        <v>0.93229806127481674</v>
      </c>
      <c r="J14" s="151">
        <f>SUM('[3]ноябрь 2016'!L38:L48)</f>
        <v>1018225</v>
      </c>
      <c r="K14" s="28">
        <f>'[3]ноябрь 2016 Эпотос-К'!L88</f>
        <v>4592080.1500000004</v>
      </c>
      <c r="M14" s="75">
        <f t="shared" si="2"/>
        <v>0.63627440170006611</v>
      </c>
      <c r="N14" s="74">
        <f t="shared" si="4"/>
        <v>0.22173502350563282</v>
      </c>
      <c r="O14" s="74">
        <f t="shared" si="5"/>
        <v>0.14199057479430108</v>
      </c>
      <c r="P14" s="75"/>
      <c r="Q14" s="75">
        <f t="shared" si="3"/>
        <v>1.0585011893984937</v>
      </c>
    </row>
    <row r="15" spans="2:17" ht="21.75" thickBot="1" x14ac:dyDescent="0.4">
      <c r="B15" s="110">
        <v>336</v>
      </c>
      <c r="C15" s="111">
        <f>'[3]декабрь 2016 Эпотос-К'!E85</f>
        <v>5292972</v>
      </c>
      <c r="D15" s="111">
        <f>'[3]декабрь 2016 Эпотос-К'!E83</f>
        <v>2227137</v>
      </c>
      <c r="E15" s="111">
        <f>'[3]декабрь 2016 Эпотос-К'!L83</f>
        <v>2481097.9</v>
      </c>
      <c r="F15" s="109">
        <f t="shared" si="0"/>
        <v>1.1140302100858634</v>
      </c>
      <c r="G15" s="111">
        <f>'[3]декабрь 2016 Эпотос-К'!E84</f>
        <v>3065835</v>
      </c>
      <c r="H15" s="111">
        <f>'[3]декабрь 2016 Эпотос-К'!L84</f>
        <v>3035798</v>
      </c>
      <c r="I15" s="109">
        <f t="shared" si="1"/>
        <v>0.9902026690934117</v>
      </c>
      <c r="J15" s="151">
        <f>SUM('[3]декабрь 2016'!L32:L107)</f>
        <v>2321399</v>
      </c>
      <c r="K15" s="112">
        <f>'[3]декабрь 2016 Эпотос-К'!L85</f>
        <v>5516895.9000000004</v>
      </c>
      <c r="M15" s="75">
        <f>E15/K15</f>
        <v>0.44972715544623559</v>
      </c>
      <c r="N15" s="74">
        <f t="shared" si="4"/>
        <v>0.42077991719945268</v>
      </c>
      <c r="O15" s="74">
        <f t="shared" si="5"/>
        <v>0.12949292735431167</v>
      </c>
      <c r="P15" s="75"/>
      <c r="Q15" s="75">
        <f>K15/C15</f>
        <v>1.0423058916616224</v>
      </c>
    </row>
    <row r="16" spans="2:17" ht="21.75" thickBot="1" x14ac:dyDescent="0.4">
      <c r="B16" s="113" t="s">
        <v>72</v>
      </c>
      <c r="C16" s="147">
        <f>SUM(C4:C15)</f>
        <v>64063368.989999995</v>
      </c>
      <c r="D16" s="147">
        <f>SUM(D4:D15)</f>
        <v>28327954.800000001</v>
      </c>
      <c r="E16" s="147">
        <f>SUM(E4:E15)</f>
        <v>28804740.280000001</v>
      </c>
      <c r="F16" s="152">
        <f>AVERAGE(F4:F15)</f>
        <v>1.0267643212053172</v>
      </c>
      <c r="G16" s="147">
        <f>SUM(G4:G15)</f>
        <v>35735414.189999998</v>
      </c>
      <c r="H16" s="147">
        <f>SUM(H4:H15)</f>
        <v>28081335.570000004</v>
      </c>
      <c r="I16" s="152">
        <f>AVERAGE(I4:I15)</f>
        <v>0.80418337944206975</v>
      </c>
      <c r="J16" s="147">
        <f>SUM(J4:J15)</f>
        <v>19288061</v>
      </c>
      <c r="K16" s="153">
        <f>SUM(K4:K15)</f>
        <v>56903422.229999997</v>
      </c>
      <c r="M16" s="155"/>
      <c r="N16" s="156"/>
      <c r="O16" s="157"/>
    </row>
    <row r="18" spans="4:17" ht="19.5" thickBot="1" x14ac:dyDescent="0.35">
      <c r="D18" s="197">
        <f>AVERAGE(D4:D15)</f>
        <v>2360662.9</v>
      </c>
      <c r="J18" s="198">
        <f>AVERAGE(J4:J15)</f>
        <v>1607338.4166666667</v>
      </c>
    </row>
    <row r="19" spans="4:17" ht="21.75" thickBot="1" x14ac:dyDescent="0.4">
      <c r="E19" s="171"/>
      <c r="H19" s="183"/>
      <c r="I19" s="182"/>
      <c r="J19" s="182"/>
      <c r="M19" s="154">
        <f>AVERAGE(M4:M15)</f>
        <v>0.51445072377510959</v>
      </c>
      <c r="N19" s="154">
        <f>AVERAGE(N4:N15)</f>
        <v>0.32634546723943331</v>
      </c>
      <c r="O19" s="154">
        <f>AVERAGE(O4:O15)</f>
        <v>0.15920380898545708</v>
      </c>
      <c r="P19" s="154"/>
      <c r="Q19" s="154">
        <f>AVERAGE(Q4:Q15)</f>
        <v>0.90330687725741943</v>
      </c>
    </row>
    <row r="20" spans="4:17" ht="20.100000000000001" customHeight="1" thickBot="1" x14ac:dyDescent="0.3">
      <c r="K20" s="180" t="s">
        <v>63</v>
      </c>
      <c r="M20" s="158">
        <f>AVERAGE(E4:E15)</f>
        <v>2400395.0233333334</v>
      </c>
      <c r="N20" s="159">
        <f>AVERAGE(J4:J15)</f>
        <v>1607338.4166666667</v>
      </c>
      <c r="O20" s="159">
        <f>Q20-M20-N20</f>
        <v>734218.41249999986</v>
      </c>
      <c r="P20" s="181"/>
      <c r="Q20" s="184">
        <f>AVERAGE($K$4:$K$15)</f>
        <v>4741951.8525</v>
      </c>
    </row>
    <row r="23" spans="4:17" x14ac:dyDescent="0.25">
      <c r="H23" s="117"/>
    </row>
  </sheetData>
  <customSheetViews>
    <customSheetView guid="{06317133-151B-4DBC-8EB3-9345BA061F91}" scale="60" showPageBreaks="1" fitToPage="1" printArea="1" hiddenColumns="1" topLeftCell="B1">
      <selection activeCell="K25" sqref="K25"/>
      <pageMargins left="0.70866141732283472" right="0.70866141732283472" top="1.5354330708661419" bottom="0.74803149606299213" header="0.31496062992125984" footer="0.31496062992125984"/>
      <pageSetup paperSize="9" scale="50" orientation="landscape" r:id="rId1"/>
    </customSheetView>
    <customSheetView guid="{375BA386-B398-4A0E-AF86-4319F1FDDF11}" scale="90" showPageBreaks="1" fitToPage="1" printArea="1" hiddenColumns="1" topLeftCell="B1">
      <selection activeCell="Q21" sqref="Q21"/>
      <pageMargins left="0.70866141732283472" right="0.70866141732283472" top="1.5354330708661419" bottom="0.74803149606299213" header="0.31496062992125984" footer="0.31496062992125984"/>
      <pageSetup paperSize="9" scale="50" orientation="landscape" r:id="rId2"/>
    </customSheetView>
    <customSheetView guid="{45C31AC1-6FB2-488C-94EA-BCF9E79D0043}" showPageBreaks="1" fitToPage="1" printArea="1" hiddenColumns="1" topLeftCell="B1">
      <selection activeCell="K25" sqref="K25"/>
      <pageMargins left="0.70866141732283472" right="0.70866141732283472" top="1.5354330708661419" bottom="0.74803149606299213" header="0.31496062992125984" footer="0.31496062992125984"/>
      <pageSetup paperSize="9" scale="50" orientation="landscape" r:id="rId3"/>
    </customSheetView>
    <customSheetView guid="{368B64E8-7AD6-4BC7-A731-9903B52ABB0C}" scale="90" showPageBreaks="1" fitToPage="1" printArea="1" hiddenColumns="1" topLeftCell="B1">
      <selection activeCell="Q21" sqref="Q21"/>
      <pageMargins left="0.70866141732283472" right="0.70866141732283472" top="1.5354330708661419" bottom="0.74803149606299213" header="0.31496062992125984" footer="0.31496062992125984"/>
      <pageSetup paperSize="9" scale="50" orientation="landscape" r:id="rId4"/>
    </customSheetView>
    <customSheetView guid="{40668DAD-2016-43AB-978A-7EBCCA65FC96}" showPageBreaks="1" fitToPage="1" printArea="1" hiddenColumns="1" topLeftCell="B1">
      <selection activeCell="K25" sqref="K25"/>
      <pageMargins left="0.70866141732283472" right="0.70866141732283472" top="1.5354330708661419" bottom="0.74803149606299213" header="0.31496062992125984" footer="0.31496062992125984"/>
      <pageSetup paperSize="9" scale="50" orientation="landscape" r:id="rId5"/>
    </customSheetView>
    <customSheetView guid="{D800552E-1EF8-4BC8-9EFF-0AF8FC74B053}" showPageBreaks="1" fitToPage="1" printArea="1" hiddenColumns="1" topLeftCell="B1">
      <selection activeCell="A18" sqref="A18:XFD18"/>
      <pageMargins left="0.70866141732283472" right="0.70866141732283472" top="1.5354330708661419" bottom="0.74803149606299213" header="0.31496062992125984" footer="0.31496062992125984"/>
      <pageSetup paperSize="9" scale="51" orientation="landscape" r:id="rId6"/>
    </customSheetView>
    <customSheetView guid="{284DBE66-ADFD-4F9E-A431-13ED7075966F}" showPageBreaks="1" fitToPage="1" printArea="1" hiddenColumns="1" topLeftCell="B1">
      <selection activeCell="K25" sqref="K25"/>
      <pageMargins left="0.70866141732283472" right="0.70866141732283472" top="1.5354330708661419" bottom="0.74803149606299213" header="0.31496062992125984" footer="0.31496062992125984"/>
      <pageSetup paperSize="9" scale="51" orientation="landscape" r:id="rId7"/>
    </customSheetView>
    <customSheetView guid="{991AEFF2-E4AE-41D0-B810-875DE90D90C4}" showPageBreaks="1" fitToPage="1" printArea="1" hiddenColumns="1" topLeftCell="B1">
      <selection activeCell="K25" sqref="K25"/>
      <pageMargins left="0.70866141732283472" right="0.70866141732283472" top="1.5354330708661419" bottom="0.74803149606299213" header="0.31496062992125984" footer="0.31496062992125984"/>
      <pageSetup paperSize="9" scale="51" orientation="landscape" r:id="rId8"/>
    </customSheetView>
    <customSheetView guid="{415F9960-5313-4B8C-A857-E343B234574E}" showPageBreaks="1" fitToPage="1" printArea="1" hiddenColumns="1" topLeftCell="C1">
      <selection activeCell="A18" sqref="A18:XFD18"/>
      <pageMargins left="0.70866141732283472" right="0.70866141732283472" top="1.5354330708661419" bottom="0.74803149606299213" header="0.31496062992125984" footer="0.31496062992125984"/>
      <pageSetup paperSize="9" scale="50" orientation="landscape" r:id="rId9"/>
    </customSheetView>
    <customSheetView guid="{80DF195B-C3BE-44B8-BBAD-8A91B6EC45AB}" showPageBreaks="1" fitToPage="1" printArea="1" hiddenColumns="1" topLeftCell="D1">
      <selection activeCell="D1" sqref="D1"/>
      <pageMargins left="0.70866141732283472" right="0.70866141732283472" top="1.5354330708661419" bottom="0.74803149606299213" header="0.31496062992125984" footer="0.31496062992125984"/>
      <pageSetup paperSize="9" scale="50" orientation="landscape" r:id="rId10"/>
    </customSheetView>
    <customSheetView guid="{985ED1BC-53D6-40D6-BED0-BF19A973D3E0}" showPageBreaks="1" fitToPage="1" printArea="1" hiddenColumns="1" topLeftCell="B1">
      <selection activeCell="M26" sqref="M26"/>
      <pageMargins left="0.70866141732283472" right="0.70866141732283472" top="1.5354330708661419" bottom="0.74803149606299213" header="0.31496062992125984" footer="0.31496062992125984"/>
      <pageSetup paperSize="9" scale="50" orientation="landscape" r:id="rId11"/>
    </customSheetView>
    <customSheetView guid="{CA0EFFCB-6323-469D-93EE-7365AC1A8B79}" scale="90" fitToPage="1" hiddenColumns="1" topLeftCell="B1">
      <selection activeCell="Q21" sqref="Q21"/>
      <pageMargins left="0.70866141732283472" right="0.70866141732283472" top="1.5354330708661419" bottom="0.74803149606299213" header="0.31496062992125984" footer="0.31496062992125984"/>
      <pageSetup paperSize="9" scale="50" orientation="landscape" r:id="rId12"/>
    </customSheetView>
    <customSheetView guid="{1168776E-3CE1-4C5E-BCD8-35079C55D78E}" scale="60" showPageBreaks="1" fitToPage="1" printArea="1" hiddenColumns="1" topLeftCell="B1">
      <selection activeCell="K25" sqref="K25"/>
      <pageMargins left="0.70866141732283472" right="0.70866141732283472" top="1.5354330708661419" bottom="0.74803149606299213" header="0.31496062992125984" footer="0.31496062992125984"/>
      <pageSetup paperSize="9" scale="50" orientation="landscape" r:id="rId13"/>
    </customSheetView>
    <customSheetView guid="{845EA106-2CB5-4F86-BBCF-D0DE18153B1C}" scale="80" showPageBreaks="1" fitToPage="1" printArea="1" hiddenColumns="1" topLeftCell="B1">
      <selection activeCell="K25" sqref="K25"/>
      <pageMargins left="0.70866141732283472" right="0.70866141732283472" top="1.5354330708661419" bottom="0.74803149606299213" header="0.31496062992125984" footer="0.31496062992125984"/>
      <pageSetup paperSize="9" scale="50" orientation="landscape" r:id="rId14"/>
    </customSheetView>
    <customSheetView guid="{C29DA669-F4F9-44CD-9569-E796ADF74A86}" scale="80" showPageBreaks="1" fitToPage="1" printArea="1" hiddenColumns="1" topLeftCell="B1">
      <selection activeCell="K25" sqref="K25"/>
      <pageMargins left="0.70866141732283472" right="0.70866141732283472" top="1.5354330708661419" bottom="0.74803149606299213" header="0.31496062992125984" footer="0.31496062992125984"/>
      <pageSetup paperSize="9" scale="50" orientation="landscape" r:id="rId15"/>
    </customSheetView>
    <customSheetView guid="{A1BD6C0C-B1B9-4F48-A6B1-3BFD273F4CD7}" scale="90" showPageBreaks="1" fitToPage="1" printArea="1" hiddenColumns="1" topLeftCell="B1">
      <selection activeCell="Q21" sqref="Q21"/>
      <pageMargins left="0.70866141732283472" right="0.70866141732283472" top="1.5354330708661419" bottom="0.74803149606299213" header="0.31496062992125984" footer="0.31496062992125984"/>
      <pageSetup paperSize="9" scale="50" orientation="landscape" r:id="rId16"/>
    </customSheetView>
    <customSheetView guid="{D42288F7-1871-4EF6-BC87-1B9EF747C744}" scale="60" fitToPage="1" hiddenColumns="1" topLeftCell="B1">
      <selection activeCell="K25" sqref="K25"/>
      <pageMargins left="0.70866141732283472" right="0.70866141732283472" top="1.5354330708661419" bottom="0.74803149606299213" header="0.31496062992125984" footer="0.31496062992125984"/>
      <pageSetup paperSize="9" scale="50" orientation="landscape" r:id="rId17"/>
    </customSheetView>
    <customSheetView guid="{8C638750-2D78-446E-B8DA-A6202AF1ED31}" scale="80" showPageBreaks="1" fitToPage="1" printArea="1" hiddenColumns="1" topLeftCell="B1">
      <selection activeCell="K25" sqref="K25"/>
      <pageMargins left="0.70866141732283472" right="0.70866141732283472" top="1.5354330708661419" bottom="0.74803149606299213" header="0.31496062992125984" footer="0.31496062992125984"/>
      <pageSetup paperSize="9" scale="50" orientation="landscape" r:id="rId18"/>
    </customSheetView>
  </customSheetViews>
  <pageMargins left="0.70866141732283472" right="0.70866141732283472" top="1.5354330708661419" bottom="0.74803149606299213" header="0.31496062992125984" footer="0.31496062992125984"/>
  <pageSetup paperSize="9" scale="50" orientation="landscape" r:id="rId19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70"/>
  <sheetViews>
    <sheetView zoomScale="70" zoomScaleNormal="80" workbookViewId="0">
      <pane ySplit="6" topLeftCell="A7" activePane="bottomLeft" state="frozen"/>
      <selection pane="bottomLeft" activeCell="G73" sqref="G73:G74"/>
    </sheetView>
  </sheetViews>
  <sheetFormatPr defaultColWidth="8.85546875" defaultRowHeight="15" x14ac:dyDescent="0.25"/>
  <cols>
    <col min="1" max="1" width="8.7109375" style="9" customWidth="1"/>
    <col min="2" max="2" width="72.28515625" style="9" customWidth="1"/>
    <col min="3" max="14" width="11.7109375" style="9" customWidth="1"/>
    <col min="15" max="15" width="2.7109375" style="9" customWidth="1"/>
    <col min="16" max="17" width="10.7109375" style="9" customWidth="1"/>
    <col min="18" max="18" width="2.7109375" style="9" customWidth="1"/>
    <col min="19" max="19" width="17" style="9" customWidth="1"/>
    <col min="20" max="20" width="19.28515625" style="9" customWidth="1"/>
    <col min="21" max="21" width="23.42578125" style="9" customWidth="1"/>
    <col min="22" max="22" width="18.7109375" style="5" customWidth="1"/>
    <col min="23" max="16384" width="8.85546875" style="4"/>
  </cols>
  <sheetData>
    <row r="1" spans="1:22" ht="15" customHeight="1" x14ac:dyDescent="0.25">
      <c r="A1" s="577"/>
      <c r="B1" s="577"/>
    </row>
    <row r="2" spans="1:22" ht="15" customHeight="1" x14ac:dyDescent="0.25">
      <c r="A2" s="577"/>
      <c r="B2" s="577"/>
    </row>
    <row r="3" spans="1:22" ht="23.25" x14ac:dyDescent="0.35">
      <c r="A3" s="125"/>
      <c r="B3" s="141" t="s">
        <v>366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</row>
    <row r="4" spans="1:22" ht="9" customHeight="1" thickBot="1" x14ac:dyDescent="0.3"/>
    <row r="5" spans="1:22" s="6" customFormat="1" ht="23.25" customHeight="1" x14ac:dyDescent="0.2">
      <c r="A5" s="571" t="s">
        <v>5</v>
      </c>
      <c r="B5" s="571" t="s">
        <v>6</v>
      </c>
      <c r="C5" s="610">
        <v>42736</v>
      </c>
      <c r="D5" s="610">
        <v>42767</v>
      </c>
      <c r="E5" s="610">
        <v>42795</v>
      </c>
      <c r="F5" s="610">
        <v>42826</v>
      </c>
      <c r="G5" s="610">
        <v>42856</v>
      </c>
      <c r="H5" s="610">
        <v>42887</v>
      </c>
      <c r="I5" s="610">
        <v>42917</v>
      </c>
      <c r="J5" s="610">
        <v>42948</v>
      </c>
      <c r="K5" s="610">
        <v>42979</v>
      </c>
      <c r="L5" s="610">
        <v>43009</v>
      </c>
      <c r="M5" s="610">
        <v>43040</v>
      </c>
      <c r="N5" s="610">
        <v>43070</v>
      </c>
      <c r="O5" s="610"/>
      <c r="P5" s="571" t="s">
        <v>669</v>
      </c>
      <c r="Q5" s="571" t="s">
        <v>111</v>
      </c>
      <c r="R5" s="123"/>
      <c r="S5" s="571" t="s">
        <v>8</v>
      </c>
      <c r="T5" s="571" t="s">
        <v>9</v>
      </c>
      <c r="U5" s="571" t="s">
        <v>106</v>
      </c>
      <c r="V5" s="187"/>
    </row>
    <row r="6" spans="1:22" s="6" customFormat="1" ht="32.25" customHeight="1" thickBot="1" x14ac:dyDescent="0.25">
      <c r="A6" s="572"/>
      <c r="B6" s="572"/>
      <c r="C6" s="611"/>
      <c r="D6" s="611"/>
      <c r="E6" s="611"/>
      <c r="F6" s="611"/>
      <c r="G6" s="611"/>
      <c r="H6" s="611"/>
      <c r="I6" s="611"/>
      <c r="J6" s="611"/>
      <c r="K6" s="611"/>
      <c r="L6" s="611"/>
      <c r="M6" s="611"/>
      <c r="N6" s="611"/>
      <c r="O6" s="611"/>
      <c r="P6" s="572"/>
      <c r="Q6" s="572"/>
      <c r="R6" s="124"/>
      <c r="S6" s="572"/>
      <c r="T6" s="572"/>
      <c r="U6" s="572"/>
      <c r="V6" s="188"/>
    </row>
    <row r="7" spans="1:22" s="6" customFormat="1" ht="30" customHeight="1" x14ac:dyDescent="0.3">
      <c r="A7" s="259">
        <v>4316</v>
      </c>
      <c r="B7" s="249" t="s">
        <v>22</v>
      </c>
      <c r="C7" s="127">
        <f>'январь 2019 Эпотос-К'!K7</f>
        <v>3600</v>
      </c>
      <c r="D7" s="127">
        <f>'февраль 2019 Эпотос-К'!K7</f>
        <v>4000</v>
      </c>
      <c r="E7" s="127">
        <f>'март 2019 Эпотос-К'!K7</f>
        <v>6000</v>
      </c>
      <c r="F7" s="127">
        <f>'апрель 2019 Эпотос-К'!K7</f>
        <v>7120</v>
      </c>
      <c r="G7" s="127">
        <f>'май 2019 Эпотос-К'!K7</f>
        <v>5728</v>
      </c>
      <c r="H7" s="127">
        <f>'июнь 2019 Эпотос-К'!K7</f>
        <v>2020</v>
      </c>
      <c r="I7" s="127"/>
      <c r="J7" s="127"/>
      <c r="K7" s="127"/>
      <c r="L7" s="127"/>
      <c r="M7" s="127"/>
      <c r="N7" s="62"/>
      <c r="O7" s="62"/>
      <c r="P7" s="127">
        <f>SUM(C7:N7)</f>
        <v>28468</v>
      </c>
      <c r="Q7" s="127">
        <f>AVERAGEIF(C7:N7,"&gt;0")</f>
        <v>4744.666666666667</v>
      </c>
      <c r="R7" s="102"/>
      <c r="S7" s="91">
        <v>194.7</v>
      </c>
      <c r="T7" s="128">
        <f>S7*P7</f>
        <v>5542719.5999999996</v>
      </c>
      <c r="U7" s="128">
        <f>T7</f>
        <v>5542719.5999999996</v>
      </c>
      <c r="V7" s="189">
        <f>T7*0.41</f>
        <v>2272515.0359999998</v>
      </c>
    </row>
    <row r="8" spans="1:22" s="6" customFormat="1" ht="5.0999999999999996" customHeight="1" x14ac:dyDescent="0.2">
      <c r="A8" s="68"/>
      <c r="B8" s="44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62"/>
      <c r="O8" s="62"/>
      <c r="P8" s="127"/>
      <c r="Q8" s="127"/>
      <c r="R8" s="129"/>
      <c r="S8" s="92"/>
      <c r="T8" s="128"/>
      <c r="U8" s="128"/>
      <c r="V8" s="189"/>
    </row>
    <row r="9" spans="1:22" s="6" customFormat="1" ht="20.100000000000001" customHeight="1" x14ac:dyDescent="0.2">
      <c r="A9" s="68"/>
      <c r="B9" s="35" t="s">
        <v>23</v>
      </c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62"/>
      <c r="O9" s="62"/>
      <c r="P9" s="127"/>
      <c r="Q9" s="127"/>
      <c r="R9" s="102"/>
      <c r="S9" s="91"/>
      <c r="T9" s="128"/>
      <c r="U9" s="128"/>
      <c r="V9" s="189"/>
    </row>
    <row r="10" spans="1:22" s="6" customFormat="1" ht="5.0999999999999996" customHeight="1" x14ac:dyDescent="0.2">
      <c r="A10" s="68"/>
      <c r="B10" s="35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62"/>
      <c r="O10" s="62"/>
      <c r="P10" s="127"/>
      <c r="Q10" s="127"/>
      <c r="R10" s="102"/>
      <c r="S10" s="91"/>
      <c r="T10" s="128"/>
      <c r="U10" s="128"/>
      <c r="V10" s="189"/>
    </row>
    <row r="11" spans="1:22" s="6" customFormat="1" ht="20.100000000000001" customHeight="1" x14ac:dyDescent="0.2">
      <c r="A11" s="68">
        <v>4317</v>
      </c>
      <c r="B11" s="35" t="s">
        <v>86</v>
      </c>
      <c r="C11" s="127">
        <f>'январь 2019 Эпотос-К'!K11</f>
        <v>242</v>
      </c>
      <c r="D11" s="127">
        <f>'февраль 2019 Эпотос-К'!K11</f>
        <v>0</v>
      </c>
      <c r="E11" s="127">
        <f>'март 2019 Эпотос-К'!K11</f>
        <v>337</v>
      </c>
      <c r="F11" s="127">
        <f>'апрель 2019 Эпотос-К'!K11</f>
        <v>514</v>
      </c>
      <c r="G11" s="127">
        <f>'май 2019 Эпотос-К'!K11</f>
        <v>0</v>
      </c>
      <c r="H11" s="127">
        <f>'июнь 2019 Эпотос-К'!K11</f>
        <v>112</v>
      </c>
      <c r="I11" s="127"/>
      <c r="J11" s="127"/>
      <c r="K11" s="127"/>
      <c r="L11" s="127"/>
      <c r="M11" s="127"/>
      <c r="N11" s="62"/>
      <c r="O11" s="62"/>
      <c r="P11" s="127">
        <f t="shared" ref="P11:P74" si="0">SUM(C11:N11)</f>
        <v>1205</v>
      </c>
      <c r="Q11" s="127">
        <f t="shared" ref="Q11:Q20" si="1">AVERAGEIF(C11:N11,"&gt;0")</f>
        <v>301.25</v>
      </c>
      <c r="R11" s="102"/>
      <c r="S11" s="91">
        <v>102.5</v>
      </c>
      <c r="T11" s="128">
        <f t="shared" ref="T11:T74" si="2">S11*P11</f>
        <v>123512.5</v>
      </c>
      <c r="U11" s="607">
        <f>SUM(T11:T20)</f>
        <v>1113659.8</v>
      </c>
      <c r="V11" s="598">
        <f>U11*0.25</f>
        <v>278414.95</v>
      </c>
    </row>
    <row r="12" spans="1:22" s="6" customFormat="1" ht="19.5" customHeight="1" x14ac:dyDescent="0.2">
      <c r="A12" s="68">
        <v>4318</v>
      </c>
      <c r="B12" s="35" t="s">
        <v>40</v>
      </c>
      <c r="C12" s="127">
        <f>'январь 2019 Эпотос-К'!K12</f>
        <v>242</v>
      </c>
      <c r="D12" s="127">
        <f>'февраль 2019 Эпотос-К'!K12</f>
        <v>61</v>
      </c>
      <c r="E12" s="127">
        <f>'март 2019 Эпотос-К'!K12</f>
        <v>337</v>
      </c>
      <c r="F12" s="127">
        <f>'апрель 2019 Эпотос-К'!K12</f>
        <v>514</v>
      </c>
      <c r="G12" s="127">
        <f>'май 2019 Эпотос-К'!K12</f>
        <v>0</v>
      </c>
      <c r="H12" s="127">
        <f>'июнь 2019 Эпотос-К'!K12</f>
        <v>112</v>
      </c>
      <c r="I12" s="127"/>
      <c r="J12" s="127"/>
      <c r="K12" s="127"/>
      <c r="L12" s="127"/>
      <c r="M12" s="127"/>
      <c r="N12" s="62"/>
      <c r="O12" s="62"/>
      <c r="P12" s="127">
        <f t="shared" si="0"/>
        <v>1266</v>
      </c>
      <c r="Q12" s="127">
        <f t="shared" si="1"/>
        <v>253.2</v>
      </c>
      <c r="R12" s="102"/>
      <c r="S12" s="91">
        <v>77</v>
      </c>
      <c r="T12" s="128">
        <f t="shared" si="2"/>
        <v>97482</v>
      </c>
      <c r="U12" s="608"/>
      <c r="V12" s="599"/>
    </row>
    <row r="13" spans="1:22" s="6" customFormat="1" ht="19.5" customHeight="1" x14ac:dyDescent="0.2">
      <c r="A13" s="68">
        <v>4319</v>
      </c>
      <c r="B13" s="35" t="s">
        <v>41</v>
      </c>
      <c r="C13" s="127">
        <f>'январь 2019 Эпотос-К'!K13</f>
        <v>242</v>
      </c>
      <c r="D13" s="127">
        <f>'февраль 2019 Эпотос-К'!K13</f>
        <v>61</v>
      </c>
      <c r="E13" s="127">
        <f>'март 2019 Эпотос-К'!K13</f>
        <v>337</v>
      </c>
      <c r="F13" s="127">
        <f>'апрель 2019 Эпотос-К'!K13</f>
        <v>514</v>
      </c>
      <c r="G13" s="127">
        <f>'май 2019 Эпотос-К'!K13</f>
        <v>0</v>
      </c>
      <c r="H13" s="127">
        <f>'июнь 2019 Эпотос-К'!K13</f>
        <v>112</v>
      </c>
      <c r="I13" s="127"/>
      <c r="J13" s="127"/>
      <c r="K13" s="127"/>
      <c r="L13" s="127"/>
      <c r="M13" s="127"/>
      <c r="N13" s="62"/>
      <c r="O13" s="62"/>
      <c r="P13" s="127">
        <f t="shared" si="0"/>
        <v>1266</v>
      </c>
      <c r="Q13" s="127">
        <f t="shared" si="1"/>
        <v>253.2</v>
      </c>
      <c r="R13" s="102"/>
      <c r="S13" s="91">
        <v>81.2</v>
      </c>
      <c r="T13" s="128">
        <f t="shared" si="2"/>
        <v>102799.2</v>
      </c>
      <c r="U13" s="608"/>
      <c r="V13" s="599"/>
    </row>
    <row r="14" spans="1:22" s="6" customFormat="1" ht="19.5" customHeight="1" x14ac:dyDescent="0.2">
      <c r="A14" s="68">
        <v>4320</v>
      </c>
      <c r="B14" s="47" t="s">
        <v>85</v>
      </c>
      <c r="C14" s="127">
        <f>'январь 2019 Эпотос-К'!K14</f>
        <v>242</v>
      </c>
      <c r="D14" s="127">
        <f>'февраль 2019 Эпотос-К'!K14</f>
        <v>61</v>
      </c>
      <c r="E14" s="127">
        <f>'март 2019 Эпотос-К'!K14</f>
        <v>337</v>
      </c>
      <c r="F14" s="127">
        <f>'апрель 2019 Эпотос-К'!K14</f>
        <v>514</v>
      </c>
      <c r="G14" s="127">
        <f>'май 2019 Эпотос-К'!K14</f>
        <v>0</v>
      </c>
      <c r="H14" s="127">
        <f>'июнь 2019 Эпотос-К'!K14</f>
        <v>112</v>
      </c>
      <c r="I14" s="127"/>
      <c r="J14" s="127"/>
      <c r="K14" s="127"/>
      <c r="L14" s="127"/>
      <c r="M14" s="127"/>
      <c r="N14" s="62"/>
      <c r="O14" s="62"/>
      <c r="P14" s="127">
        <f t="shared" si="0"/>
        <v>1266</v>
      </c>
      <c r="Q14" s="127">
        <f t="shared" si="1"/>
        <v>253.2</v>
      </c>
      <c r="R14" s="102"/>
      <c r="S14" s="91">
        <v>68.5</v>
      </c>
      <c r="T14" s="128">
        <f t="shared" si="2"/>
        <v>86721</v>
      </c>
      <c r="U14" s="608"/>
      <c r="V14" s="599"/>
    </row>
    <row r="15" spans="1:22" s="6" customFormat="1" ht="19.5" customHeight="1" x14ac:dyDescent="0.2">
      <c r="A15" s="68">
        <v>4321</v>
      </c>
      <c r="B15" s="47" t="s">
        <v>84</v>
      </c>
      <c r="C15" s="127">
        <f>'январь 2019 Эпотос-К'!K15</f>
        <v>200</v>
      </c>
      <c r="D15" s="127">
        <f>'февраль 2019 Эпотос-К'!K15</f>
        <v>450</v>
      </c>
      <c r="E15" s="127">
        <f>'март 2019 Эпотос-К'!K15</f>
        <v>300</v>
      </c>
      <c r="F15" s="127">
        <f>'апрель 2019 Эпотос-К'!K15</f>
        <v>120</v>
      </c>
      <c r="G15" s="127">
        <f>'май 2019 Эпотос-К'!K15</f>
        <v>250</v>
      </c>
      <c r="H15" s="127">
        <f>'июнь 2019 Эпотос-К'!K15</f>
        <v>150</v>
      </c>
      <c r="I15" s="127"/>
      <c r="J15" s="127"/>
      <c r="K15" s="127"/>
      <c r="L15" s="127"/>
      <c r="M15" s="127"/>
      <c r="N15" s="62"/>
      <c r="O15" s="62"/>
      <c r="P15" s="127">
        <f t="shared" si="0"/>
        <v>1470</v>
      </c>
      <c r="Q15" s="127">
        <f t="shared" si="1"/>
        <v>245</v>
      </c>
      <c r="R15" s="102"/>
      <c r="S15" s="91">
        <v>338.83</v>
      </c>
      <c r="T15" s="128">
        <f t="shared" si="2"/>
        <v>498080.1</v>
      </c>
      <c r="U15" s="608"/>
      <c r="V15" s="599"/>
    </row>
    <row r="16" spans="1:22" s="6" customFormat="1" ht="19.5" customHeight="1" x14ac:dyDescent="0.2">
      <c r="A16" s="68">
        <v>4322</v>
      </c>
      <c r="B16" s="36" t="s">
        <v>83</v>
      </c>
      <c r="C16" s="127">
        <f>'январь 2019 Эпотос-К'!K16</f>
        <v>200</v>
      </c>
      <c r="D16" s="127">
        <f>'февраль 2019 Эпотос-К'!K16</f>
        <v>450</v>
      </c>
      <c r="E16" s="127">
        <f>'март 2019 Эпотос-К'!K16</f>
        <v>300</v>
      </c>
      <c r="F16" s="127">
        <f>'апрель 2019 Эпотос-К'!K16</f>
        <v>120</v>
      </c>
      <c r="G16" s="127">
        <f>'май 2019 Эпотос-К'!K16</f>
        <v>250</v>
      </c>
      <c r="H16" s="127">
        <f>'июнь 2019 Эпотос-К'!K16</f>
        <v>150</v>
      </c>
      <c r="I16" s="127"/>
      <c r="J16" s="127"/>
      <c r="K16" s="127"/>
      <c r="L16" s="127"/>
      <c r="M16" s="127"/>
      <c r="N16" s="62"/>
      <c r="O16" s="62"/>
      <c r="P16" s="127">
        <f t="shared" si="0"/>
        <v>1470</v>
      </c>
      <c r="Q16" s="127">
        <f t="shared" si="1"/>
        <v>245</v>
      </c>
      <c r="R16" s="102"/>
      <c r="S16" s="91">
        <v>101</v>
      </c>
      <c r="T16" s="128">
        <f t="shared" si="2"/>
        <v>148470</v>
      </c>
      <c r="U16" s="608"/>
      <c r="V16" s="599"/>
    </row>
    <row r="17" spans="1:22" s="6" customFormat="1" ht="19.5" customHeight="1" x14ac:dyDescent="0.2">
      <c r="A17" s="68">
        <v>4323</v>
      </c>
      <c r="B17" s="35" t="s">
        <v>42</v>
      </c>
      <c r="C17" s="127">
        <f>'январь 2019 Эпотос-К'!K17</f>
        <v>200</v>
      </c>
      <c r="D17" s="127">
        <f>'февраль 2019 Эпотос-К'!K17</f>
        <v>450</v>
      </c>
      <c r="E17" s="127">
        <f>'март 2019 Эпотос-К'!K17</f>
        <v>300</v>
      </c>
      <c r="F17" s="127">
        <f>'апрель 2019 Эпотос-К'!K17</f>
        <v>120</v>
      </c>
      <c r="G17" s="127">
        <f>'май 2019 Эпотос-К'!K17</f>
        <v>250</v>
      </c>
      <c r="H17" s="127">
        <f>'июнь 2019 Эпотос-К'!K17</f>
        <v>150</v>
      </c>
      <c r="I17" s="127"/>
      <c r="J17" s="127"/>
      <c r="K17" s="127"/>
      <c r="L17" s="127"/>
      <c r="M17" s="127"/>
      <c r="N17" s="62"/>
      <c r="O17" s="62"/>
      <c r="P17" s="127">
        <f t="shared" si="0"/>
        <v>1470</v>
      </c>
      <c r="Q17" s="127">
        <f t="shared" si="1"/>
        <v>245</v>
      </c>
      <c r="R17" s="102"/>
      <c r="S17" s="91">
        <v>26</v>
      </c>
      <c r="T17" s="128">
        <f t="shared" si="2"/>
        <v>38220</v>
      </c>
      <c r="U17" s="608"/>
      <c r="V17" s="599"/>
    </row>
    <row r="18" spans="1:22" s="6" customFormat="1" ht="19.5" customHeight="1" x14ac:dyDescent="0.2">
      <c r="A18" s="68">
        <v>4325</v>
      </c>
      <c r="B18" s="35" t="s">
        <v>138</v>
      </c>
      <c r="C18" s="127">
        <f>'январь 2019 Эпотос-К'!K18</f>
        <v>200</v>
      </c>
      <c r="D18" s="127">
        <f>'февраль 2019 Эпотос-К'!K18</f>
        <v>450</v>
      </c>
      <c r="E18" s="127">
        <f>'март 2019 Эпотос-К'!K18</f>
        <v>300</v>
      </c>
      <c r="F18" s="127">
        <f>'апрель 2019 Эпотос-К'!K18</f>
        <v>120</v>
      </c>
      <c r="G18" s="127">
        <f>'май 2019 Эпотос-К'!K18</f>
        <v>250</v>
      </c>
      <c r="H18" s="127">
        <f>'июнь 2019 Эпотос-К'!K18</f>
        <v>150</v>
      </c>
      <c r="I18" s="127"/>
      <c r="J18" s="127"/>
      <c r="K18" s="127"/>
      <c r="L18" s="127"/>
      <c r="M18" s="127"/>
      <c r="N18" s="62"/>
      <c r="O18" s="62"/>
      <c r="P18" s="127">
        <f t="shared" si="0"/>
        <v>1470</v>
      </c>
      <c r="Q18" s="127">
        <f t="shared" si="1"/>
        <v>245</v>
      </c>
      <c r="R18" s="102"/>
      <c r="S18" s="91">
        <v>2.2999999999999998</v>
      </c>
      <c r="T18" s="128">
        <f t="shared" si="2"/>
        <v>3380.9999999999995</v>
      </c>
      <c r="U18" s="608"/>
      <c r="V18" s="599"/>
    </row>
    <row r="19" spans="1:22" s="6" customFormat="1" ht="19.5" customHeight="1" x14ac:dyDescent="0.2">
      <c r="A19" s="68">
        <v>4326</v>
      </c>
      <c r="B19" s="35" t="s">
        <v>139</v>
      </c>
      <c r="C19" s="127">
        <f>'январь 2019 Эпотос-К'!K19</f>
        <v>200</v>
      </c>
      <c r="D19" s="127">
        <f>'февраль 2019 Эпотос-К'!K19</f>
        <v>450</v>
      </c>
      <c r="E19" s="127">
        <f>'март 2019 Эпотос-К'!K19</f>
        <v>300</v>
      </c>
      <c r="F19" s="127">
        <f>'апрель 2019 Эпотос-К'!K19</f>
        <v>120</v>
      </c>
      <c r="G19" s="127">
        <f>'май 2019 Эпотос-К'!K19</f>
        <v>250</v>
      </c>
      <c r="H19" s="127">
        <f>'июнь 2019 Эпотос-К'!K19</f>
        <v>150</v>
      </c>
      <c r="I19" s="127"/>
      <c r="J19" s="127"/>
      <c r="K19" s="127"/>
      <c r="L19" s="127"/>
      <c r="M19" s="127"/>
      <c r="N19" s="62"/>
      <c r="O19" s="62"/>
      <c r="P19" s="127">
        <f t="shared" si="0"/>
        <v>1470</v>
      </c>
      <c r="Q19" s="127">
        <f t="shared" si="1"/>
        <v>245</v>
      </c>
      <c r="R19" s="102"/>
      <c r="S19" s="91">
        <v>5.0999999999999996</v>
      </c>
      <c r="T19" s="128">
        <f t="shared" si="2"/>
        <v>7496.9999999999991</v>
      </c>
      <c r="U19" s="608"/>
      <c r="V19" s="599"/>
    </row>
    <row r="20" spans="1:22" s="6" customFormat="1" ht="19.5" customHeight="1" x14ac:dyDescent="0.2">
      <c r="A20" s="68">
        <v>4327</v>
      </c>
      <c r="B20" s="35" t="s">
        <v>43</v>
      </c>
      <c r="C20" s="127">
        <f>'январь 2019 Эпотос-К'!K20</f>
        <v>200</v>
      </c>
      <c r="D20" s="127">
        <f>'февраль 2019 Эпотос-К'!K20</f>
        <v>450</v>
      </c>
      <c r="E20" s="127">
        <f>'март 2019 Эпотос-К'!K20</f>
        <v>300</v>
      </c>
      <c r="F20" s="127">
        <f>'апрель 2019 Эпотос-К'!K20</f>
        <v>120</v>
      </c>
      <c r="G20" s="127">
        <f>'май 2019 Эпотос-К'!K20</f>
        <v>250</v>
      </c>
      <c r="H20" s="127">
        <f>'июнь 2019 Эпотос-К'!K20</f>
        <v>150</v>
      </c>
      <c r="I20" s="127"/>
      <c r="J20" s="127"/>
      <c r="K20" s="127"/>
      <c r="L20" s="127"/>
      <c r="M20" s="127"/>
      <c r="N20" s="62"/>
      <c r="O20" s="62"/>
      <c r="P20" s="127">
        <f t="shared" si="0"/>
        <v>1470</v>
      </c>
      <c r="Q20" s="127">
        <f t="shared" si="1"/>
        <v>245</v>
      </c>
      <c r="R20" s="102"/>
      <c r="S20" s="91">
        <v>5.0999999999999996</v>
      </c>
      <c r="T20" s="128">
        <f t="shared" si="2"/>
        <v>7496.9999999999991</v>
      </c>
      <c r="U20" s="609"/>
      <c r="V20" s="600"/>
    </row>
    <row r="21" spans="1:22" s="6" customFormat="1" ht="5.0999999999999996" customHeight="1" x14ac:dyDescent="0.2">
      <c r="A21" s="69"/>
      <c r="B21" s="48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62"/>
      <c r="O21" s="62"/>
      <c r="P21" s="127"/>
      <c r="Q21" s="127"/>
      <c r="R21" s="102"/>
      <c r="S21" s="91"/>
      <c r="T21" s="128"/>
      <c r="U21" s="128"/>
      <c r="V21" s="189"/>
    </row>
    <row r="22" spans="1:22" s="6" customFormat="1" ht="19.5" customHeight="1" x14ac:dyDescent="0.2">
      <c r="A22" s="68">
        <v>4352</v>
      </c>
      <c r="B22" s="47" t="s">
        <v>44</v>
      </c>
      <c r="C22" s="127">
        <f>'январь 2019 Эпотос-К'!K22</f>
        <v>120</v>
      </c>
      <c r="D22" s="127">
        <f>'февраль 2019 Эпотос-К'!K22</f>
        <v>459</v>
      </c>
      <c r="E22" s="127">
        <f>'март 2019 Эпотос-К'!K22</f>
        <v>166</v>
      </c>
      <c r="F22" s="127">
        <f>'апрель 2019 Эпотос-К'!K22</f>
        <v>344</v>
      </c>
      <c r="G22" s="127">
        <f>'май 2019 Эпотос-К'!K22</f>
        <v>254</v>
      </c>
      <c r="H22" s="127">
        <f>'июнь 2019 Эпотос-К'!K22</f>
        <v>31</v>
      </c>
      <c r="I22" s="127"/>
      <c r="J22" s="127"/>
      <c r="K22" s="127"/>
      <c r="L22" s="127"/>
      <c r="M22" s="127"/>
      <c r="N22" s="62"/>
      <c r="O22" s="62"/>
      <c r="P22" s="127">
        <f t="shared" si="0"/>
        <v>1374</v>
      </c>
      <c r="Q22" s="127">
        <f t="shared" ref="Q22:Q27" si="3">AVERAGEIF(C22:N22,"&gt;0")</f>
        <v>229</v>
      </c>
      <c r="R22" s="102"/>
      <c r="S22" s="91">
        <v>363.5</v>
      </c>
      <c r="T22" s="128">
        <f t="shared" si="2"/>
        <v>499449</v>
      </c>
      <c r="U22" s="604">
        <f>SUM(T22:T29)</f>
        <v>1199020</v>
      </c>
      <c r="V22" s="601">
        <f>U22*0.35</f>
        <v>419657</v>
      </c>
    </row>
    <row r="23" spans="1:22" s="6" customFormat="1" ht="19.5" customHeight="1" x14ac:dyDescent="0.2">
      <c r="A23" s="68">
        <v>4351</v>
      </c>
      <c r="B23" s="35" t="s">
        <v>45</v>
      </c>
      <c r="C23" s="127">
        <f>'январь 2019 Эпотос-К'!K23</f>
        <v>267</v>
      </c>
      <c r="D23" s="127">
        <f>'февраль 2019 Эпотос-К'!K23</f>
        <v>564</v>
      </c>
      <c r="E23" s="127">
        <f>'март 2019 Эпотос-К'!K23</f>
        <v>284</v>
      </c>
      <c r="F23" s="127">
        <f>'апрель 2019 Эпотос-К'!K23</f>
        <v>272</v>
      </c>
      <c r="G23" s="127">
        <f>'май 2019 Эпотос-К'!K23</f>
        <v>369</v>
      </c>
      <c r="H23" s="127">
        <f>'июнь 2019 Эпотос-К'!K23</f>
        <v>38</v>
      </c>
      <c r="I23" s="127"/>
      <c r="J23" s="127"/>
      <c r="K23" s="127"/>
      <c r="L23" s="127"/>
      <c r="M23" s="127"/>
      <c r="N23" s="62"/>
      <c r="O23" s="62"/>
      <c r="P23" s="127">
        <f t="shared" si="0"/>
        <v>1794</v>
      </c>
      <c r="Q23" s="127">
        <f t="shared" si="3"/>
        <v>299</v>
      </c>
      <c r="R23" s="102"/>
      <c r="S23" s="91">
        <v>333.5</v>
      </c>
      <c r="T23" s="128">
        <f t="shared" si="2"/>
        <v>598299</v>
      </c>
      <c r="U23" s="605"/>
      <c r="V23" s="602"/>
    </row>
    <row r="24" spans="1:22" s="6" customFormat="1" ht="19.5" customHeight="1" x14ac:dyDescent="0.2">
      <c r="A24" s="68">
        <v>4355</v>
      </c>
      <c r="B24" s="36" t="s">
        <v>46</v>
      </c>
      <c r="C24" s="127">
        <f>'январь 2019 Эпотос-К'!K24</f>
        <v>34</v>
      </c>
      <c r="D24" s="127">
        <f>'февраль 2019 Эпотос-К'!K24</f>
        <v>0</v>
      </c>
      <c r="E24" s="127">
        <f>'март 2019 Эпотос-К'!K24</f>
        <v>0</v>
      </c>
      <c r="F24" s="127">
        <f>'апрель 2019 Эпотос-К'!K24</f>
        <v>0</v>
      </c>
      <c r="G24" s="127">
        <f>'май 2019 Эпотос-К'!K24</f>
        <v>54</v>
      </c>
      <c r="H24" s="127">
        <f>'июнь 2019 Эпотос-К'!K24</f>
        <v>0</v>
      </c>
      <c r="I24" s="127"/>
      <c r="J24" s="127"/>
      <c r="K24" s="127"/>
      <c r="L24" s="127"/>
      <c r="M24" s="127"/>
      <c r="N24" s="62"/>
      <c r="O24" s="62"/>
      <c r="P24" s="127">
        <f t="shared" si="0"/>
        <v>88</v>
      </c>
      <c r="Q24" s="127">
        <f t="shared" si="3"/>
        <v>44</v>
      </c>
      <c r="R24" s="102"/>
      <c r="S24" s="91">
        <v>27.5</v>
      </c>
      <c r="T24" s="128">
        <f t="shared" si="2"/>
        <v>2420</v>
      </c>
      <c r="U24" s="605"/>
      <c r="V24" s="602"/>
    </row>
    <row r="25" spans="1:22" s="6" customFormat="1" ht="19.5" customHeight="1" x14ac:dyDescent="0.2">
      <c r="A25" s="68">
        <v>4353</v>
      </c>
      <c r="B25" s="47" t="s">
        <v>47</v>
      </c>
      <c r="C25" s="127">
        <f>'январь 2019 Эпотос-К'!K25</f>
        <v>84</v>
      </c>
      <c r="D25" s="127">
        <f>'февраль 2019 Эпотос-К'!K25</f>
        <v>29</v>
      </c>
      <c r="E25" s="127">
        <f>'март 2019 Эпотос-К'!K25</f>
        <v>0</v>
      </c>
      <c r="F25" s="127">
        <f>'апрель 2019 Эпотос-К'!K25</f>
        <v>15</v>
      </c>
      <c r="G25" s="127">
        <f>'май 2019 Эпотос-К'!K25</f>
        <v>291</v>
      </c>
      <c r="H25" s="127">
        <f>'июнь 2019 Эпотос-К'!K25</f>
        <v>9</v>
      </c>
      <c r="I25" s="127"/>
      <c r="J25" s="127"/>
      <c r="K25" s="127"/>
      <c r="L25" s="127"/>
      <c r="M25" s="127"/>
      <c r="N25" s="62"/>
      <c r="O25" s="62"/>
      <c r="P25" s="127">
        <f>SUM(C25:N25)</f>
        <v>428</v>
      </c>
      <c r="Q25" s="127">
        <f t="shared" si="3"/>
        <v>85.6</v>
      </c>
      <c r="R25" s="102"/>
      <c r="S25" s="91">
        <v>27.5</v>
      </c>
      <c r="T25" s="128">
        <f t="shared" si="2"/>
        <v>11770</v>
      </c>
      <c r="U25" s="605"/>
      <c r="V25" s="602"/>
    </row>
    <row r="26" spans="1:22" s="6" customFormat="1" ht="19.5" customHeight="1" x14ac:dyDescent="0.2">
      <c r="A26" s="68">
        <v>4354</v>
      </c>
      <c r="B26" s="35" t="s">
        <v>48</v>
      </c>
      <c r="C26" s="127">
        <f>'январь 2019 Эпотос-К'!K26</f>
        <v>417</v>
      </c>
      <c r="D26" s="127">
        <f>'февраль 2019 Эпотос-К'!K26</f>
        <v>1023</v>
      </c>
      <c r="E26" s="127">
        <f>'март 2019 Эпотос-К'!K26</f>
        <v>491</v>
      </c>
      <c r="F26" s="127">
        <f>'апрель 2019 Эпотос-К'!K26</f>
        <v>616</v>
      </c>
      <c r="G26" s="127">
        <f>'май 2019 Эпотос-К'!K26</f>
        <v>623</v>
      </c>
      <c r="H26" s="127">
        <f>'июнь 2019 Эпотос-К'!K26</f>
        <v>69</v>
      </c>
      <c r="I26" s="127"/>
      <c r="J26" s="127"/>
      <c r="K26" s="127"/>
      <c r="L26" s="127"/>
      <c r="M26" s="127"/>
      <c r="N26" s="62"/>
      <c r="O26" s="62"/>
      <c r="P26" s="127">
        <f t="shared" si="0"/>
        <v>3239</v>
      </c>
      <c r="Q26" s="127">
        <f t="shared" si="3"/>
        <v>539.83333333333337</v>
      </c>
      <c r="R26" s="102"/>
      <c r="S26" s="91">
        <v>23.5</v>
      </c>
      <c r="T26" s="128">
        <f t="shared" si="2"/>
        <v>76116.5</v>
      </c>
      <c r="U26" s="605"/>
      <c r="V26" s="602"/>
    </row>
    <row r="27" spans="1:22" s="6" customFormat="1" ht="19.5" customHeight="1" x14ac:dyDescent="0.2">
      <c r="A27" s="68">
        <v>4356</v>
      </c>
      <c r="B27" s="45" t="s">
        <v>49</v>
      </c>
      <c r="C27" s="127">
        <f>'январь 2019 Эпотос-К'!K27</f>
        <v>77</v>
      </c>
      <c r="D27" s="127">
        <f>'февраль 2019 Эпотос-К'!K27</f>
        <v>0</v>
      </c>
      <c r="E27" s="127">
        <f>'март 2019 Эпотос-К'!K27</f>
        <v>0</v>
      </c>
      <c r="F27" s="127">
        <f>'апрель 2019 Эпотос-К'!K27</f>
        <v>0</v>
      </c>
      <c r="G27" s="127">
        <f>'май 2019 Эпотос-К'!K27</f>
        <v>0</v>
      </c>
      <c r="H27" s="127">
        <f>'июнь 2019 Эпотос-К'!K27</f>
        <v>0</v>
      </c>
      <c r="I27" s="127"/>
      <c r="J27" s="127"/>
      <c r="K27" s="127"/>
      <c r="L27" s="127"/>
      <c r="M27" s="127"/>
      <c r="N27" s="62"/>
      <c r="O27" s="62"/>
      <c r="P27" s="127">
        <f t="shared" si="0"/>
        <v>77</v>
      </c>
      <c r="Q27" s="127">
        <f t="shared" si="3"/>
        <v>77</v>
      </c>
      <c r="R27" s="102"/>
      <c r="S27" s="91">
        <v>47.5</v>
      </c>
      <c r="T27" s="128">
        <f t="shared" si="2"/>
        <v>3657.5</v>
      </c>
      <c r="U27" s="605"/>
      <c r="V27" s="602"/>
    </row>
    <row r="28" spans="1:22" s="6" customFormat="1" ht="19.5" customHeight="1" x14ac:dyDescent="0.2">
      <c r="A28" s="68">
        <v>4357</v>
      </c>
      <c r="B28" s="35" t="s">
        <v>82</v>
      </c>
      <c r="C28" s="127">
        <f>'январь 2019 Эпотос-К'!K28</f>
        <v>0</v>
      </c>
      <c r="D28" s="127">
        <f>'февраль 2019 Эпотос-К'!K28</f>
        <v>0</v>
      </c>
      <c r="E28" s="127">
        <f>'март 2019 Эпотос-К'!K28</f>
        <v>0</v>
      </c>
      <c r="F28" s="127">
        <f>'апрель 2019 Эпотос-К'!K28</f>
        <v>0</v>
      </c>
      <c r="G28" s="127">
        <f>'май 2019 Эпотос-К'!K28</f>
        <v>0</v>
      </c>
      <c r="H28" s="127">
        <f>'июнь 2019 Эпотос-К'!K28</f>
        <v>0</v>
      </c>
      <c r="I28" s="127"/>
      <c r="J28" s="127"/>
      <c r="K28" s="127"/>
      <c r="L28" s="127"/>
      <c r="M28" s="127"/>
      <c r="N28" s="62"/>
      <c r="O28" s="62"/>
      <c r="P28" s="127">
        <f t="shared" si="0"/>
        <v>0</v>
      </c>
      <c r="Q28" s="127">
        <f>AVERAGE(C28:N28)</f>
        <v>0</v>
      </c>
      <c r="R28" s="102"/>
      <c r="S28" s="91">
        <v>29</v>
      </c>
      <c r="T28" s="128">
        <f t="shared" si="2"/>
        <v>0</v>
      </c>
      <c r="U28" s="605"/>
      <c r="V28" s="602"/>
    </row>
    <row r="29" spans="1:22" s="6" customFormat="1" ht="19.5" customHeight="1" x14ac:dyDescent="0.2">
      <c r="A29" s="68">
        <v>4349</v>
      </c>
      <c r="B29" s="36" t="s">
        <v>50</v>
      </c>
      <c r="C29" s="127">
        <f>'январь 2019 Эпотос-К'!K29</f>
        <v>594</v>
      </c>
      <c r="D29" s="127">
        <f>'февраль 2019 Эпотос-К'!K29</f>
        <v>1128</v>
      </c>
      <c r="E29" s="127">
        <f>'март 2019 Эпотос-К'!K29</f>
        <v>650</v>
      </c>
      <c r="F29" s="127">
        <f>'апрель 2019 Эпотос-К'!K29</f>
        <v>544</v>
      </c>
      <c r="G29" s="127">
        <f>'май 2019 Эпотос-К'!K29</f>
        <v>738</v>
      </c>
      <c r="H29" s="127">
        <f>'июнь 2019 Эпотос-К'!K29</f>
        <v>0</v>
      </c>
      <c r="I29" s="127"/>
      <c r="J29" s="127"/>
      <c r="K29" s="127"/>
      <c r="L29" s="127"/>
      <c r="M29" s="127"/>
      <c r="N29" s="62"/>
      <c r="O29" s="62"/>
      <c r="P29" s="127">
        <f t="shared" si="0"/>
        <v>3654</v>
      </c>
      <c r="Q29" s="127">
        <f>AVERAGEIF(C29:N29,"&gt;0")</f>
        <v>730.8</v>
      </c>
      <c r="R29" s="102"/>
      <c r="S29" s="93">
        <v>2</v>
      </c>
      <c r="T29" s="128">
        <f t="shared" si="2"/>
        <v>7308</v>
      </c>
      <c r="U29" s="606"/>
      <c r="V29" s="603"/>
    </row>
    <row r="30" spans="1:22" s="6" customFormat="1" ht="5.0999999999999996" customHeight="1" x14ac:dyDescent="0.2">
      <c r="A30" s="69"/>
      <c r="B30" s="49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62"/>
      <c r="O30" s="62"/>
      <c r="P30" s="127"/>
      <c r="Q30" s="127"/>
      <c r="R30" s="102"/>
      <c r="S30" s="93"/>
      <c r="T30" s="128"/>
      <c r="U30" s="186"/>
      <c r="V30" s="191"/>
    </row>
    <row r="31" spans="1:22" s="6" customFormat="1" ht="19.5" customHeight="1" x14ac:dyDescent="0.2">
      <c r="A31" s="68">
        <v>4344</v>
      </c>
      <c r="B31" s="35" t="s">
        <v>51</v>
      </c>
      <c r="C31" s="127">
        <f>'январь 2019 Эпотос-К'!K31</f>
        <v>123</v>
      </c>
      <c r="D31" s="127">
        <f>'февраль 2019 Эпотос-К'!K31</f>
        <v>168</v>
      </c>
      <c r="E31" s="127">
        <f>'март 2019 Эпотос-К'!K31</f>
        <v>0</v>
      </c>
      <c r="F31" s="127">
        <f>'апрель 2019 Эпотос-К'!K31</f>
        <v>0</v>
      </c>
      <c r="G31" s="127">
        <f>'май 2019 Эпотос-К'!K31</f>
        <v>13</v>
      </c>
      <c r="H31" s="127">
        <f>'июнь 2019 Эпотос-К'!K31</f>
        <v>0</v>
      </c>
      <c r="I31" s="127"/>
      <c r="J31" s="127"/>
      <c r="K31" s="127"/>
      <c r="L31" s="127"/>
      <c r="M31" s="127"/>
      <c r="N31" s="62"/>
      <c r="O31" s="62"/>
      <c r="P31" s="127">
        <f t="shared" si="0"/>
        <v>304</v>
      </c>
      <c r="Q31" s="127">
        <f>AVERAGEIF(C31:N31,"&gt;0")</f>
        <v>101.33333333333333</v>
      </c>
      <c r="R31" s="102"/>
      <c r="S31" s="91">
        <v>434.5</v>
      </c>
      <c r="T31" s="128">
        <f t="shared" si="2"/>
        <v>132088</v>
      </c>
      <c r="U31" s="604">
        <f>SUM(T31:T35)</f>
        <v>159526</v>
      </c>
      <c r="V31" s="601">
        <f>U31*0.43</f>
        <v>68596.179999999993</v>
      </c>
    </row>
    <row r="32" spans="1:22" s="6" customFormat="1" ht="19.5" customHeight="1" x14ac:dyDescent="0.2">
      <c r="A32" s="68">
        <v>4345</v>
      </c>
      <c r="B32" s="35" t="s">
        <v>52</v>
      </c>
      <c r="C32" s="127">
        <f>'январь 2019 Эпотос-К'!K32</f>
        <v>128</v>
      </c>
      <c r="D32" s="127">
        <f>'февраль 2019 Эпотос-К'!K32</f>
        <v>168</v>
      </c>
      <c r="E32" s="127">
        <f>'март 2019 Эпотос-К'!K32</f>
        <v>0</v>
      </c>
      <c r="F32" s="127">
        <f>'апрель 2019 Эпотос-К'!K32</f>
        <v>0</v>
      </c>
      <c r="G32" s="127">
        <f>'май 2019 Эпотос-К'!K32</f>
        <v>13</v>
      </c>
      <c r="H32" s="127">
        <f>'июнь 2019 Эпотос-К'!K32</f>
        <v>0</v>
      </c>
      <c r="I32" s="127"/>
      <c r="J32" s="127"/>
      <c r="K32" s="127"/>
      <c r="L32" s="127"/>
      <c r="M32" s="127"/>
      <c r="N32" s="62"/>
      <c r="O32" s="62"/>
      <c r="P32" s="127">
        <f t="shared" si="0"/>
        <v>309</v>
      </c>
      <c r="Q32" s="127">
        <f>AVERAGEIF(C32:N32,"&gt;0")</f>
        <v>103</v>
      </c>
      <c r="R32" s="102"/>
      <c r="S32" s="91">
        <v>19.5</v>
      </c>
      <c r="T32" s="128">
        <f t="shared" si="2"/>
        <v>6025.5</v>
      </c>
      <c r="U32" s="605"/>
      <c r="V32" s="602"/>
    </row>
    <row r="33" spans="1:22" s="6" customFormat="1" ht="19.5" customHeight="1" x14ac:dyDescent="0.2">
      <c r="A33" s="68">
        <v>4346</v>
      </c>
      <c r="B33" s="35" t="s">
        <v>53</v>
      </c>
      <c r="C33" s="127">
        <f>'январь 2019 Эпотос-К'!K33</f>
        <v>128</v>
      </c>
      <c r="D33" s="127">
        <f>'февраль 2019 Эпотос-К'!K33</f>
        <v>50</v>
      </c>
      <c r="E33" s="127">
        <f>'март 2019 Эпотос-К'!K33</f>
        <v>0</v>
      </c>
      <c r="F33" s="127">
        <f>'апрель 2019 Эпотос-К'!K33</f>
        <v>0</v>
      </c>
      <c r="G33" s="127">
        <f>'май 2019 Эпотос-К'!K33</f>
        <v>1</v>
      </c>
      <c r="H33" s="127">
        <f>'июнь 2019 Эпотос-К'!K33</f>
        <v>0</v>
      </c>
      <c r="I33" s="127"/>
      <c r="J33" s="127"/>
      <c r="K33" s="127"/>
      <c r="L33" s="127"/>
      <c r="M33" s="127"/>
      <c r="N33" s="62"/>
      <c r="O33" s="62"/>
      <c r="P33" s="127">
        <f t="shared" si="0"/>
        <v>179</v>
      </c>
      <c r="Q33" s="127">
        <f>AVERAGEIF(C33:N33,"&gt;0")</f>
        <v>59.666666666666664</v>
      </c>
      <c r="R33" s="102"/>
      <c r="S33" s="91">
        <v>19.5</v>
      </c>
      <c r="T33" s="128">
        <f t="shared" si="2"/>
        <v>3490.5</v>
      </c>
      <c r="U33" s="605"/>
      <c r="V33" s="602"/>
    </row>
    <row r="34" spans="1:22" s="6" customFormat="1" ht="19.5" customHeight="1" x14ac:dyDescent="0.2">
      <c r="A34" s="68">
        <v>4347</v>
      </c>
      <c r="B34" s="35" t="s">
        <v>81</v>
      </c>
      <c r="C34" s="127">
        <f>'январь 2019 Эпотос-К'!K34</f>
        <v>0</v>
      </c>
      <c r="D34" s="127">
        <f>'февраль 2019 Эпотос-К'!K34</f>
        <v>0</v>
      </c>
      <c r="E34" s="127">
        <f>'март 2019 Эпотос-К'!K34</f>
        <v>0</v>
      </c>
      <c r="F34" s="127">
        <f>'апрель 2019 Эпотос-К'!K34</f>
        <v>0</v>
      </c>
      <c r="G34" s="127">
        <f>'май 2019 Эпотос-К'!K34</f>
        <v>0</v>
      </c>
      <c r="H34" s="127">
        <f>'июнь 2019 Эпотос-К'!K34</f>
        <v>0</v>
      </c>
      <c r="I34" s="127"/>
      <c r="J34" s="127"/>
      <c r="K34" s="127"/>
      <c r="L34" s="127"/>
      <c r="M34" s="127"/>
      <c r="N34" s="62"/>
      <c r="O34" s="62"/>
      <c r="P34" s="127">
        <f t="shared" si="0"/>
        <v>0</v>
      </c>
      <c r="Q34" s="127">
        <f>AVERAGE(C34:N34)</f>
        <v>0</v>
      </c>
      <c r="R34" s="102"/>
      <c r="S34" s="91">
        <v>50</v>
      </c>
      <c r="T34" s="128">
        <f t="shared" si="2"/>
        <v>0</v>
      </c>
      <c r="U34" s="605"/>
      <c r="V34" s="602"/>
    </row>
    <row r="35" spans="1:22" s="6" customFormat="1" ht="19.5" customHeight="1" x14ac:dyDescent="0.2">
      <c r="A35" s="68">
        <v>4348</v>
      </c>
      <c r="B35" s="35" t="s">
        <v>54</v>
      </c>
      <c r="C35" s="127">
        <f>'январь 2019 Эпотос-К'!K35</f>
        <v>128</v>
      </c>
      <c r="D35" s="127">
        <f>'февраль 2019 Эпотос-К'!K35</f>
        <v>168</v>
      </c>
      <c r="E35" s="127">
        <f>'март 2019 Эпотос-К'!K35</f>
        <v>0</v>
      </c>
      <c r="F35" s="127">
        <f>'апрель 2019 Эпотос-К'!K35</f>
        <v>0</v>
      </c>
      <c r="G35" s="127">
        <f>'май 2019 Эпотос-К'!K35</f>
        <v>13</v>
      </c>
      <c r="H35" s="127">
        <f>'июнь 2019 Эпотос-К'!K35</f>
        <v>0</v>
      </c>
      <c r="I35" s="127"/>
      <c r="J35" s="127"/>
      <c r="K35" s="127"/>
      <c r="L35" s="127"/>
      <c r="M35" s="127"/>
      <c r="N35" s="62"/>
      <c r="O35" s="62"/>
      <c r="P35" s="127">
        <f t="shared" si="0"/>
        <v>309</v>
      </c>
      <c r="Q35" s="127">
        <f>AVERAGEIF(C35:N35,"&gt;0")</f>
        <v>103</v>
      </c>
      <c r="R35" s="102"/>
      <c r="S35" s="91">
        <v>58</v>
      </c>
      <c r="T35" s="128">
        <f t="shared" si="2"/>
        <v>17922</v>
      </c>
      <c r="U35" s="606"/>
      <c r="V35" s="603"/>
    </row>
    <row r="36" spans="1:22" s="6" customFormat="1" ht="5.0999999999999996" customHeight="1" x14ac:dyDescent="0.2">
      <c r="A36" s="69"/>
      <c r="B36" s="35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62"/>
      <c r="O36" s="62"/>
      <c r="P36" s="127"/>
      <c r="Q36" s="127"/>
      <c r="R36" s="102"/>
      <c r="S36" s="91"/>
      <c r="T36" s="128"/>
      <c r="U36" s="186"/>
      <c r="V36" s="191"/>
    </row>
    <row r="37" spans="1:22" s="6" customFormat="1" ht="20.100000000000001" customHeight="1" x14ac:dyDescent="0.2">
      <c r="A37" s="68">
        <v>4350</v>
      </c>
      <c r="B37" s="35" t="s">
        <v>80</v>
      </c>
      <c r="C37" s="127">
        <f>'январь 2019 Эпотос-К'!K37</f>
        <v>368</v>
      </c>
      <c r="D37" s="127">
        <f>'февраль 2019 Эпотос-К'!K37</f>
        <v>706</v>
      </c>
      <c r="E37" s="127">
        <f>'март 2019 Эпотос-К'!K37</f>
        <v>440</v>
      </c>
      <c r="F37" s="127">
        <f>'апрель 2019 Эпотос-К'!K37</f>
        <v>543</v>
      </c>
      <c r="G37" s="127">
        <f>'май 2019 Эпотос-К'!K37</f>
        <v>580</v>
      </c>
      <c r="H37" s="127">
        <f>'июнь 2019 Эпотос-К'!K37</f>
        <v>266</v>
      </c>
      <c r="I37" s="127"/>
      <c r="J37" s="127"/>
      <c r="K37" s="127"/>
      <c r="L37" s="127"/>
      <c r="M37" s="127"/>
      <c r="N37" s="62"/>
      <c r="O37" s="62"/>
      <c r="P37" s="127">
        <f t="shared" si="0"/>
        <v>2903</v>
      </c>
      <c r="Q37" s="127">
        <f>AVERAGEIF(C37:N37,"&gt;0")</f>
        <v>483.83333333333331</v>
      </c>
      <c r="R37" s="102"/>
      <c r="S37" s="91">
        <v>293</v>
      </c>
      <c r="T37" s="128">
        <f t="shared" si="2"/>
        <v>850579</v>
      </c>
      <c r="U37" s="186">
        <f>T37</f>
        <v>850579</v>
      </c>
      <c r="V37" s="191">
        <f>U37*0.44</f>
        <v>374254.76</v>
      </c>
    </row>
    <row r="38" spans="1:22" s="6" customFormat="1" ht="5.0999999999999996" customHeight="1" x14ac:dyDescent="0.2">
      <c r="A38" s="69"/>
      <c r="B38" s="48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62"/>
      <c r="O38" s="62"/>
      <c r="P38" s="127"/>
      <c r="Q38" s="127"/>
      <c r="R38" s="102"/>
      <c r="S38" s="91"/>
      <c r="T38" s="128"/>
      <c r="U38" s="186"/>
      <c r="V38" s="191"/>
    </row>
    <row r="39" spans="1:22" s="6" customFormat="1" ht="20.100000000000001" customHeight="1" x14ac:dyDescent="0.2">
      <c r="A39" s="68">
        <v>4328</v>
      </c>
      <c r="B39" s="35" t="s">
        <v>33</v>
      </c>
      <c r="C39" s="127">
        <f>'январь 2019 Эпотос-К'!K39</f>
        <v>50</v>
      </c>
      <c r="D39" s="127">
        <f>'февраль 2019 Эпотос-К'!K39</f>
        <v>10</v>
      </c>
      <c r="E39" s="127">
        <f>'март 2019 Эпотос-К'!K39</f>
        <v>60</v>
      </c>
      <c r="F39" s="127">
        <f>'апрель 2019 Эпотос-К'!K39</f>
        <v>202</v>
      </c>
      <c r="G39" s="127">
        <f>'май 2019 Эпотос-К'!K39</f>
        <v>0</v>
      </c>
      <c r="H39" s="127">
        <f>'июнь 2019 Эпотос-К'!K39</f>
        <v>0</v>
      </c>
      <c r="I39" s="127"/>
      <c r="J39" s="127"/>
      <c r="K39" s="127"/>
      <c r="L39" s="127"/>
      <c r="M39" s="127"/>
      <c r="N39" s="62"/>
      <c r="O39" s="62"/>
      <c r="P39" s="127">
        <f t="shared" si="0"/>
        <v>322</v>
      </c>
      <c r="Q39" s="127">
        <f>AVERAGEIF(C39:N39,"&gt;0")</f>
        <v>80.5</v>
      </c>
      <c r="R39" s="102"/>
      <c r="S39" s="91">
        <v>65.5</v>
      </c>
      <c r="T39" s="128">
        <f t="shared" si="2"/>
        <v>21091</v>
      </c>
      <c r="U39" s="186">
        <f t="shared" ref="U39:U45" si="4">T39</f>
        <v>21091</v>
      </c>
      <c r="V39" s="191">
        <f>U39*0.62</f>
        <v>13076.42</v>
      </c>
    </row>
    <row r="40" spans="1:22" s="6" customFormat="1" ht="20.100000000000001" customHeight="1" x14ac:dyDescent="0.2">
      <c r="A40" s="68">
        <v>4329</v>
      </c>
      <c r="B40" s="35" t="s">
        <v>32</v>
      </c>
      <c r="C40" s="127">
        <f>'январь 2019 Эпотос-К'!K40</f>
        <v>0</v>
      </c>
      <c r="D40" s="127">
        <f>'февраль 2019 Эпотос-К'!K40</f>
        <v>0</v>
      </c>
      <c r="E40" s="127">
        <f>'март 2019 Эпотос-К'!K40</f>
        <v>0</v>
      </c>
      <c r="F40" s="127">
        <f>'апрель 2019 Эпотос-К'!K40</f>
        <v>0</v>
      </c>
      <c r="G40" s="127">
        <f>'май 2019 Эпотос-К'!K40</f>
        <v>0</v>
      </c>
      <c r="H40" s="127">
        <f>'июнь 2019 Эпотос-К'!K40</f>
        <v>0</v>
      </c>
      <c r="I40" s="127"/>
      <c r="J40" s="127"/>
      <c r="K40" s="127"/>
      <c r="L40" s="127"/>
      <c r="M40" s="127"/>
      <c r="N40" s="62"/>
      <c r="O40" s="62"/>
      <c r="P40" s="127">
        <f t="shared" si="0"/>
        <v>0</v>
      </c>
      <c r="Q40" s="127" t="e">
        <f>AVERAGEIF(C40:N40,"&gt;0")</f>
        <v>#DIV/0!</v>
      </c>
      <c r="R40" s="102"/>
      <c r="S40" s="91">
        <v>32</v>
      </c>
      <c r="T40" s="128">
        <f t="shared" si="2"/>
        <v>0</v>
      </c>
      <c r="U40" s="186">
        <f t="shared" si="4"/>
        <v>0</v>
      </c>
      <c r="V40" s="191">
        <f>U40*0.38</f>
        <v>0</v>
      </c>
    </row>
    <row r="41" spans="1:22" s="6" customFormat="1" ht="20.100000000000001" customHeight="1" x14ac:dyDescent="0.2">
      <c r="A41" s="68">
        <v>4330</v>
      </c>
      <c r="B41" s="45" t="s">
        <v>79</v>
      </c>
      <c r="C41" s="127">
        <f>'январь 2019 Эпотос-К'!K41</f>
        <v>0</v>
      </c>
      <c r="D41" s="127">
        <f>'февраль 2019 Эпотос-К'!K41</f>
        <v>400</v>
      </c>
      <c r="E41" s="127">
        <f>'март 2019 Эпотос-К'!K41</f>
        <v>1600</v>
      </c>
      <c r="F41" s="127">
        <f>'апрель 2019 Эпотос-К'!K41</f>
        <v>1200</v>
      </c>
      <c r="G41" s="127">
        <f>'май 2019 Эпотос-К'!K41</f>
        <v>326</v>
      </c>
      <c r="H41" s="127">
        <f>'июнь 2019 Эпотос-К'!K41</f>
        <v>70</v>
      </c>
      <c r="I41" s="127"/>
      <c r="J41" s="127"/>
      <c r="K41" s="127"/>
      <c r="L41" s="127"/>
      <c r="M41" s="127"/>
      <c r="N41" s="62"/>
      <c r="O41" s="62"/>
      <c r="P41" s="127">
        <f t="shared" si="0"/>
        <v>3596</v>
      </c>
      <c r="Q41" s="127">
        <f>AVERAGEIF(C41:N41,"&gt;0")</f>
        <v>719.2</v>
      </c>
      <c r="R41" s="102"/>
      <c r="S41" s="91">
        <v>60</v>
      </c>
      <c r="T41" s="128">
        <f t="shared" si="2"/>
        <v>215760</v>
      </c>
      <c r="U41" s="186">
        <f t="shared" si="4"/>
        <v>215760</v>
      </c>
      <c r="V41" s="191">
        <f>U41*0.23</f>
        <v>49624.800000000003</v>
      </c>
    </row>
    <row r="42" spans="1:22" s="6" customFormat="1" ht="20.100000000000001" customHeight="1" x14ac:dyDescent="0.2">
      <c r="A42" s="68">
        <v>4331</v>
      </c>
      <c r="B42" s="35" t="s">
        <v>78</v>
      </c>
      <c r="C42" s="127">
        <f>'январь 2019 Эпотос-К'!K42</f>
        <v>400</v>
      </c>
      <c r="D42" s="127">
        <f>'февраль 2019 Эпотос-К'!K42</f>
        <v>0</v>
      </c>
      <c r="E42" s="127">
        <f>'март 2019 Эпотос-К'!K42</f>
        <v>0</v>
      </c>
      <c r="F42" s="127">
        <f>'апрель 2019 Эпотос-К'!K42</f>
        <v>0</v>
      </c>
      <c r="G42" s="127">
        <f>'май 2019 Эпотос-К'!K42</f>
        <v>1439</v>
      </c>
      <c r="H42" s="127">
        <f>'июнь 2019 Эпотос-К'!K42</f>
        <v>0</v>
      </c>
      <c r="I42" s="127"/>
      <c r="J42" s="127"/>
      <c r="K42" s="127"/>
      <c r="L42" s="127"/>
      <c r="M42" s="127"/>
      <c r="N42" s="62"/>
      <c r="O42" s="62"/>
      <c r="P42" s="127">
        <f t="shared" si="0"/>
        <v>1839</v>
      </c>
      <c r="Q42" s="127">
        <f>AVERAGE(C42:N42)</f>
        <v>306.5</v>
      </c>
      <c r="R42" s="102"/>
      <c r="S42" s="91">
        <v>118.5</v>
      </c>
      <c r="T42" s="128">
        <f t="shared" si="2"/>
        <v>217921.5</v>
      </c>
      <c r="U42" s="186">
        <f t="shared" si="4"/>
        <v>217921.5</v>
      </c>
      <c r="V42" s="191"/>
    </row>
    <row r="43" spans="1:22" s="6" customFormat="1" ht="20.100000000000001" customHeight="1" x14ac:dyDescent="0.2">
      <c r="A43" s="68" t="s">
        <v>136</v>
      </c>
      <c r="B43" s="101" t="s">
        <v>128</v>
      </c>
      <c r="C43" s="127">
        <f>'январь 2019 Эпотос-К'!K43</f>
        <v>590</v>
      </c>
      <c r="D43" s="127">
        <f>'февраль 2019 Эпотос-К'!K43</f>
        <v>289</v>
      </c>
      <c r="E43" s="131">
        <f>'март 2019 Эпотос-К'!K43</f>
        <v>962</v>
      </c>
      <c r="F43" s="127">
        <f>'апрель 2019 Эпотос-К'!K43</f>
        <v>0</v>
      </c>
      <c r="G43" s="131">
        <f>'май 2019 Эпотос-К'!K43</f>
        <v>0</v>
      </c>
      <c r="H43" s="127">
        <f>'июнь 2019 Эпотос-К'!K43</f>
        <v>306</v>
      </c>
      <c r="I43" s="127"/>
      <c r="J43" s="127"/>
      <c r="K43" s="127"/>
      <c r="L43" s="127"/>
      <c r="M43" s="127"/>
      <c r="N43" s="62"/>
      <c r="O43" s="62"/>
      <c r="P43" s="127">
        <f t="shared" si="0"/>
        <v>2147</v>
      </c>
      <c r="Q43" s="127">
        <f>AVERAGEIF(C43:N43,"&gt;0")</f>
        <v>536.75</v>
      </c>
      <c r="R43" s="103"/>
      <c r="S43" s="90">
        <v>111.5</v>
      </c>
      <c r="T43" s="128">
        <f t="shared" si="2"/>
        <v>239390.5</v>
      </c>
      <c r="U43" s="186">
        <f t="shared" si="4"/>
        <v>239390.5</v>
      </c>
      <c r="V43" s="191">
        <f>U43*0.61</f>
        <v>146028.20499999999</v>
      </c>
    </row>
    <row r="44" spans="1:22" s="6" customFormat="1" ht="20.100000000000001" customHeight="1" x14ac:dyDescent="0.2">
      <c r="A44" s="68">
        <v>4358</v>
      </c>
      <c r="B44" s="38" t="s">
        <v>77</v>
      </c>
      <c r="C44" s="127">
        <f>'январь 2019 Эпотос-К'!K44</f>
        <v>0</v>
      </c>
      <c r="D44" s="127">
        <f>'февраль 2019 Эпотос-К'!K44</f>
        <v>0</v>
      </c>
      <c r="E44" s="131">
        <f>'март 2019 Эпотос-К'!K44</f>
        <v>708</v>
      </c>
      <c r="F44" s="127">
        <f>'апрель 2019 Эпотос-К'!K44</f>
        <v>0</v>
      </c>
      <c r="G44" s="131">
        <f>'май 2019 Эпотос-К'!K44</f>
        <v>669</v>
      </c>
      <c r="H44" s="127">
        <f>'июнь 2019 Эпотос-К'!K44</f>
        <v>0</v>
      </c>
      <c r="I44" s="127"/>
      <c r="J44" s="127"/>
      <c r="K44" s="127"/>
      <c r="L44" s="127"/>
      <c r="M44" s="127"/>
      <c r="N44" s="62"/>
      <c r="O44" s="62"/>
      <c r="P44" s="127">
        <f t="shared" si="0"/>
        <v>1377</v>
      </c>
      <c r="Q44" s="127">
        <f>AVERAGEIF(C44:N44,"&gt;0")</f>
        <v>688.5</v>
      </c>
      <c r="R44" s="102"/>
      <c r="S44" s="91">
        <v>13</v>
      </c>
      <c r="T44" s="128">
        <f t="shared" si="2"/>
        <v>17901</v>
      </c>
      <c r="U44" s="186">
        <f t="shared" si="4"/>
        <v>17901</v>
      </c>
      <c r="V44" s="191"/>
    </row>
    <row r="45" spans="1:22" s="6" customFormat="1" ht="20.100000000000001" customHeight="1" x14ac:dyDescent="0.2">
      <c r="A45" s="68">
        <v>4359</v>
      </c>
      <c r="B45" s="45" t="s">
        <v>76</v>
      </c>
      <c r="C45" s="127">
        <f>'январь 2019 Эпотос-К'!K45</f>
        <v>0</v>
      </c>
      <c r="D45" s="127">
        <f>'февраль 2019 Эпотос-К'!K45</f>
        <v>1064</v>
      </c>
      <c r="E45" s="127">
        <f>'март 2019 Эпотос-К'!K45</f>
        <v>0</v>
      </c>
      <c r="F45" s="127">
        <f>'апрель 2019 Эпотос-К'!K45</f>
        <v>1064</v>
      </c>
      <c r="G45" s="127">
        <f>'май 2019 Эпотос-К'!K45</f>
        <v>0</v>
      </c>
      <c r="H45" s="127">
        <f>'июнь 2019 Эпотос-К'!K45</f>
        <v>0</v>
      </c>
      <c r="I45" s="127"/>
      <c r="J45" s="127"/>
      <c r="K45" s="127"/>
      <c r="L45" s="127"/>
      <c r="M45" s="127"/>
      <c r="N45" s="62"/>
      <c r="O45" s="62"/>
      <c r="P45" s="127">
        <f t="shared" si="0"/>
        <v>2128</v>
      </c>
      <c r="Q45" s="127">
        <f>AVERAGEIF(C45:N45,"&gt;0")</f>
        <v>1064</v>
      </c>
      <c r="R45" s="102"/>
      <c r="S45" s="91">
        <v>23</v>
      </c>
      <c r="T45" s="128">
        <f t="shared" si="2"/>
        <v>48944</v>
      </c>
      <c r="U45" s="186">
        <f t="shared" si="4"/>
        <v>48944</v>
      </c>
      <c r="V45" s="191"/>
    </row>
    <row r="46" spans="1:22" s="6" customFormat="1" ht="5.0999999999999996" customHeight="1" x14ac:dyDescent="0.2">
      <c r="A46" s="68"/>
      <c r="B46" s="100"/>
      <c r="C46" s="132"/>
      <c r="D46" s="132"/>
      <c r="E46" s="132"/>
      <c r="F46" s="132"/>
      <c r="G46" s="132"/>
      <c r="H46" s="132"/>
      <c r="I46" s="132"/>
      <c r="J46" s="132"/>
      <c r="K46" s="132"/>
      <c r="L46" s="127"/>
      <c r="M46" s="127"/>
      <c r="N46" s="62"/>
      <c r="O46" s="62"/>
      <c r="P46" s="127"/>
      <c r="Q46" s="127"/>
      <c r="R46" s="103"/>
      <c r="S46" s="94"/>
      <c r="T46" s="128"/>
      <c r="U46" s="186"/>
      <c r="V46" s="191"/>
    </row>
    <row r="47" spans="1:22" s="6" customFormat="1" ht="19.5" customHeight="1" x14ac:dyDescent="0.2">
      <c r="A47" s="68">
        <v>4332</v>
      </c>
      <c r="B47" s="54" t="s">
        <v>144</v>
      </c>
      <c r="C47" s="127">
        <f>'январь 2019 Эпотос-К'!K47</f>
        <v>1000</v>
      </c>
      <c r="D47" s="127">
        <f>'февраль 2019 Эпотос-К'!K47</f>
        <v>0</v>
      </c>
      <c r="E47" s="127">
        <f>'март 2019 Эпотос-К'!K47</f>
        <v>1000</v>
      </c>
      <c r="F47" s="127">
        <f>'апрель 2019 Эпотос-К'!K47</f>
        <v>1000</v>
      </c>
      <c r="G47" s="127">
        <f>'май 2019 Эпотос-К'!K47</f>
        <v>0</v>
      </c>
      <c r="H47" s="127">
        <f>'июнь 2019 Эпотос-К'!K47</f>
        <v>0</v>
      </c>
      <c r="I47" s="127"/>
      <c r="J47" s="127"/>
      <c r="K47" s="127"/>
      <c r="L47" s="127"/>
      <c r="M47" s="127"/>
      <c r="N47" s="62"/>
      <c r="O47" s="62"/>
      <c r="P47" s="127">
        <f t="shared" si="0"/>
        <v>3000</v>
      </c>
      <c r="Q47" s="127">
        <f t="shared" ref="Q47:Q54" si="5">AVERAGEIF(C47:N47,"&gt;0")</f>
        <v>1000</v>
      </c>
      <c r="R47" s="103"/>
      <c r="S47" s="94">
        <v>3.7</v>
      </c>
      <c r="T47" s="128">
        <f t="shared" si="2"/>
        <v>11100</v>
      </c>
      <c r="U47" s="604">
        <f>SUM(T47:T54)</f>
        <v>1188520</v>
      </c>
      <c r="V47" s="601">
        <f>T48*0.32+T49*0.19+T50*0.48+T52*0.2+T53*0.15+T54*0.14</f>
        <v>291569.65000000002</v>
      </c>
    </row>
    <row r="48" spans="1:22" s="6" customFormat="1" ht="19.149999999999999" customHeight="1" x14ac:dyDescent="0.2">
      <c r="A48" s="250">
        <v>4567</v>
      </c>
      <c r="B48" s="54" t="s">
        <v>143</v>
      </c>
      <c r="C48" s="127">
        <f>'январь 2019 Эпотос-К'!K48</f>
        <v>950</v>
      </c>
      <c r="D48" s="127">
        <f>'февраль 2019 Эпотос-К'!K48</f>
        <v>600</v>
      </c>
      <c r="E48" s="127">
        <f>'март 2019 Эпотос-К'!K48</f>
        <v>400</v>
      </c>
      <c r="F48" s="127">
        <f>'апрель 2019 Эпотос-К'!K48</f>
        <v>400</v>
      </c>
      <c r="G48" s="127">
        <f>'май 2019 Эпотос-К'!K48</f>
        <v>260</v>
      </c>
      <c r="H48" s="127">
        <f>'июнь 2019 Эпотос-К'!K48</f>
        <v>0</v>
      </c>
      <c r="I48" s="127"/>
      <c r="J48" s="127"/>
      <c r="K48" s="127"/>
      <c r="L48" s="127"/>
      <c r="M48" s="127"/>
      <c r="N48" s="62"/>
      <c r="O48" s="62"/>
      <c r="P48" s="127">
        <f t="shared" si="0"/>
        <v>2610</v>
      </c>
      <c r="Q48" s="127">
        <f t="shared" si="5"/>
        <v>522</v>
      </c>
      <c r="R48" s="103"/>
      <c r="S48" s="95">
        <v>24.5</v>
      </c>
      <c r="T48" s="128">
        <f t="shared" si="2"/>
        <v>63945</v>
      </c>
      <c r="U48" s="605"/>
      <c r="V48" s="602"/>
    </row>
    <row r="49" spans="1:22" s="6" customFormat="1" ht="19.149999999999999" customHeight="1" x14ac:dyDescent="0.2">
      <c r="A49" s="250">
        <v>4563</v>
      </c>
      <c r="B49" s="54" t="s">
        <v>142</v>
      </c>
      <c r="C49" s="127">
        <f>'январь 2019 Эпотос-К'!K49</f>
        <v>950</v>
      </c>
      <c r="D49" s="127">
        <f>'февраль 2019 Эпотос-К'!K49</f>
        <v>600</v>
      </c>
      <c r="E49" s="127">
        <f>'март 2019 Эпотос-К'!K49</f>
        <v>400</v>
      </c>
      <c r="F49" s="127">
        <f>'апрель 2019 Эпотос-К'!K49</f>
        <v>400</v>
      </c>
      <c r="G49" s="127">
        <f>'май 2019 Эпотос-К'!K49</f>
        <v>500</v>
      </c>
      <c r="H49" s="127">
        <f>'июнь 2019 Эпотос-К'!K49</f>
        <v>0</v>
      </c>
      <c r="I49" s="127"/>
      <c r="J49" s="127"/>
      <c r="K49" s="127"/>
      <c r="L49" s="127"/>
      <c r="M49" s="127"/>
      <c r="N49" s="62"/>
      <c r="O49" s="62"/>
      <c r="P49" s="127">
        <f t="shared" si="0"/>
        <v>2850</v>
      </c>
      <c r="Q49" s="127">
        <f t="shared" si="5"/>
        <v>570</v>
      </c>
      <c r="R49" s="103"/>
      <c r="S49" s="95">
        <v>59.5</v>
      </c>
      <c r="T49" s="128">
        <f t="shared" si="2"/>
        <v>169575</v>
      </c>
      <c r="U49" s="605"/>
      <c r="V49" s="602"/>
    </row>
    <row r="50" spans="1:22" s="6" customFormat="1" ht="19.149999999999999" customHeight="1" x14ac:dyDescent="0.2">
      <c r="A50" s="250">
        <v>4525</v>
      </c>
      <c r="B50" s="54" t="s">
        <v>141</v>
      </c>
      <c r="C50" s="127">
        <f>'январь 2019 Эпотос-К'!K50</f>
        <v>300</v>
      </c>
      <c r="D50" s="127">
        <f>'февраль 2019 Эпотос-К'!K50</f>
        <v>600</v>
      </c>
      <c r="E50" s="127">
        <f>'март 2019 Эпотос-К'!K50</f>
        <v>400</v>
      </c>
      <c r="F50" s="127">
        <f>'апрель 2019 Эпотос-К'!K50</f>
        <v>400</v>
      </c>
      <c r="G50" s="127">
        <f>'май 2019 Эпотос-К'!K50</f>
        <v>400</v>
      </c>
      <c r="H50" s="127">
        <f>'июнь 2019 Эпотос-К'!K50</f>
        <v>600</v>
      </c>
      <c r="I50" s="127"/>
      <c r="J50" s="127"/>
      <c r="K50" s="127"/>
      <c r="L50" s="127"/>
      <c r="M50" s="127"/>
      <c r="N50" s="62"/>
      <c r="O50" s="62"/>
      <c r="P50" s="127">
        <f t="shared" si="0"/>
        <v>2700</v>
      </c>
      <c r="Q50" s="127">
        <f t="shared" si="5"/>
        <v>450</v>
      </c>
      <c r="R50" s="103"/>
      <c r="S50" s="95">
        <v>120.5</v>
      </c>
      <c r="T50" s="128">
        <f t="shared" si="2"/>
        <v>325350</v>
      </c>
      <c r="U50" s="605"/>
      <c r="V50" s="602"/>
    </row>
    <row r="51" spans="1:22" s="6" customFormat="1" ht="19.149999999999999" customHeight="1" x14ac:dyDescent="0.2">
      <c r="A51" s="250">
        <v>4526</v>
      </c>
      <c r="B51" s="54" t="s">
        <v>75</v>
      </c>
      <c r="C51" s="127">
        <f>'январь 2019 Эпотос-К'!K51</f>
        <v>800</v>
      </c>
      <c r="D51" s="127">
        <f>'февраль 2019 Эпотос-К'!K51</f>
        <v>300</v>
      </c>
      <c r="E51" s="127">
        <f>'март 2019 Эпотос-К'!K51</f>
        <v>200</v>
      </c>
      <c r="F51" s="127">
        <f>'апрель 2019 Эпотос-К'!K51</f>
        <v>200</v>
      </c>
      <c r="G51" s="127">
        <f>'май 2019 Эпотос-К'!K51</f>
        <v>0</v>
      </c>
      <c r="H51" s="127">
        <f>'июнь 2019 Эпотос-К'!K51</f>
        <v>0</v>
      </c>
      <c r="I51" s="127"/>
      <c r="J51" s="127"/>
      <c r="K51" s="127"/>
      <c r="L51" s="127"/>
      <c r="M51" s="127"/>
      <c r="N51" s="62"/>
      <c r="O51" s="62"/>
      <c r="P51" s="127">
        <f t="shared" si="0"/>
        <v>1500</v>
      </c>
      <c r="Q51" s="127">
        <f t="shared" si="5"/>
        <v>375</v>
      </c>
      <c r="R51" s="103"/>
      <c r="S51" s="95">
        <v>63</v>
      </c>
      <c r="T51" s="128">
        <f t="shared" si="2"/>
        <v>94500</v>
      </c>
      <c r="U51" s="605"/>
      <c r="V51" s="602"/>
    </row>
    <row r="52" spans="1:22" s="6" customFormat="1" ht="19.149999999999999" customHeight="1" x14ac:dyDescent="0.2">
      <c r="A52" s="250">
        <v>4564</v>
      </c>
      <c r="B52" s="54" t="s">
        <v>145</v>
      </c>
      <c r="C52" s="127">
        <f>'январь 2019 Эпотос-К'!K52</f>
        <v>950</v>
      </c>
      <c r="D52" s="127">
        <f>'февраль 2019 Эпотос-К'!K52</f>
        <v>600</v>
      </c>
      <c r="E52" s="127">
        <f>'март 2019 Эпотос-К'!K52</f>
        <v>400</v>
      </c>
      <c r="F52" s="127">
        <f>'апрель 2019 Эпотос-К'!K52</f>
        <v>400</v>
      </c>
      <c r="G52" s="127">
        <f>'май 2019 Эпотос-К'!K52</f>
        <v>0</v>
      </c>
      <c r="H52" s="127">
        <f>'июнь 2019 Эпотос-К'!K52</f>
        <v>0</v>
      </c>
      <c r="I52" s="127"/>
      <c r="J52" s="127"/>
      <c r="K52" s="127"/>
      <c r="L52" s="127"/>
      <c r="M52" s="127"/>
      <c r="N52" s="62"/>
      <c r="O52" s="62"/>
      <c r="P52" s="127">
        <f t="shared" si="0"/>
        <v>2350</v>
      </c>
      <c r="Q52" s="127">
        <f t="shared" si="5"/>
        <v>587.5</v>
      </c>
      <c r="R52" s="103"/>
      <c r="S52" s="95">
        <v>56.5</v>
      </c>
      <c r="T52" s="128">
        <f t="shared" si="2"/>
        <v>132775</v>
      </c>
      <c r="U52" s="605"/>
      <c r="V52" s="602"/>
    </row>
    <row r="53" spans="1:22" s="6" customFormat="1" ht="19.149999999999999" customHeight="1" x14ac:dyDescent="0.2">
      <c r="A53" s="250">
        <v>4566</v>
      </c>
      <c r="B53" s="54" t="s">
        <v>146</v>
      </c>
      <c r="C53" s="127">
        <f>'январь 2019 Эпотос-К'!K53</f>
        <v>950</v>
      </c>
      <c r="D53" s="127">
        <f>'февраль 2019 Эпотос-К'!K53</f>
        <v>600</v>
      </c>
      <c r="E53" s="127">
        <f>'март 2019 Эпотос-К'!K53</f>
        <v>400</v>
      </c>
      <c r="F53" s="127">
        <f>'апрель 2019 Эпотос-К'!K53</f>
        <v>400</v>
      </c>
      <c r="G53" s="127">
        <f>'май 2019 Эпотос-К'!K53</f>
        <v>0</v>
      </c>
      <c r="H53" s="127">
        <f>'июнь 2019 Эпотос-К'!K53</f>
        <v>0</v>
      </c>
      <c r="I53" s="127"/>
      <c r="J53" s="127"/>
      <c r="K53" s="127"/>
      <c r="L53" s="127"/>
      <c r="M53" s="127"/>
      <c r="N53" s="62"/>
      <c r="O53" s="62"/>
      <c r="P53" s="127">
        <f t="shared" si="0"/>
        <v>2350</v>
      </c>
      <c r="Q53" s="127">
        <f t="shared" si="5"/>
        <v>587.5</v>
      </c>
      <c r="R53" s="103"/>
      <c r="S53" s="95">
        <v>59</v>
      </c>
      <c r="T53" s="128">
        <f t="shared" si="2"/>
        <v>138650</v>
      </c>
      <c r="U53" s="605"/>
      <c r="V53" s="602"/>
    </row>
    <row r="54" spans="1:22" s="6" customFormat="1" ht="19.149999999999999" customHeight="1" x14ac:dyDescent="0.2">
      <c r="A54" s="250">
        <v>4565</v>
      </c>
      <c r="B54" s="54" t="s">
        <v>74</v>
      </c>
      <c r="C54" s="127">
        <f>'январь 2019 Эпотос-К'!K54</f>
        <v>950</v>
      </c>
      <c r="D54" s="127">
        <f>'февраль 2019 Эпотос-К'!K54</f>
        <v>600</v>
      </c>
      <c r="E54" s="127">
        <f>'март 2019 Эпотос-К'!K54</f>
        <v>400</v>
      </c>
      <c r="F54" s="127">
        <f>'апрель 2019 Эпотос-К'!K54</f>
        <v>400</v>
      </c>
      <c r="G54" s="127">
        <f>'май 2019 Эпотос-К'!K54</f>
        <v>0</v>
      </c>
      <c r="H54" s="127">
        <f>'июнь 2019 Эпотос-К'!K54</f>
        <v>0</v>
      </c>
      <c r="I54" s="127"/>
      <c r="J54" s="127"/>
      <c r="K54" s="127"/>
      <c r="L54" s="127"/>
      <c r="M54" s="127"/>
      <c r="N54" s="62"/>
      <c r="O54" s="62"/>
      <c r="P54" s="127">
        <f t="shared" si="0"/>
        <v>2350</v>
      </c>
      <c r="Q54" s="127">
        <f t="shared" si="5"/>
        <v>587.5</v>
      </c>
      <c r="R54" s="103"/>
      <c r="S54" s="95">
        <v>107.5</v>
      </c>
      <c r="T54" s="128">
        <f t="shared" si="2"/>
        <v>252625</v>
      </c>
      <c r="U54" s="606"/>
      <c r="V54" s="603"/>
    </row>
    <row r="55" spans="1:22" s="6" customFormat="1" ht="19.149999999999999" customHeight="1" x14ac:dyDescent="0.2">
      <c r="A55" s="250">
        <v>4561</v>
      </c>
      <c r="B55" s="54" t="s">
        <v>147</v>
      </c>
      <c r="C55" s="127">
        <f>'январь 2019 Эпотос-К'!K55</f>
        <v>650</v>
      </c>
      <c r="D55" s="127">
        <f>'февраль 2019 Эпотос-К'!K55</f>
        <v>0</v>
      </c>
      <c r="E55" s="127">
        <f>'март 2019 Эпотос-К'!K55</f>
        <v>0</v>
      </c>
      <c r="F55" s="127">
        <f>'апрель 2019 Эпотос-К'!K55</f>
        <v>0</v>
      </c>
      <c r="G55" s="127">
        <f>'май 2019 Эпотос-К'!K55</f>
        <v>0</v>
      </c>
      <c r="H55" s="127">
        <f>'июнь 2019 Эпотос-К'!K55</f>
        <v>0</v>
      </c>
      <c r="I55" s="132"/>
      <c r="J55" s="132"/>
      <c r="K55" s="127"/>
      <c r="L55" s="127"/>
      <c r="M55" s="127"/>
      <c r="N55" s="62"/>
      <c r="O55" s="62"/>
      <c r="P55" s="127"/>
      <c r="Q55" s="127"/>
      <c r="R55" s="103"/>
      <c r="S55" s="95"/>
      <c r="T55" s="256"/>
      <c r="U55" s="257"/>
      <c r="V55" s="258"/>
    </row>
    <row r="56" spans="1:22" s="6" customFormat="1" ht="19.149999999999999" customHeight="1" x14ac:dyDescent="0.2">
      <c r="A56" s="250">
        <v>4562</v>
      </c>
      <c r="B56" s="54" t="s">
        <v>148</v>
      </c>
      <c r="C56" s="127">
        <f>'январь 2019 Эпотос-К'!K56</f>
        <v>650</v>
      </c>
      <c r="D56" s="127">
        <f>'февраль 2019 Эпотос-К'!K56</f>
        <v>0</v>
      </c>
      <c r="E56" s="127">
        <f>'март 2019 Эпотос-К'!K56</f>
        <v>0</v>
      </c>
      <c r="F56" s="127">
        <f>'апрель 2019 Эпотос-К'!K56</f>
        <v>0</v>
      </c>
      <c r="G56" s="127">
        <f>'май 2019 Эпотос-К'!K56</f>
        <v>0</v>
      </c>
      <c r="H56" s="127">
        <f>'июнь 2019 Эпотос-К'!K56</f>
        <v>0</v>
      </c>
      <c r="I56" s="132"/>
      <c r="J56" s="132"/>
      <c r="K56" s="127"/>
      <c r="L56" s="127"/>
      <c r="M56" s="127"/>
      <c r="N56" s="62"/>
      <c r="O56" s="62"/>
      <c r="P56" s="127"/>
      <c r="Q56" s="127"/>
      <c r="R56" s="103"/>
      <c r="S56" s="95"/>
      <c r="T56" s="256"/>
      <c r="U56" s="257"/>
      <c r="V56" s="258"/>
    </row>
    <row r="57" spans="1:22" s="6" customFormat="1" ht="5.0999999999999996" customHeight="1" x14ac:dyDescent="0.2">
      <c r="A57" s="68"/>
      <c r="B57" s="45"/>
      <c r="C57" s="132"/>
      <c r="D57" s="132"/>
      <c r="E57" s="132"/>
      <c r="F57" s="132"/>
      <c r="G57" s="132"/>
      <c r="H57" s="132"/>
      <c r="I57" s="132"/>
      <c r="J57" s="132"/>
      <c r="K57" s="132"/>
      <c r="L57" s="127"/>
      <c r="M57" s="127"/>
      <c r="N57" s="62"/>
      <c r="O57" s="62"/>
      <c r="P57" s="127"/>
      <c r="Q57" s="127"/>
      <c r="R57" s="103"/>
      <c r="S57" s="95"/>
      <c r="T57" s="128"/>
      <c r="U57" s="186"/>
      <c r="V57" s="191"/>
    </row>
    <row r="58" spans="1:22" s="6" customFormat="1" ht="19.149999999999999" customHeight="1" x14ac:dyDescent="0.2">
      <c r="A58" s="68">
        <v>4335</v>
      </c>
      <c r="B58" s="45" t="s">
        <v>64</v>
      </c>
      <c r="C58" s="127">
        <f>'январь 2019 Эпотос-К'!K58</f>
        <v>0</v>
      </c>
      <c r="D58" s="127">
        <f>'февраль 2019 Эпотос-К'!K58</f>
        <v>1000</v>
      </c>
      <c r="E58" s="127">
        <f>'март 2019 Эпотос-К'!K58</f>
        <v>3400</v>
      </c>
      <c r="F58" s="127">
        <f>'апрель 2019 Эпотос-К'!K58</f>
        <v>0</v>
      </c>
      <c r="G58" s="127">
        <f>'май 2019 Эпотос-К'!K58</f>
        <v>2265</v>
      </c>
      <c r="H58" s="127">
        <f>'июнь 2019 Эпотос-К'!K58</f>
        <v>100</v>
      </c>
      <c r="I58" s="127"/>
      <c r="J58" s="127"/>
      <c r="K58" s="127"/>
      <c r="L58" s="127"/>
      <c r="M58" s="127"/>
      <c r="N58" s="62"/>
      <c r="O58" s="62"/>
      <c r="P58" s="127">
        <f t="shared" si="0"/>
        <v>6765</v>
      </c>
      <c r="Q58" s="127">
        <f>AVERAGEIF(C58:N58,"&gt;0")</f>
        <v>1691.25</v>
      </c>
      <c r="R58" s="103"/>
      <c r="S58" s="95">
        <v>24.5</v>
      </c>
      <c r="T58" s="128">
        <f t="shared" si="2"/>
        <v>165742.5</v>
      </c>
      <c r="U58" s="604">
        <f>SUM(T58:T62)</f>
        <v>538237.5</v>
      </c>
      <c r="V58" s="601">
        <f>U58*0.49</f>
        <v>263736.375</v>
      </c>
    </row>
    <row r="59" spans="1:22" s="6" customFormat="1" ht="19.149999999999999" customHeight="1" x14ac:dyDescent="0.2">
      <c r="A59" s="68">
        <v>4336</v>
      </c>
      <c r="B59" s="45" t="s">
        <v>65</v>
      </c>
      <c r="C59" s="127">
        <f>'январь 2019 Эпотос-К'!K59</f>
        <v>0</v>
      </c>
      <c r="D59" s="127">
        <f>'февраль 2019 Эпотос-К'!K59</f>
        <v>1000</v>
      </c>
      <c r="E59" s="127">
        <f>'март 2019 Эпотос-К'!K59</f>
        <v>3400</v>
      </c>
      <c r="F59" s="127">
        <f>'апрель 2019 Эпотос-К'!K59</f>
        <v>0</v>
      </c>
      <c r="G59" s="127">
        <f>'май 2019 Эпотос-К'!K59</f>
        <v>2265</v>
      </c>
      <c r="H59" s="127">
        <f>'июнь 2019 Эпотос-К'!K59</f>
        <v>100</v>
      </c>
      <c r="I59" s="127"/>
      <c r="J59" s="127"/>
      <c r="K59" s="127"/>
      <c r="L59" s="127"/>
      <c r="M59" s="127"/>
      <c r="N59" s="62"/>
      <c r="O59" s="62"/>
      <c r="P59" s="127">
        <f t="shared" si="0"/>
        <v>6765</v>
      </c>
      <c r="Q59" s="127">
        <f>AVERAGEIF(C59:N59,"&gt;0")</f>
        <v>1691.25</v>
      </c>
      <c r="R59" s="103"/>
      <c r="S59" s="95">
        <v>20</v>
      </c>
      <c r="T59" s="128">
        <f t="shared" si="2"/>
        <v>135300</v>
      </c>
      <c r="U59" s="605"/>
      <c r="V59" s="602"/>
    </row>
    <row r="60" spans="1:22" s="6" customFormat="1" ht="19.149999999999999" customHeight="1" x14ac:dyDescent="0.2">
      <c r="A60" s="68">
        <v>4337</v>
      </c>
      <c r="B60" s="45" t="s">
        <v>89</v>
      </c>
      <c r="C60" s="127">
        <f>'январь 2019 Эпотос-К'!K60</f>
        <v>0</v>
      </c>
      <c r="D60" s="127">
        <f>'февраль 2019 Эпотос-К'!K60</f>
        <v>0</v>
      </c>
      <c r="E60" s="127">
        <f>'март 2019 Эпотос-К'!K60</f>
        <v>18250</v>
      </c>
      <c r="F60" s="127">
        <f>'апрель 2019 Эпотос-К'!K60</f>
        <v>0</v>
      </c>
      <c r="G60" s="127">
        <f>'май 2019 Эпотос-К'!K60</f>
        <v>0</v>
      </c>
      <c r="H60" s="127">
        <f>'июнь 2019 Эпотос-К'!K60</f>
        <v>0</v>
      </c>
      <c r="I60" s="127"/>
      <c r="J60" s="127"/>
      <c r="K60" s="127"/>
      <c r="L60" s="127"/>
      <c r="M60" s="127"/>
      <c r="N60" s="62"/>
      <c r="O60" s="62"/>
      <c r="P60" s="127">
        <f t="shared" si="0"/>
        <v>18250</v>
      </c>
      <c r="Q60" s="127">
        <f>AVERAGEIF(C60:N60,"&gt;0")</f>
        <v>18250</v>
      </c>
      <c r="R60" s="103"/>
      <c r="S60" s="95">
        <v>9.1</v>
      </c>
      <c r="T60" s="128">
        <f t="shared" si="2"/>
        <v>166075</v>
      </c>
      <c r="U60" s="605"/>
      <c r="V60" s="602"/>
    </row>
    <row r="61" spans="1:22" s="6" customFormat="1" ht="19.149999999999999" customHeight="1" x14ac:dyDescent="0.2">
      <c r="A61" s="68">
        <v>4338</v>
      </c>
      <c r="B61" s="45" t="s">
        <v>73</v>
      </c>
      <c r="C61" s="127">
        <f>'январь 2019 Эпотос-К'!K61</f>
        <v>0</v>
      </c>
      <c r="D61" s="127">
        <f>'февраль 2019 Эпотос-К'!K61</f>
        <v>500</v>
      </c>
      <c r="E61" s="127">
        <f>'март 2019 Эпотос-К'!K61</f>
        <v>7946</v>
      </c>
      <c r="F61" s="127">
        <f>'апрель 2019 Эпотос-К'!K61</f>
        <v>0</v>
      </c>
      <c r="G61" s="127">
        <f>'май 2019 Эпотос-К'!K61</f>
        <v>0</v>
      </c>
      <c r="H61" s="127">
        <f>'июнь 2019 Эпотос-К'!K61</f>
        <v>0</v>
      </c>
      <c r="I61" s="127"/>
      <c r="J61" s="127"/>
      <c r="K61" s="127"/>
      <c r="L61" s="127"/>
      <c r="M61" s="127"/>
      <c r="N61" s="62"/>
      <c r="O61" s="62"/>
      <c r="P61" s="127">
        <f t="shared" si="0"/>
        <v>8446</v>
      </c>
      <c r="Q61" s="127">
        <f>AVERAGEIF(C61:N61,"&gt;0")</f>
        <v>4223</v>
      </c>
      <c r="R61" s="103"/>
      <c r="S61" s="95">
        <v>5.6</v>
      </c>
      <c r="T61" s="128">
        <f t="shared" si="2"/>
        <v>47297.599999999999</v>
      </c>
      <c r="U61" s="605"/>
      <c r="V61" s="602"/>
    </row>
    <row r="62" spans="1:22" s="6" customFormat="1" ht="19.149999999999999" customHeight="1" x14ac:dyDescent="0.2">
      <c r="A62" s="68">
        <v>4339</v>
      </c>
      <c r="B62" s="45" t="s">
        <v>62</v>
      </c>
      <c r="C62" s="127">
        <f>'январь 2019 Эпотос-К'!K62</f>
        <v>0</v>
      </c>
      <c r="D62" s="127">
        <f>'февраль 2019 Эпотос-К'!K62</f>
        <v>254</v>
      </c>
      <c r="E62" s="127">
        <f>'март 2019 Эпотос-К'!K62</f>
        <v>4000</v>
      </c>
      <c r="F62" s="127">
        <f>'апрель 2019 Эпотос-К'!K62</f>
        <v>0</v>
      </c>
      <c r="G62" s="127">
        <f>'май 2019 Эпотос-К'!K62</f>
        <v>0</v>
      </c>
      <c r="H62" s="127">
        <f>'июнь 2019 Эпотос-К'!K62</f>
        <v>0</v>
      </c>
      <c r="I62" s="127"/>
      <c r="J62" s="127"/>
      <c r="K62" s="127"/>
      <c r="L62" s="127"/>
      <c r="M62" s="127"/>
      <c r="N62" s="62"/>
      <c r="O62" s="62"/>
      <c r="P62" s="127">
        <f t="shared" si="0"/>
        <v>4254</v>
      </c>
      <c r="Q62" s="127">
        <f>AVERAGEIF(C62:N62,"&gt;0")</f>
        <v>2127</v>
      </c>
      <c r="R62" s="103"/>
      <c r="S62" s="95">
        <v>5.6</v>
      </c>
      <c r="T62" s="128">
        <f t="shared" si="2"/>
        <v>23822.399999999998</v>
      </c>
      <c r="U62" s="606"/>
      <c r="V62" s="603"/>
    </row>
    <row r="63" spans="1:22" s="6" customFormat="1" ht="5.0999999999999996" customHeight="1" x14ac:dyDescent="0.2">
      <c r="A63" s="68"/>
      <c r="B63" s="45"/>
      <c r="C63" s="132"/>
      <c r="D63" s="133"/>
      <c r="E63" s="133"/>
      <c r="F63" s="133"/>
      <c r="G63" s="133"/>
      <c r="H63" s="133"/>
      <c r="I63" s="133"/>
      <c r="J63" s="132"/>
      <c r="K63" s="132"/>
      <c r="L63" s="127"/>
      <c r="M63" s="127"/>
      <c r="N63" s="62"/>
      <c r="O63" s="62"/>
      <c r="P63" s="127"/>
      <c r="Q63" s="127"/>
      <c r="R63" s="134"/>
      <c r="S63" s="96"/>
      <c r="T63" s="128"/>
      <c r="U63" s="186"/>
      <c r="V63" s="191"/>
    </row>
    <row r="64" spans="1:22" s="6" customFormat="1" ht="19.149999999999999" customHeight="1" x14ac:dyDescent="0.2">
      <c r="A64" s="68">
        <v>4360</v>
      </c>
      <c r="B64" s="45" t="s">
        <v>35</v>
      </c>
      <c r="C64" s="127">
        <f>'январь 2019 Эпотос-К'!K64</f>
        <v>0</v>
      </c>
      <c r="D64" s="127">
        <f>'февраль 2019 Эпотос-К'!K64</f>
        <v>0</v>
      </c>
      <c r="E64" s="127">
        <f>'март 2019 Эпотос-К'!K64</f>
        <v>0</v>
      </c>
      <c r="F64" s="127">
        <f>'апрель 2019 Эпотос-К'!K64</f>
        <v>0</v>
      </c>
      <c r="G64" s="127">
        <f>'май 2019 Эпотос-К'!K64</f>
        <v>0</v>
      </c>
      <c r="H64" s="127">
        <f>'июнь 2019 Эпотос-К'!K64</f>
        <v>0</v>
      </c>
      <c r="I64" s="127"/>
      <c r="J64" s="127"/>
      <c r="K64" s="127"/>
      <c r="L64" s="127"/>
      <c r="M64" s="127"/>
      <c r="N64" s="62"/>
      <c r="O64" s="62"/>
      <c r="P64" s="127">
        <f t="shared" si="0"/>
        <v>0</v>
      </c>
      <c r="Q64" s="127" t="e">
        <f t="shared" ref="Q64:Q70" si="6">AVERAGEIF(C64:N64,"&gt;0")</f>
        <v>#DIV/0!</v>
      </c>
      <c r="R64" s="134"/>
      <c r="S64" s="96">
        <v>20</v>
      </c>
      <c r="T64" s="128">
        <f t="shared" si="2"/>
        <v>0</v>
      </c>
      <c r="U64" s="186">
        <f t="shared" ref="U64:U70" si="7">T64</f>
        <v>0</v>
      </c>
      <c r="V64" s="191">
        <f t="shared" ref="V64:V71" si="8">U64*0.77</f>
        <v>0</v>
      </c>
    </row>
    <row r="65" spans="1:22" s="6" customFormat="1" ht="19.149999999999999" customHeight="1" x14ac:dyDescent="0.2">
      <c r="A65" s="68">
        <v>4361</v>
      </c>
      <c r="B65" s="45" t="s">
        <v>36</v>
      </c>
      <c r="C65" s="127">
        <f>'январь 2019 Эпотос-К'!K65</f>
        <v>203</v>
      </c>
      <c r="D65" s="127">
        <f>'февраль 2019 Эпотос-К'!K65</f>
        <v>0</v>
      </c>
      <c r="E65" s="127">
        <f>'март 2019 Эпотос-К'!K65</f>
        <v>0</v>
      </c>
      <c r="F65" s="127">
        <f>'апрель 2019 Эпотос-К'!K65</f>
        <v>0</v>
      </c>
      <c r="G65" s="127">
        <f>'май 2019 Эпотос-К'!K65</f>
        <v>0</v>
      </c>
      <c r="H65" s="127">
        <f>'июнь 2019 Эпотос-К'!K65</f>
        <v>0</v>
      </c>
      <c r="I65" s="127"/>
      <c r="J65" s="127"/>
      <c r="K65" s="127"/>
      <c r="L65" s="127"/>
      <c r="M65" s="127"/>
      <c r="N65" s="62"/>
      <c r="O65" s="62"/>
      <c r="P65" s="127">
        <f t="shared" si="0"/>
        <v>203</v>
      </c>
      <c r="Q65" s="127">
        <f t="shared" si="6"/>
        <v>203</v>
      </c>
      <c r="R65" s="134"/>
      <c r="S65" s="65">
        <v>19.5</v>
      </c>
      <c r="T65" s="128">
        <f t="shared" si="2"/>
        <v>3958.5</v>
      </c>
      <c r="U65" s="186">
        <f t="shared" si="7"/>
        <v>3958.5</v>
      </c>
      <c r="V65" s="191">
        <f t="shared" si="8"/>
        <v>3048.0450000000001</v>
      </c>
    </row>
    <row r="66" spans="1:22" s="6" customFormat="1" ht="19.149999999999999" customHeight="1" x14ac:dyDescent="0.2">
      <c r="A66" s="68">
        <v>4362</v>
      </c>
      <c r="B66" s="45" t="s">
        <v>37</v>
      </c>
      <c r="C66" s="127">
        <f>'январь 2019 Эпотос-К'!K66</f>
        <v>200</v>
      </c>
      <c r="D66" s="127">
        <f>'февраль 2019 Эпотос-К'!K66</f>
        <v>0</v>
      </c>
      <c r="E66" s="127">
        <f>'март 2019 Эпотос-К'!K66</f>
        <v>0</v>
      </c>
      <c r="F66" s="127">
        <f>'апрель 2019 Эпотос-К'!K66</f>
        <v>0</v>
      </c>
      <c r="G66" s="127">
        <f>'май 2019 Эпотос-К'!K66</f>
        <v>0</v>
      </c>
      <c r="H66" s="127">
        <f>'июнь 2019 Эпотос-К'!K66</f>
        <v>0</v>
      </c>
      <c r="I66" s="127"/>
      <c r="J66" s="127"/>
      <c r="K66" s="127"/>
      <c r="L66" s="127"/>
      <c r="M66" s="127"/>
      <c r="N66" s="62"/>
      <c r="O66" s="62"/>
      <c r="P66" s="127">
        <f t="shared" si="0"/>
        <v>200</v>
      </c>
      <c r="Q66" s="127">
        <f t="shared" si="6"/>
        <v>200</v>
      </c>
      <c r="R66" s="134"/>
      <c r="S66" s="65">
        <v>19.5</v>
      </c>
      <c r="T66" s="128">
        <f t="shared" si="2"/>
        <v>3900</v>
      </c>
      <c r="U66" s="186">
        <f t="shared" si="7"/>
        <v>3900</v>
      </c>
      <c r="V66" s="191">
        <f t="shared" si="8"/>
        <v>3003</v>
      </c>
    </row>
    <row r="67" spans="1:22" s="6" customFormat="1" ht="19.149999999999999" customHeight="1" x14ac:dyDescent="0.2">
      <c r="A67" s="68">
        <v>4363</v>
      </c>
      <c r="B67" s="45" t="s">
        <v>38</v>
      </c>
      <c r="C67" s="127">
        <f>'январь 2019 Эпотос-К'!K67</f>
        <v>0</v>
      </c>
      <c r="D67" s="127">
        <f>'февраль 2019 Эпотос-К'!K67</f>
        <v>108</v>
      </c>
      <c r="E67" s="127">
        <f>'март 2019 Эпотос-К'!K67</f>
        <v>179</v>
      </c>
      <c r="F67" s="127">
        <f>'апрель 2019 Эпотос-К'!K67</f>
        <v>0</v>
      </c>
      <c r="G67" s="127">
        <f>'май 2019 Эпотос-К'!K67</f>
        <v>0</v>
      </c>
      <c r="H67" s="127">
        <f>'июнь 2019 Эпотос-К'!K67</f>
        <v>0</v>
      </c>
      <c r="I67" s="127"/>
      <c r="J67" s="127"/>
      <c r="K67" s="127"/>
      <c r="L67" s="127"/>
      <c r="M67" s="127"/>
      <c r="N67" s="62"/>
      <c r="O67" s="62"/>
      <c r="P67" s="127">
        <f t="shared" si="0"/>
        <v>287</v>
      </c>
      <c r="Q67" s="127">
        <f t="shared" si="6"/>
        <v>143.5</v>
      </c>
      <c r="R67" s="134"/>
      <c r="S67" s="65">
        <v>19.5</v>
      </c>
      <c r="T67" s="128">
        <f t="shared" si="2"/>
        <v>5596.5</v>
      </c>
      <c r="U67" s="186">
        <f t="shared" si="7"/>
        <v>5596.5</v>
      </c>
      <c r="V67" s="191">
        <f t="shared" si="8"/>
        <v>4309.3050000000003</v>
      </c>
    </row>
    <row r="68" spans="1:22" s="6" customFormat="1" ht="19.149999999999999" customHeight="1" x14ac:dyDescent="0.2">
      <c r="A68" s="68">
        <v>4364</v>
      </c>
      <c r="B68" s="45" t="s">
        <v>39</v>
      </c>
      <c r="C68" s="127">
        <f>'январь 2019 Эпотос-К'!K68</f>
        <v>0</v>
      </c>
      <c r="D68" s="127">
        <f>'февраль 2019 Эпотос-К'!K68</f>
        <v>129</v>
      </c>
      <c r="E68" s="127">
        <f>'март 2019 Эпотос-К'!K68</f>
        <v>172</v>
      </c>
      <c r="F68" s="127">
        <f>'апрель 2019 Эпотос-К'!K68</f>
        <v>0</v>
      </c>
      <c r="G68" s="127">
        <f>'май 2019 Эпотос-К'!K68</f>
        <v>0</v>
      </c>
      <c r="H68" s="127">
        <f>'июнь 2019 Эпотос-К'!K68</f>
        <v>0</v>
      </c>
      <c r="I68" s="127"/>
      <c r="J68" s="127"/>
      <c r="K68" s="127"/>
      <c r="L68" s="127"/>
      <c r="M68" s="127"/>
      <c r="N68" s="62"/>
      <c r="O68" s="62"/>
      <c r="P68" s="127">
        <f t="shared" si="0"/>
        <v>301</v>
      </c>
      <c r="Q68" s="127">
        <f t="shared" si="6"/>
        <v>150.5</v>
      </c>
      <c r="R68" s="134"/>
      <c r="S68" s="65">
        <v>19.5</v>
      </c>
      <c r="T68" s="128">
        <f t="shared" si="2"/>
        <v>5869.5</v>
      </c>
      <c r="U68" s="186">
        <f t="shared" si="7"/>
        <v>5869.5</v>
      </c>
      <c r="V68" s="191">
        <f t="shared" si="8"/>
        <v>4519.5150000000003</v>
      </c>
    </row>
    <row r="69" spans="1:22" s="6" customFormat="1" ht="19.149999999999999" customHeight="1" x14ac:dyDescent="0.2">
      <c r="A69" s="68">
        <v>4366</v>
      </c>
      <c r="B69" s="45" t="s">
        <v>58</v>
      </c>
      <c r="C69" s="127">
        <f>'январь 2019 Эпотос-К'!K69</f>
        <v>32</v>
      </c>
      <c r="D69" s="127">
        <f>'февраль 2019 Эпотос-К'!K69</f>
        <v>103</v>
      </c>
      <c r="E69" s="127">
        <f>'март 2019 Эпотос-К'!K69</f>
        <v>0</v>
      </c>
      <c r="F69" s="127">
        <f>'апрель 2019 Эпотос-К'!K69</f>
        <v>0</v>
      </c>
      <c r="G69" s="127">
        <f>'май 2019 Эпотос-К'!K69</f>
        <v>21</v>
      </c>
      <c r="H69" s="127">
        <f>'июнь 2019 Эпотос-К'!K69</f>
        <v>32</v>
      </c>
      <c r="I69" s="127"/>
      <c r="J69" s="127"/>
      <c r="K69" s="127"/>
      <c r="L69" s="127"/>
      <c r="M69" s="127"/>
      <c r="N69" s="62"/>
      <c r="O69" s="62"/>
      <c r="P69" s="127">
        <f t="shared" si="0"/>
        <v>188</v>
      </c>
      <c r="Q69" s="127">
        <f t="shared" si="6"/>
        <v>47</v>
      </c>
      <c r="R69" s="134"/>
      <c r="S69" s="65">
        <v>20.5</v>
      </c>
      <c r="T69" s="128">
        <f t="shared" si="2"/>
        <v>3854</v>
      </c>
      <c r="U69" s="186">
        <f t="shared" si="7"/>
        <v>3854</v>
      </c>
      <c r="V69" s="191">
        <f t="shared" si="8"/>
        <v>2967.58</v>
      </c>
    </row>
    <row r="70" spans="1:22" s="6" customFormat="1" ht="20.100000000000001" customHeight="1" x14ac:dyDescent="0.2">
      <c r="A70" s="68">
        <v>4367</v>
      </c>
      <c r="B70" s="45" t="s">
        <v>123</v>
      </c>
      <c r="C70" s="127">
        <f>'январь 2019 Эпотос-К'!K70</f>
        <v>300</v>
      </c>
      <c r="D70" s="127">
        <f>'февраль 2019 Эпотос-К'!K70</f>
        <v>0</v>
      </c>
      <c r="E70" s="127">
        <f>'март 2019 Эпотос-К'!K70</f>
        <v>210</v>
      </c>
      <c r="F70" s="127">
        <f>'апрель 2019 Эпотос-К'!K70</f>
        <v>300</v>
      </c>
      <c r="G70" s="127">
        <f>'май 2019 Эпотос-К'!K70</f>
        <v>0</v>
      </c>
      <c r="H70" s="127">
        <f>'июнь 2019 Эпотос-К'!K70</f>
        <v>0</v>
      </c>
      <c r="I70" s="127"/>
      <c r="J70" s="127"/>
      <c r="K70" s="127"/>
      <c r="L70" s="127"/>
      <c r="M70" s="127"/>
      <c r="N70" s="62"/>
      <c r="O70" s="62"/>
      <c r="P70" s="127">
        <f t="shared" si="0"/>
        <v>810</v>
      </c>
      <c r="Q70" s="127">
        <f t="shared" si="6"/>
        <v>270</v>
      </c>
      <c r="R70" s="103"/>
      <c r="S70" s="90">
        <v>19.5</v>
      </c>
      <c r="T70" s="128">
        <f t="shared" si="2"/>
        <v>15795</v>
      </c>
      <c r="U70" s="186">
        <f t="shared" si="7"/>
        <v>15795</v>
      </c>
      <c r="V70" s="191">
        <f t="shared" si="8"/>
        <v>12162.15</v>
      </c>
    </row>
    <row r="71" spans="1:22" s="6" customFormat="1" ht="20.100000000000001" customHeight="1" x14ac:dyDescent="0.2">
      <c r="A71" s="68">
        <v>4365</v>
      </c>
      <c r="B71" s="45" t="s">
        <v>124</v>
      </c>
      <c r="C71" s="127">
        <f>'январь 2019 Эпотос-К'!K71</f>
        <v>711</v>
      </c>
      <c r="D71" s="127">
        <f>'февраль 2019 Эпотос-К'!K71</f>
        <v>201</v>
      </c>
      <c r="E71" s="127">
        <f>'март 2019 Эпотос-К'!K71</f>
        <v>448</v>
      </c>
      <c r="F71" s="127">
        <f>'апрель 2019 Эпотос-К'!K71</f>
        <v>112</v>
      </c>
      <c r="G71" s="127">
        <f>'май 2019 Эпотос-К'!K71</f>
        <v>504</v>
      </c>
      <c r="H71" s="127">
        <f>'июнь 2019 Эпотос-К'!K71</f>
        <v>0</v>
      </c>
      <c r="I71" s="127"/>
      <c r="J71" s="127"/>
      <c r="K71" s="127"/>
      <c r="L71" s="127"/>
      <c r="M71" s="127"/>
      <c r="N71" s="62"/>
      <c r="O71" s="62"/>
      <c r="P71" s="127">
        <f>SUM(C71:N71)</f>
        <v>1976</v>
      </c>
      <c r="Q71" s="127">
        <f>AVERAGEIF(C71:N71,"&gt;0")</f>
        <v>395.2</v>
      </c>
      <c r="R71" s="103"/>
      <c r="S71" s="96">
        <v>20</v>
      </c>
      <c r="T71" s="216">
        <f>S71*P71</f>
        <v>39520</v>
      </c>
      <c r="U71" s="215">
        <f>T71</f>
        <v>39520</v>
      </c>
      <c r="V71" s="214">
        <f t="shared" si="8"/>
        <v>30430.400000000001</v>
      </c>
    </row>
    <row r="72" spans="1:22" s="6" customFormat="1" ht="5.0999999999999996" customHeight="1" x14ac:dyDescent="0.2">
      <c r="A72" s="68"/>
      <c r="B72" s="45"/>
      <c r="C72" s="132"/>
      <c r="D72" s="132"/>
      <c r="E72" s="132"/>
      <c r="F72" s="132"/>
      <c r="G72" s="132"/>
      <c r="H72" s="132"/>
      <c r="I72" s="132"/>
      <c r="J72" s="132"/>
      <c r="K72" s="132"/>
      <c r="L72" s="127"/>
      <c r="M72" s="127"/>
      <c r="N72" s="62"/>
      <c r="O72" s="62"/>
      <c r="P72" s="127"/>
      <c r="Q72" s="127"/>
      <c r="R72" s="103"/>
      <c r="S72" s="90"/>
      <c r="T72" s="128"/>
      <c r="U72" s="186"/>
      <c r="V72" s="191"/>
    </row>
    <row r="73" spans="1:22" s="6" customFormat="1" ht="20.100000000000001" customHeight="1" x14ac:dyDescent="0.2">
      <c r="A73" s="68" t="s">
        <v>59</v>
      </c>
      <c r="B73" s="38" t="s">
        <v>87</v>
      </c>
      <c r="C73" s="127">
        <f>'январь 2019 Эпотос-К'!K73</f>
        <v>104</v>
      </c>
      <c r="D73" s="127">
        <f>'февраль 2019 Эпотос-К'!K73</f>
        <v>52</v>
      </c>
      <c r="E73" s="127">
        <f>'март 2019 Эпотос-К'!K73</f>
        <v>0</v>
      </c>
      <c r="F73" s="127">
        <f>'апрель 2019 Эпотос-К'!K73</f>
        <v>105</v>
      </c>
      <c r="G73" s="127">
        <f>'май 2019 Эпотос-К'!K73</f>
        <v>55</v>
      </c>
      <c r="H73" s="127">
        <f>'июнь 2019 Эпотос-К'!K73</f>
        <v>0</v>
      </c>
      <c r="I73" s="127"/>
      <c r="J73" s="127"/>
      <c r="K73" s="127"/>
      <c r="L73" s="127"/>
      <c r="M73" s="127"/>
      <c r="N73" s="62"/>
      <c r="O73" s="62"/>
      <c r="P73" s="127">
        <f t="shared" si="0"/>
        <v>316</v>
      </c>
      <c r="Q73" s="127">
        <f>AVERAGEIF(C73:N73,"&gt;0")</f>
        <v>79</v>
      </c>
      <c r="R73" s="103"/>
      <c r="S73" s="90">
        <v>371.7</v>
      </c>
      <c r="T73" s="128">
        <f t="shared" si="2"/>
        <v>117457.2</v>
      </c>
      <c r="U73" s="604">
        <f>SUM(T73:T74)</f>
        <v>244441.8</v>
      </c>
      <c r="V73" s="190">
        <f>U73*0.57</f>
        <v>139331.82599999997</v>
      </c>
    </row>
    <row r="74" spans="1:22" s="6" customFormat="1" ht="20.100000000000001" customHeight="1" x14ac:dyDescent="0.2">
      <c r="A74" s="68" t="s">
        <v>60</v>
      </c>
      <c r="B74" s="38" t="s">
        <v>88</v>
      </c>
      <c r="C74" s="127">
        <f>'январь 2019 Эпотос-К'!K74</f>
        <v>104</v>
      </c>
      <c r="D74" s="127">
        <f>'февраль 2019 Эпотос-К'!K74</f>
        <v>52</v>
      </c>
      <c r="E74" s="127">
        <f>'март 2019 Эпотос-К'!K74</f>
        <v>0</v>
      </c>
      <c r="F74" s="127">
        <f>'апрель 2019 Эпотос-К'!K74</f>
        <v>105</v>
      </c>
      <c r="G74" s="127">
        <f>'май 2019 Эпотос-К'!K74</f>
        <v>55</v>
      </c>
      <c r="H74" s="127">
        <f>'июнь 2019 Эпотос-К'!K74</f>
        <v>0</v>
      </c>
      <c r="I74" s="127"/>
      <c r="J74" s="127"/>
      <c r="K74" s="127"/>
      <c r="L74" s="127"/>
      <c r="M74" s="127"/>
      <c r="N74" s="62"/>
      <c r="O74" s="62"/>
      <c r="P74" s="127">
        <f t="shared" si="0"/>
        <v>316</v>
      </c>
      <c r="Q74" s="127">
        <f>AVERAGEIF(C74:N74,"&gt;0")</f>
        <v>79</v>
      </c>
      <c r="R74" s="103"/>
      <c r="S74" s="90">
        <v>401.85</v>
      </c>
      <c r="T74" s="128">
        <f t="shared" si="2"/>
        <v>126984.6</v>
      </c>
      <c r="U74" s="606"/>
      <c r="V74" s="191"/>
    </row>
    <row r="75" spans="1:22" s="6" customFormat="1" ht="5.0999999999999996" customHeight="1" x14ac:dyDescent="0.2">
      <c r="A75" s="68"/>
      <c r="B75" s="38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62"/>
      <c r="O75" s="62"/>
      <c r="P75" s="127"/>
      <c r="Q75" s="127"/>
      <c r="R75" s="103"/>
      <c r="S75" s="90"/>
      <c r="T75" s="128"/>
      <c r="U75" s="186"/>
    </row>
    <row r="76" spans="1:22" s="6" customFormat="1" ht="20.100000000000001" customHeight="1" x14ac:dyDescent="0.2">
      <c r="A76" s="68">
        <v>1150</v>
      </c>
      <c r="B76" s="45" t="s">
        <v>100</v>
      </c>
      <c r="C76" s="135"/>
      <c r="D76" s="132"/>
      <c r="E76" s="132"/>
      <c r="F76" s="132"/>
      <c r="G76" s="132"/>
      <c r="H76" s="132"/>
      <c r="I76" s="132"/>
      <c r="J76" s="132"/>
      <c r="K76" s="132"/>
      <c r="L76" s="127"/>
      <c r="M76" s="132"/>
      <c r="N76" s="62"/>
      <c r="O76" s="62"/>
      <c r="P76" s="127">
        <f t="shared" ref="P76:P83" si="9">SUM(C76:N76)</f>
        <v>0</v>
      </c>
      <c r="Q76" s="127" t="e">
        <f>AVERAGE(C76:N76)</f>
        <v>#DIV/0!</v>
      </c>
      <c r="R76" s="103"/>
      <c r="S76" s="90"/>
      <c r="T76" s="128">
        <f t="shared" ref="T76:T83" si="10">S76*P76</f>
        <v>0</v>
      </c>
      <c r="U76" s="604">
        <f>SUM(T76:T77)</f>
        <v>0</v>
      </c>
      <c r="V76" s="192"/>
    </row>
    <row r="77" spans="1:22" s="6" customFormat="1" ht="20.100000000000001" customHeight="1" x14ac:dyDescent="0.2">
      <c r="A77" s="68">
        <v>1151</v>
      </c>
      <c r="B77" s="45" t="s">
        <v>101</v>
      </c>
      <c r="C77" s="135"/>
      <c r="D77" s="132"/>
      <c r="E77" s="132"/>
      <c r="F77" s="132"/>
      <c r="G77" s="132"/>
      <c r="H77" s="132"/>
      <c r="I77" s="132"/>
      <c r="J77" s="132"/>
      <c r="K77" s="132"/>
      <c r="L77" s="127"/>
      <c r="M77" s="132"/>
      <c r="N77" s="132"/>
      <c r="O77" s="132"/>
      <c r="P77" s="127">
        <f t="shared" si="9"/>
        <v>0</v>
      </c>
      <c r="Q77" s="127" t="e">
        <f>AVERAGE(C77:N77)</f>
        <v>#DIV/0!</v>
      </c>
      <c r="R77" s="103"/>
      <c r="S77" s="90"/>
      <c r="T77" s="128">
        <f t="shared" si="10"/>
        <v>0</v>
      </c>
      <c r="U77" s="606"/>
      <c r="V77" s="192"/>
    </row>
    <row r="78" spans="1:22" s="6" customFormat="1" ht="20.100000000000001" customHeight="1" x14ac:dyDescent="0.2">
      <c r="A78" s="68"/>
      <c r="B78" s="45"/>
      <c r="C78" s="135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27">
        <f t="shared" si="9"/>
        <v>0</v>
      </c>
      <c r="Q78" s="127" t="e">
        <f>AVERAGE(C78:N78)</f>
        <v>#DIV/0!</v>
      </c>
      <c r="R78" s="103"/>
      <c r="S78" s="90"/>
      <c r="T78" s="128">
        <f t="shared" si="10"/>
        <v>0</v>
      </c>
      <c r="U78" s="186">
        <f t="shared" ref="U78:U83" si="11">T78</f>
        <v>0</v>
      </c>
      <c r="V78" s="192"/>
    </row>
    <row r="79" spans="1:22" s="6" customFormat="1" ht="20.100000000000001" customHeight="1" x14ac:dyDescent="0.2">
      <c r="A79" s="68" t="s">
        <v>90</v>
      </c>
      <c r="B79" s="88" t="s">
        <v>91</v>
      </c>
      <c r="C79" s="127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27">
        <f t="shared" si="9"/>
        <v>0</v>
      </c>
      <c r="Q79" s="127" t="e">
        <f>AVERAGEIF(C79:N79,"&gt;0")</f>
        <v>#DIV/0!</v>
      </c>
      <c r="R79" s="103"/>
      <c r="S79" s="90">
        <v>32.44</v>
      </c>
      <c r="T79" s="130">
        <f t="shared" si="10"/>
        <v>0</v>
      </c>
      <c r="U79" s="186">
        <f t="shared" si="11"/>
        <v>0</v>
      </c>
      <c r="V79" s="192"/>
    </row>
    <row r="80" spans="1:22" s="6" customFormat="1" ht="20.100000000000001" customHeight="1" x14ac:dyDescent="0.2">
      <c r="A80" s="68" t="s">
        <v>98</v>
      </c>
      <c r="B80" s="88" t="s">
        <v>99</v>
      </c>
      <c r="C80" s="135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27">
        <f t="shared" si="9"/>
        <v>0</v>
      </c>
      <c r="Q80" s="127" t="e">
        <f>AVERAGEIF(C80:N80,"&gt;0")</f>
        <v>#DIV/0!</v>
      </c>
      <c r="R80" s="103"/>
      <c r="S80" s="90">
        <v>36</v>
      </c>
      <c r="T80" s="130">
        <f t="shared" si="10"/>
        <v>0</v>
      </c>
      <c r="U80" s="186">
        <f t="shared" si="11"/>
        <v>0</v>
      </c>
      <c r="V80" s="192"/>
    </row>
    <row r="81" spans="1:22" s="6" customFormat="1" ht="20.100000000000001" customHeight="1" x14ac:dyDescent="0.2">
      <c r="A81" s="68">
        <v>2580</v>
      </c>
      <c r="B81" s="88" t="s">
        <v>117</v>
      </c>
      <c r="C81" s="135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27">
        <f t="shared" si="9"/>
        <v>0</v>
      </c>
      <c r="Q81" s="127" t="e">
        <f>AVERAGEIF(C81:N81,"&gt;0")</f>
        <v>#DIV/0!</v>
      </c>
      <c r="R81" s="103"/>
      <c r="S81" s="90">
        <v>362</v>
      </c>
      <c r="T81" s="130">
        <f t="shared" si="10"/>
        <v>0</v>
      </c>
      <c r="U81" s="186">
        <f t="shared" si="11"/>
        <v>0</v>
      </c>
      <c r="V81" s="192"/>
    </row>
    <row r="82" spans="1:22" s="6" customFormat="1" ht="20.100000000000001" customHeight="1" x14ac:dyDescent="0.2">
      <c r="A82" s="68">
        <v>1456</v>
      </c>
      <c r="B82" s="45" t="s">
        <v>121</v>
      </c>
      <c r="C82" s="135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27">
        <f t="shared" si="9"/>
        <v>0</v>
      </c>
      <c r="Q82" s="127" t="e">
        <f>AVERAGE(C82:N82)</f>
        <v>#DIV/0!</v>
      </c>
      <c r="R82" s="103"/>
      <c r="S82" s="90">
        <v>348.5</v>
      </c>
      <c r="T82" s="130">
        <f t="shared" si="10"/>
        <v>0</v>
      </c>
      <c r="U82" s="186">
        <f t="shared" si="11"/>
        <v>0</v>
      </c>
      <c r="V82" s="192"/>
    </row>
    <row r="83" spans="1:22" s="6" customFormat="1" ht="20.100000000000001" customHeight="1" x14ac:dyDescent="0.2">
      <c r="A83" s="68" t="s">
        <v>94</v>
      </c>
      <c r="B83" s="88" t="s">
        <v>95</v>
      </c>
      <c r="C83" s="135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27">
        <f t="shared" si="9"/>
        <v>0</v>
      </c>
      <c r="Q83" s="127" t="e">
        <f t="shared" ref="Q83:Q88" si="12">AVERAGEIF(C83:N83,"&gt;0")</f>
        <v>#DIV/0!</v>
      </c>
      <c r="R83" s="103"/>
      <c r="S83" s="118">
        <v>420.5</v>
      </c>
      <c r="T83" s="130">
        <f t="shared" si="10"/>
        <v>0</v>
      </c>
      <c r="U83" s="186">
        <f t="shared" si="11"/>
        <v>0</v>
      </c>
      <c r="V83" s="192"/>
    </row>
    <row r="84" spans="1:22" s="6" customFormat="1" ht="20.100000000000001" customHeight="1" x14ac:dyDescent="0.2">
      <c r="A84" s="68">
        <v>1153</v>
      </c>
      <c r="B84" s="45" t="s">
        <v>96</v>
      </c>
      <c r="C84" s="135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27">
        <f t="shared" ref="P84:P92" si="13">SUM(C84:N84)</f>
        <v>0</v>
      </c>
      <c r="Q84" s="127" t="e">
        <f t="shared" si="12"/>
        <v>#DIV/0!</v>
      </c>
      <c r="R84" s="103"/>
      <c r="S84" s="90">
        <v>43.3</v>
      </c>
      <c r="T84" s="136">
        <f t="shared" ref="T84:T92" si="14">S84*P84</f>
        <v>0</v>
      </c>
      <c r="U84" s="186">
        <f t="shared" ref="U84:U92" si="15">T84</f>
        <v>0</v>
      </c>
      <c r="V84" s="192"/>
    </row>
    <row r="85" spans="1:22" s="6" customFormat="1" ht="20.100000000000001" customHeight="1" x14ac:dyDescent="0.2">
      <c r="A85" s="68" t="s">
        <v>97</v>
      </c>
      <c r="B85" s="88" t="s">
        <v>103</v>
      </c>
      <c r="C85" s="135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27">
        <f t="shared" si="13"/>
        <v>0</v>
      </c>
      <c r="Q85" s="127" t="e">
        <f t="shared" si="12"/>
        <v>#DIV/0!</v>
      </c>
      <c r="R85" s="103"/>
      <c r="S85" s="96">
        <v>13</v>
      </c>
      <c r="T85" s="136">
        <f t="shared" si="14"/>
        <v>0</v>
      </c>
      <c r="U85" s="186">
        <f t="shared" si="15"/>
        <v>0</v>
      </c>
      <c r="V85" s="192"/>
    </row>
    <row r="86" spans="1:22" s="6" customFormat="1" ht="20.100000000000001" customHeight="1" x14ac:dyDescent="0.2">
      <c r="A86" s="68" t="s">
        <v>104</v>
      </c>
      <c r="B86" s="88" t="s">
        <v>105</v>
      </c>
      <c r="C86" s="135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27">
        <f t="shared" si="13"/>
        <v>0</v>
      </c>
      <c r="Q86" s="127" t="e">
        <f t="shared" si="12"/>
        <v>#DIV/0!</v>
      </c>
      <c r="R86" s="103"/>
      <c r="S86" s="96">
        <v>1485</v>
      </c>
      <c r="T86" s="136">
        <f t="shared" si="14"/>
        <v>0</v>
      </c>
      <c r="U86" s="186">
        <f t="shared" si="15"/>
        <v>0</v>
      </c>
      <c r="V86" s="192"/>
    </row>
    <row r="87" spans="1:22" s="6" customFormat="1" ht="20.100000000000001" customHeight="1" x14ac:dyDescent="0.2">
      <c r="A87" s="68" t="s">
        <v>115</v>
      </c>
      <c r="B87" s="196" t="s">
        <v>116</v>
      </c>
      <c r="C87" s="135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27">
        <f>SUM(C87:N87)</f>
        <v>0</v>
      </c>
      <c r="Q87" s="127" t="e">
        <f t="shared" si="12"/>
        <v>#DIV/0!</v>
      </c>
      <c r="R87" s="103"/>
      <c r="S87" s="208">
        <v>67800</v>
      </c>
      <c r="T87" s="194">
        <f>S87*P87</f>
        <v>0</v>
      </c>
      <c r="U87" s="195">
        <f>T87</f>
        <v>0</v>
      </c>
      <c r="V87" s="192"/>
    </row>
    <row r="88" spans="1:22" s="6" customFormat="1" ht="20.100000000000001" customHeight="1" x14ac:dyDescent="0.2">
      <c r="A88" s="68" t="s">
        <v>114</v>
      </c>
      <c r="B88" s="88" t="s">
        <v>113</v>
      </c>
      <c r="C88" s="135"/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27">
        <f t="shared" si="13"/>
        <v>0</v>
      </c>
      <c r="Q88" s="127" t="e">
        <f t="shared" si="12"/>
        <v>#DIV/0!</v>
      </c>
      <c r="R88" s="103"/>
      <c r="S88" s="118">
        <v>17.7</v>
      </c>
      <c r="T88" s="136">
        <f t="shared" si="14"/>
        <v>0</v>
      </c>
      <c r="U88" s="186">
        <f t="shared" si="15"/>
        <v>0</v>
      </c>
      <c r="V88" s="192"/>
    </row>
    <row r="89" spans="1:22" s="6" customFormat="1" ht="20.100000000000001" customHeight="1" x14ac:dyDescent="0.2">
      <c r="A89" s="68" t="s">
        <v>119</v>
      </c>
      <c r="B89" s="88" t="s">
        <v>118</v>
      </c>
      <c r="C89" s="135"/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27">
        <f t="shared" si="13"/>
        <v>0</v>
      </c>
      <c r="Q89" s="127" t="e">
        <f t="shared" ref="Q89:Q96" si="16">AVERAGE(C89:N89)</f>
        <v>#DIV/0!</v>
      </c>
      <c r="R89" s="103"/>
      <c r="S89" s="118">
        <v>17.5</v>
      </c>
      <c r="T89" s="136">
        <f t="shared" si="14"/>
        <v>0</v>
      </c>
      <c r="U89" s="186">
        <f t="shared" si="15"/>
        <v>0</v>
      </c>
      <c r="V89" s="192"/>
    </row>
    <row r="90" spans="1:22" s="6" customFormat="1" ht="20.100000000000001" customHeight="1" x14ac:dyDescent="0.2">
      <c r="A90" s="68" t="s">
        <v>112</v>
      </c>
      <c r="B90" s="35" t="s">
        <v>122</v>
      </c>
      <c r="C90" s="135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27">
        <f t="shared" si="13"/>
        <v>0</v>
      </c>
      <c r="Q90" s="127" t="e">
        <f t="shared" si="16"/>
        <v>#DIV/0!</v>
      </c>
      <c r="R90" s="103"/>
      <c r="S90" s="118">
        <v>318.5</v>
      </c>
      <c r="T90" s="136">
        <f t="shared" si="14"/>
        <v>0</v>
      </c>
      <c r="U90" s="186">
        <f t="shared" si="15"/>
        <v>0</v>
      </c>
      <c r="V90" s="192"/>
    </row>
    <row r="91" spans="1:22" s="6" customFormat="1" ht="20.100000000000001" customHeight="1" x14ac:dyDescent="0.2">
      <c r="A91" s="68" t="s">
        <v>120</v>
      </c>
      <c r="B91" s="88" t="s">
        <v>125</v>
      </c>
      <c r="C91" s="135"/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27">
        <f t="shared" si="13"/>
        <v>0</v>
      </c>
      <c r="Q91" s="127" t="e">
        <f t="shared" si="16"/>
        <v>#DIV/0!</v>
      </c>
      <c r="R91" s="103"/>
      <c r="S91" s="96">
        <v>151526</v>
      </c>
      <c r="T91" s="136">
        <f t="shared" si="14"/>
        <v>0</v>
      </c>
      <c r="U91" s="186">
        <f t="shared" si="15"/>
        <v>0</v>
      </c>
      <c r="V91" s="214">
        <f>U91*0.15</f>
        <v>0</v>
      </c>
    </row>
    <row r="92" spans="1:22" s="6" customFormat="1" ht="20.100000000000001" customHeight="1" x14ac:dyDescent="0.2">
      <c r="A92" s="68">
        <v>3727</v>
      </c>
      <c r="B92" s="45" t="s">
        <v>129</v>
      </c>
      <c r="C92" s="135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27">
        <f t="shared" si="13"/>
        <v>0</v>
      </c>
      <c r="Q92" s="127" t="e">
        <f t="shared" si="16"/>
        <v>#DIV/0!</v>
      </c>
      <c r="R92" s="103"/>
      <c r="S92" s="238">
        <v>38</v>
      </c>
      <c r="T92" s="130">
        <f t="shared" si="14"/>
        <v>0</v>
      </c>
      <c r="U92" s="186">
        <f t="shared" si="15"/>
        <v>0</v>
      </c>
      <c r="V92" s="192"/>
    </row>
    <row r="93" spans="1:22" s="6" customFormat="1" ht="20.100000000000001" customHeight="1" x14ac:dyDescent="0.2">
      <c r="A93" s="68">
        <v>3803</v>
      </c>
      <c r="B93" s="45" t="s">
        <v>130</v>
      </c>
      <c r="C93" s="135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27">
        <f>SUM(C93:N93)</f>
        <v>0</v>
      </c>
      <c r="Q93" s="127" t="e">
        <f t="shared" si="16"/>
        <v>#DIV/0!</v>
      </c>
      <c r="R93" s="103"/>
      <c r="S93" s="239">
        <v>56.5</v>
      </c>
      <c r="T93" s="130">
        <f>S93*P93</f>
        <v>0</v>
      </c>
      <c r="U93" s="130">
        <f>T93</f>
        <v>0</v>
      </c>
      <c r="V93" s="192"/>
    </row>
    <row r="94" spans="1:22" s="6" customFormat="1" ht="20.100000000000001" customHeight="1" x14ac:dyDescent="0.2">
      <c r="A94" s="68" t="s">
        <v>132</v>
      </c>
      <c r="B94" s="45" t="s">
        <v>133</v>
      </c>
      <c r="C94" s="135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27">
        <f>SUM(C94:N94)</f>
        <v>0</v>
      </c>
      <c r="Q94" s="127" t="e">
        <f t="shared" si="16"/>
        <v>#DIV/0!</v>
      </c>
      <c r="R94" s="103"/>
      <c r="S94" s="246">
        <v>130000</v>
      </c>
      <c r="T94" s="237">
        <f>S94*P94</f>
        <v>0</v>
      </c>
      <c r="U94" s="237">
        <f>T94</f>
        <v>0</v>
      </c>
      <c r="V94" s="192"/>
    </row>
    <row r="95" spans="1:22" s="6" customFormat="1" ht="20.100000000000001" customHeight="1" x14ac:dyDescent="0.2">
      <c r="A95" s="68" t="s">
        <v>134</v>
      </c>
      <c r="B95" s="196" t="s">
        <v>718</v>
      </c>
      <c r="C95" s="135" t="s">
        <v>160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27">
        <f>SUM(C95:N95)</f>
        <v>0</v>
      </c>
      <c r="Q95" s="127" t="e">
        <f t="shared" si="16"/>
        <v>#DIV/0!</v>
      </c>
      <c r="R95" s="103"/>
      <c r="S95" s="246">
        <v>13000</v>
      </c>
      <c r="T95" s="237">
        <f>S95*P95</f>
        <v>0</v>
      </c>
      <c r="U95" s="237">
        <f>T95</f>
        <v>0</v>
      </c>
      <c r="V95" s="192"/>
    </row>
    <row r="96" spans="1:22" s="6" customFormat="1" ht="20.100000000000001" customHeight="1" thickBot="1" x14ac:dyDescent="0.25">
      <c r="A96" s="68"/>
      <c r="B96" s="45"/>
      <c r="C96" s="135"/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27">
        <f>SUM(C96:N96)</f>
        <v>0</v>
      </c>
      <c r="Q96" s="127" t="e">
        <f t="shared" si="16"/>
        <v>#DIV/0!</v>
      </c>
      <c r="R96" s="103"/>
      <c r="S96" s="90"/>
      <c r="T96" s="237">
        <f>S96*P96</f>
        <v>0</v>
      </c>
      <c r="U96" s="237">
        <f>T96</f>
        <v>0</v>
      </c>
      <c r="V96" s="192"/>
    </row>
    <row r="97" spans="1:22" s="6" customFormat="1" ht="20.100000000000001" customHeight="1" thickBot="1" x14ac:dyDescent="0.2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>
        <f>S97*C97</f>
        <v>0</v>
      </c>
      <c r="U97" s="84"/>
      <c r="V97" s="84"/>
    </row>
    <row r="98" spans="1:22" s="6" customFormat="1" ht="20.100000000000001" customHeight="1" thickBot="1" x14ac:dyDescent="0.3">
      <c r="A98" s="12"/>
      <c r="B98" s="574" t="s">
        <v>102</v>
      </c>
      <c r="C98" s="575"/>
      <c r="D98" s="575"/>
      <c r="E98" s="575"/>
      <c r="F98" s="575"/>
      <c r="G98" s="575"/>
      <c r="H98" s="575"/>
      <c r="I98" s="575"/>
      <c r="J98" s="575"/>
      <c r="K98" s="575"/>
      <c r="L98" s="575"/>
      <c r="M98" s="575"/>
      <c r="N98" s="575"/>
      <c r="O98" s="575"/>
      <c r="P98" s="575"/>
      <c r="Q98" s="575"/>
      <c r="R98" s="575"/>
      <c r="S98" s="576"/>
      <c r="T98" s="66"/>
      <c r="U98" s="66">
        <f>SUM(U7,U11:U95)</f>
        <v>11676205.199999999</v>
      </c>
      <c r="V98" s="193">
        <f>SUM(V7:V95)</f>
        <v>4377245.1970000006</v>
      </c>
    </row>
    <row r="99" spans="1:22" s="6" customFormat="1" ht="20.100000000000001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1:22" s="6" customFormat="1" ht="20.100000000000001" customHeight="1" x14ac:dyDescent="0.2">
      <c r="A100" s="10"/>
      <c r="B100" s="10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0"/>
      <c r="T100" s="10"/>
      <c r="U100" s="10"/>
    </row>
    <row r="101" spans="1:22" s="6" customFormat="1" ht="20.100000000000001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1:22" s="6" customFormat="1" ht="20.100000000000001" customHeight="1" x14ac:dyDescent="0.2">
      <c r="A102" s="15"/>
      <c r="B102" s="11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6"/>
      <c r="T102" s="17"/>
      <c r="U102" s="17"/>
    </row>
    <row r="103" spans="1:22" s="6" customFormat="1" ht="20.100000000000001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 t="s">
        <v>24</v>
      </c>
      <c r="T103" s="10"/>
      <c r="U103" s="10"/>
    </row>
    <row r="104" spans="1:22" s="6" customFormat="1" ht="20.100000000000001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1:22" s="6" customFormat="1" ht="20.100000000000001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spans="1:22" s="6" customFormat="1" ht="20.100000000000001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spans="1:22" s="6" customFormat="1" ht="20.100000000000001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spans="1:22" s="6" customFormat="1" ht="20.100000000000001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spans="1:22" s="6" customFormat="1" ht="1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spans="1:22" s="6" customFormat="1" ht="1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spans="1:22" s="7" customFormat="1" ht="1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spans="1:22" s="8" customFormat="1" ht="1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spans="1:22" s="8" customFormat="1" ht="1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spans="1:22" ht="1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spans="1:22" s="9" customFormat="1" ht="1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5"/>
    </row>
    <row r="116" spans="1:22" s="9" customFormat="1" ht="1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5"/>
    </row>
    <row r="117" spans="1:22" s="9" customFormat="1" ht="1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5"/>
    </row>
    <row r="118" spans="1:22" s="9" customFormat="1" ht="1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5"/>
    </row>
    <row r="119" spans="1:22" s="9" customFormat="1" ht="1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5"/>
    </row>
    <row r="120" spans="1:22" s="9" customFormat="1" ht="1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5"/>
    </row>
    <row r="121" spans="1:22" s="9" customFormat="1" ht="1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5"/>
    </row>
    <row r="122" spans="1:22" s="9" customFormat="1" ht="1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5"/>
    </row>
    <row r="123" spans="1:22" s="9" customFormat="1" ht="1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5"/>
    </row>
    <row r="124" spans="1:22" s="9" customFormat="1" ht="1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5"/>
    </row>
    <row r="125" spans="1:22" s="9" customFormat="1" ht="1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5"/>
    </row>
    <row r="126" spans="1:22" s="9" customFormat="1" ht="1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5"/>
    </row>
    <row r="127" spans="1:22" s="9" customFormat="1" ht="1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5"/>
    </row>
    <row r="128" spans="1:22" s="9" customFormat="1" ht="1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5"/>
    </row>
    <row r="129" spans="1:22" s="9" customFormat="1" ht="1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5"/>
    </row>
    <row r="130" spans="1:22" s="9" customFormat="1" ht="1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5"/>
    </row>
    <row r="131" spans="1:22" s="9" customFormat="1" ht="1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5"/>
    </row>
    <row r="132" spans="1:22" s="9" customFormat="1" ht="1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5"/>
    </row>
    <row r="133" spans="1:22" s="9" customFormat="1" ht="1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5"/>
    </row>
    <row r="134" spans="1:22" s="9" customFormat="1" ht="1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5"/>
    </row>
    <row r="135" spans="1:22" s="9" customFormat="1" ht="1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5"/>
    </row>
    <row r="136" spans="1:22" s="9" customFormat="1" ht="1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5"/>
    </row>
    <row r="137" spans="1:22" s="9" customFormat="1" ht="1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5"/>
    </row>
    <row r="138" spans="1:22" s="9" customFormat="1" ht="1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5"/>
    </row>
    <row r="139" spans="1:22" s="9" customFormat="1" ht="1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5"/>
    </row>
    <row r="140" spans="1:22" s="9" customFormat="1" ht="1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5"/>
    </row>
    <row r="141" spans="1:22" s="9" customFormat="1" ht="1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5"/>
    </row>
    <row r="142" spans="1:22" s="9" customFormat="1" ht="1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5"/>
    </row>
    <row r="143" spans="1:22" s="9" customFormat="1" ht="1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5"/>
    </row>
    <row r="144" spans="1:22" s="9" customFormat="1" ht="1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5"/>
    </row>
    <row r="145" spans="1:22" s="9" customFormat="1" ht="1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5"/>
    </row>
    <row r="146" spans="1:22" s="9" customFormat="1" ht="1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5"/>
    </row>
    <row r="147" spans="1:22" s="9" customFormat="1" ht="1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5"/>
    </row>
    <row r="148" spans="1:22" s="9" customFormat="1" ht="1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5"/>
    </row>
    <row r="149" spans="1:22" s="9" customFormat="1" ht="1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5"/>
    </row>
    <row r="150" spans="1:22" s="9" customFormat="1" ht="1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5"/>
    </row>
    <row r="151" spans="1:22" s="9" customFormat="1" ht="1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5"/>
    </row>
    <row r="152" spans="1:22" s="9" customFormat="1" ht="1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5"/>
    </row>
    <row r="153" spans="1:22" s="9" customFormat="1" ht="1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5"/>
    </row>
    <row r="154" spans="1:22" s="9" customFormat="1" ht="1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5"/>
    </row>
    <row r="155" spans="1:22" s="9" customFormat="1" ht="1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5"/>
    </row>
    <row r="156" spans="1:22" s="9" customFormat="1" ht="1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5"/>
    </row>
    <row r="157" spans="1:22" s="9" customFormat="1" ht="1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5"/>
    </row>
    <row r="158" spans="1:22" s="9" customFormat="1" ht="1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5"/>
    </row>
    <row r="159" spans="1:22" s="9" customFormat="1" ht="1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5"/>
    </row>
    <row r="160" spans="1:22" s="9" customFormat="1" ht="1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5"/>
    </row>
    <row r="161" spans="1:22" s="9" customFormat="1" ht="1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5"/>
    </row>
    <row r="162" spans="1:22" s="9" customFormat="1" ht="1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5"/>
    </row>
    <row r="163" spans="1:22" s="9" customFormat="1" ht="1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5"/>
    </row>
    <row r="164" spans="1:22" s="9" customFormat="1" ht="1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5"/>
    </row>
    <row r="165" spans="1:22" s="9" customFormat="1" ht="1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5"/>
    </row>
    <row r="166" spans="1:22" s="9" customFormat="1" ht="1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5"/>
    </row>
    <row r="167" spans="1:22" s="9" customFormat="1" ht="1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5"/>
    </row>
    <row r="168" spans="1:22" s="9" customFormat="1" ht="1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5"/>
    </row>
    <row r="169" spans="1:22" s="9" customFormat="1" ht="1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5"/>
    </row>
    <row r="170" spans="1:22" s="9" customFormat="1" ht="1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5"/>
    </row>
    <row r="171" spans="1:22" s="9" customFormat="1" ht="1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5"/>
    </row>
    <row r="172" spans="1:22" s="9" customFormat="1" ht="1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5"/>
    </row>
    <row r="173" spans="1:22" s="9" customFormat="1" ht="1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5"/>
    </row>
    <row r="174" spans="1:22" s="9" customFormat="1" ht="1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5"/>
    </row>
    <row r="175" spans="1:22" s="9" customFormat="1" ht="1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5"/>
    </row>
    <row r="176" spans="1:22" s="9" customFormat="1" ht="1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5"/>
    </row>
    <row r="177" spans="1:22" s="9" customFormat="1" ht="1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5"/>
    </row>
    <row r="178" spans="1:22" s="9" customFormat="1" ht="1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5"/>
    </row>
    <row r="179" spans="1:22" s="9" customFormat="1" ht="1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5"/>
    </row>
    <row r="180" spans="1:22" s="9" customFormat="1" ht="1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5"/>
    </row>
    <row r="181" spans="1:22" s="9" customFormat="1" ht="1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5"/>
    </row>
    <row r="182" spans="1:22" s="9" customFormat="1" ht="1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5"/>
    </row>
    <row r="183" spans="1:22" s="9" customFormat="1" ht="1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5"/>
    </row>
    <row r="184" spans="1:22" s="9" customFormat="1" ht="1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5"/>
    </row>
    <row r="185" spans="1:22" s="9" customFormat="1" ht="1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5"/>
    </row>
    <row r="186" spans="1:22" s="9" customFormat="1" ht="1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5"/>
    </row>
    <row r="187" spans="1:22" s="9" customFormat="1" ht="1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5"/>
    </row>
    <row r="188" spans="1:22" s="9" customFormat="1" ht="1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5"/>
    </row>
    <row r="189" spans="1:22" s="9" customFormat="1" ht="1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5"/>
    </row>
    <row r="190" spans="1:22" s="9" customFormat="1" ht="1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5"/>
    </row>
    <row r="191" spans="1:22" s="9" customFormat="1" ht="1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5"/>
    </row>
    <row r="192" spans="1:22" s="9" customFormat="1" ht="1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5"/>
    </row>
    <row r="193" spans="1:22" s="9" customFormat="1" ht="1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5"/>
    </row>
    <row r="194" spans="1:22" s="9" customFormat="1" ht="1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5"/>
    </row>
    <row r="195" spans="1:22" s="9" customFormat="1" ht="1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5"/>
    </row>
    <row r="196" spans="1:22" s="9" customFormat="1" ht="1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5"/>
    </row>
    <row r="197" spans="1:22" s="9" customFormat="1" ht="1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5"/>
    </row>
    <row r="198" spans="1:22" s="9" customFormat="1" ht="1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5"/>
    </row>
    <row r="199" spans="1:22" s="9" customFormat="1" ht="1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5"/>
    </row>
    <row r="200" spans="1:22" s="9" customFormat="1" ht="1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5"/>
    </row>
    <row r="201" spans="1:22" s="9" customFormat="1" ht="1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5"/>
    </row>
    <row r="202" spans="1:22" s="9" customFormat="1" ht="1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5"/>
    </row>
    <row r="203" spans="1:22" s="9" customFormat="1" ht="1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5"/>
    </row>
    <row r="204" spans="1:22" s="9" customFormat="1" ht="1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5"/>
    </row>
    <row r="205" spans="1:22" s="9" customFormat="1" ht="1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5"/>
    </row>
    <row r="206" spans="1:22" s="9" customFormat="1" ht="1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5"/>
    </row>
    <row r="207" spans="1:22" s="9" customFormat="1" ht="1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5"/>
    </row>
    <row r="208" spans="1:22" s="9" customFormat="1" ht="1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5"/>
    </row>
    <row r="209" spans="1:22" s="9" customFormat="1" ht="1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5"/>
    </row>
    <row r="210" spans="1:22" s="9" customFormat="1" ht="1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5"/>
    </row>
    <row r="211" spans="1:22" s="9" customFormat="1" ht="1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5"/>
    </row>
    <row r="212" spans="1:22" s="9" customFormat="1" ht="1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5"/>
    </row>
    <row r="213" spans="1:22" s="9" customFormat="1" ht="1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5"/>
    </row>
    <row r="214" spans="1:22" s="9" customFormat="1" ht="1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5"/>
    </row>
    <row r="215" spans="1:22" s="9" customFormat="1" ht="1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5"/>
    </row>
    <row r="216" spans="1:22" s="9" customFormat="1" ht="1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5"/>
    </row>
    <row r="217" spans="1:22" s="9" customFormat="1" ht="1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5"/>
    </row>
    <row r="218" spans="1:22" s="9" customFormat="1" ht="1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5"/>
    </row>
    <row r="219" spans="1:22" s="9" customFormat="1" ht="1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5"/>
    </row>
    <row r="220" spans="1:22" s="9" customFormat="1" ht="1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5"/>
    </row>
    <row r="221" spans="1:22" s="9" customFormat="1" ht="1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5"/>
    </row>
    <row r="222" spans="1:22" s="9" customFormat="1" ht="1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5"/>
    </row>
    <row r="223" spans="1:22" s="9" customFormat="1" ht="1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5"/>
    </row>
    <row r="224" spans="1:22" s="9" customFormat="1" ht="1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5"/>
    </row>
    <row r="225" spans="1:22" s="9" customFormat="1" ht="1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5"/>
    </row>
    <row r="226" spans="1:22" s="9" customFormat="1" ht="1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5"/>
    </row>
    <row r="227" spans="1:22" s="9" customFormat="1" ht="1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5"/>
    </row>
    <row r="228" spans="1:22" s="9" customFormat="1" ht="1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5"/>
    </row>
    <row r="229" spans="1:22" s="9" customFormat="1" ht="1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5"/>
    </row>
    <row r="230" spans="1:22" s="9" customFormat="1" ht="1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5"/>
    </row>
    <row r="231" spans="1:22" s="9" customFormat="1" ht="1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5"/>
    </row>
    <row r="232" spans="1:22" s="9" customFormat="1" ht="1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5"/>
    </row>
    <row r="233" spans="1:22" s="9" customFormat="1" ht="1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5"/>
    </row>
    <row r="234" spans="1:22" s="9" customFormat="1" ht="1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5"/>
    </row>
    <row r="235" spans="1:22" s="9" customFormat="1" ht="1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5"/>
    </row>
    <row r="236" spans="1:22" s="9" customForma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5"/>
    </row>
    <row r="237" spans="1:22" s="9" customForma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5"/>
    </row>
    <row r="238" spans="1:22" s="9" customForma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5"/>
    </row>
    <row r="239" spans="1:22" s="9" customForma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5"/>
    </row>
    <row r="240" spans="1:22" s="9" customForma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5"/>
    </row>
    <row r="241" spans="1:22" s="9" customForma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5"/>
    </row>
    <row r="242" spans="1:22" s="9" customForma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5"/>
    </row>
    <row r="243" spans="1:22" s="9" customForma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5"/>
    </row>
    <row r="244" spans="1:22" s="9" customForma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5"/>
    </row>
    <row r="245" spans="1:22" s="9" customForma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5"/>
    </row>
    <row r="246" spans="1:22" s="9" customForma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5"/>
    </row>
    <row r="247" spans="1:22" s="9" customForma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5"/>
    </row>
    <row r="248" spans="1:22" s="9" customForma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5"/>
    </row>
    <row r="249" spans="1:22" s="9" customForma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5"/>
    </row>
    <row r="250" spans="1:22" s="9" customForma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5"/>
    </row>
    <row r="251" spans="1:22" s="9" customForma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5"/>
    </row>
    <row r="252" spans="1:22" s="9" customForma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5"/>
    </row>
    <row r="253" spans="1:22" s="9" customForma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5"/>
    </row>
    <row r="254" spans="1:22" s="9" customForma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5"/>
    </row>
    <row r="255" spans="1:22" s="9" customForma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5"/>
    </row>
    <row r="256" spans="1:22" s="9" customForma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5"/>
    </row>
    <row r="257" spans="1:22" s="9" customForma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5"/>
    </row>
    <row r="258" spans="1:22" s="9" customForma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5"/>
    </row>
    <row r="259" spans="1:22" s="9" customForma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5"/>
    </row>
    <row r="260" spans="1:22" s="9" customForma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5"/>
    </row>
    <row r="261" spans="1:22" s="9" customForma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5"/>
    </row>
    <row r="262" spans="1:22" s="9" customForma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5"/>
    </row>
    <row r="263" spans="1:22" s="9" customForma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5"/>
    </row>
    <row r="264" spans="1:22" s="9" customForma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5"/>
    </row>
    <row r="265" spans="1:22" s="9" customForma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5"/>
    </row>
    <row r="266" spans="1:22" s="9" customForma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5"/>
    </row>
    <row r="267" spans="1:22" s="9" customForma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5"/>
    </row>
    <row r="268" spans="1:22" s="9" customForma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5"/>
    </row>
    <row r="269" spans="1:22" s="9" customForma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5"/>
    </row>
    <row r="270" spans="1:22" s="9" customForma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5"/>
    </row>
    <row r="271" spans="1:22" s="9" customForma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5"/>
    </row>
    <row r="272" spans="1:22" s="9" customFormat="1" x14ac:dyDescent="0.25">
      <c r="A272" s="10"/>
      <c r="B272" s="10"/>
      <c r="S272" s="10"/>
      <c r="V272" s="5"/>
    </row>
    <row r="273" spans="1:22" s="9" customFormat="1" x14ac:dyDescent="0.25">
      <c r="A273" s="10"/>
      <c r="B273" s="10"/>
      <c r="S273" s="10"/>
      <c r="V273" s="5"/>
    </row>
    <row r="274" spans="1:22" s="9" customFormat="1" x14ac:dyDescent="0.25">
      <c r="A274" s="10"/>
      <c r="B274" s="10"/>
      <c r="S274" s="10"/>
      <c r="V274" s="5"/>
    </row>
    <row r="275" spans="1:22" s="9" customFormat="1" x14ac:dyDescent="0.25">
      <c r="A275" s="10"/>
      <c r="S275" s="10"/>
      <c r="V275" s="5"/>
    </row>
    <row r="276" spans="1:22" s="9" customFormat="1" x14ac:dyDescent="0.25">
      <c r="A276" s="10"/>
      <c r="V276" s="5"/>
    </row>
    <row r="277" spans="1:22" s="9" customFormat="1" x14ac:dyDescent="0.25">
      <c r="A277" s="10"/>
      <c r="V277" s="5"/>
    </row>
    <row r="278" spans="1:22" s="9" customFormat="1" x14ac:dyDescent="0.25">
      <c r="A278" s="10"/>
      <c r="V278" s="5"/>
    </row>
    <row r="279" spans="1:22" s="9" customFormat="1" x14ac:dyDescent="0.25">
      <c r="A279" s="10"/>
      <c r="V279" s="5"/>
    </row>
    <row r="280" spans="1:22" s="9" customFormat="1" x14ac:dyDescent="0.25">
      <c r="A280" s="10"/>
      <c r="V280" s="5"/>
    </row>
    <row r="281" spans="1:22" s="9" customFormat="1" x14ac:dyDescent="0.25">
      <c r="A281" s="10"/>
      <c r="V281" s="5"/>
    </row>
    <row r="282" spans="1:22" s="9" customFormat="1" x14ac:dyDescent="0.25">
      <c r="A282" s="10"/>
      <c r="V282" s="5"/>
    </row>
    <row r="283" spans="1:22" s="9" customFormat="1" x14ac:dyDescent="0.25">
      <c r="A283" s="10"/>
      <c r="V283" s="5"/>
    </row>
    <row r="284" spans="1:22" s="9" customFormat="1" x14ac:dyDescent="0.25">
      <c r="V284" s="5"/>
    </row>
    <row r="285" spans="1:22" s="9" customFormat="1" x14ac:dyDescent="0.25">
      <c r="V285" s="5"/>
    </row>
    <row r="20070" spans="22:22" s="9" customFormat="1" x14ac:dyDescent="0.25">
      <c r="V20070" s="5"/>
    </row>
  </sheetData>
  <sheetProtection formatColumns="0"/>
  <customSheetViews>
    <customSheetView guid="{06317133-151B-4DBC-8EB3-9345BA061F91}" scale="70" showPageBreaks="1" printArea="1">
      <pane ySplit="6" topLeftCell="A7" activePane="bottomLeft" state="frozen"/>
      <selection pane="bottomLeft" activeCell="G73" sqref="G73:G74"/>
      <pageMargins left="0.11811023622047245" right="0" top="0.19685039370078741" bottom="0.11811023622047245" header="0" footer="0"/>
      <printOptions horizontalCentered="1"/>
      <pageSetup paperSize="8" scale="63" orientation="landscape" r:id="rId1"/>
      <headerFooter>
        <oddFooter>&amp;L&amp;A&amp;Rлист &amp;P    листов &amp;N</oddFooter>
      </headerFooter>
    </customSheetView>
    <customSheetView guid="{375BA386-B398-4A0E-AF86-4319F1FDDF11}" scale="75" showPageBreaks="1" fitToPage="1" printArea="1" hiddenColumns="1">
      <pane ySplit="6" topLeftCell="A85" activePane="bottomLeft" state="frozen"/>
      <selection pane="bottomLeft" activeCell="T7" sqref="T7"/>
      <pageMargins left="0.11811023622047245" right="0" top="0.84" bottom="0.11811023622047245" header="0" footer="0"/>
      <printOptions horizontalCentered="1"/>
      <pageSetup paperSize="9" scale="46" orientation="landscape" r:id="rId2"/>
      <headerFooter>
        <oddFooter>&amp;L&amp;A&amp;Rлист &amp;P    листов &amp;N</oddFooter>
      </headerFooter>
    </customSheetView>
    <customSheetView guid="{45C31AC1-6FB2-488C-94EA-BCF9E79D0043}" scale="80" showPageBreaks="1" printArea="1">
      <pane ySplit="6" topLeftCell="A45" activePane="bottomLeft" state="frozen"/>
      <selection pane="bottomLeft" activeCell="B45" sqref="B45"/>
      <pageMargins left="0.11811023622047245" right="0" top="0.19685039370078741" bottom="0.11811023622047245" header="0" footer="0"/>
      <printOptions horizontalCentered="1"/>
      <pageSetup paperSize="8" scale="63" orientation="landscape" r:id="rId3"/>
      <headerFooter>
        <oddFooter>&amp;L&amp;A&amp;Rлист &amp;P    листов &amp;N</oddFooter>
      </headerFooter>
    </customSheetView>
    <customSheetView guid="{368B64E8-7AD6-4BC7-A731-9903B52ABB0C}" scale="75" showPageBreaks="1" printArea="1">
      <pane ySplit="6" topLeftCell="A13" activePane="bottomLeft" state="frozen"/>
      <selection pane="bottomLeft" activeCell="F89" sqref="F89"/>
      <pageMargins left="0.11811023622047245" right="0" top="0.19685039370078741" bottom="0.11811023622047245" header="0" footer="0"/>
      <printOptions horizontalCentered="1"/>
      <pageSetup paperSize="8" scale="63" orientation="landscape" r:id="rId4"/>
      <headerFooter>
        <oddFooter>&amp;L&amp;A&amp;Rлист &amp;P    листов &amp;N</oddFooter>
      </headerFooter>
    </customSheetView>
    <customSheetView guid="{40668DAD-2016-43AB-978A-7EBCCA65FC96}" scale="80" showPageBreaks="1" printArea="1">
      <pane ySplit="6" topLeftCell="A7" activePane="bottomLeft" state="frozen"/>
      <selection pane="bottomLeft" activeCell="A83" sqref="A83:XFD86"/>
      <pageMargins left="0.11811023622047245" right="0" top="0.19685039370078741" bottom="0.11811023622047245" header="0" footer="0"/>
      <printOptions horizontalCentered="1"/>
      <pageSetup paperSize="8" scale="63" orientation="landscape" r:id="rId5"/>
      <headerFooter>
        <oddFooter>&amp;L&amp;A&amp;Rлист &amp;P    листов &amp;N</oddFooter>
      </headerFooter>
    </customSheetView>
    <customSheetView guid="{D800552E-1EF8-4BC8-9EFF-0AF8FC74B053}" scale="80" showPageBreaks="1" printArea="1">
      <pane ySplit="6" topLeftCell="A52" activePane="bottomLeft" state="frozen"/>
      <selection pane="bottomLeft" activeCell="J87" sqref="J87"/>
      <pageMargins left="0.11811023622047245" right="0" top="0.19685039370078741" bottom="0.11811023622047245" header="0" footer="0"/>
      <printOptions horizontalCentered="1"/>
      <pageSetup paperSize="8" scale="63" orientation="landscape" r:id="rId6"/>
      <headerFooter>
        <oddFooter>&amp;L&amp;A&amp;Rлист &amp;P    листов &amp;N</oddFooter>
      </headerFooter>
    </customSheetView>
    <customSheetView guid="{284DBE66-ADFD-4F9E-A431-13ED7075966F}" scale="64" showPageBreaks="1" printArea="1" hiddenColumns="1">
      <pane ySplit="6" topLeftCell="A46" activePane="bottomLeft" state="frozen"/>
      <selection pane="bottomLeft" sqref="A1:B1"/>
      <pageMargins left="0.11811023622047245" right="0" top="0.19685039370078741" bottom="0.11811023622047245" header="0" footer="0"/>
      <printOptions horizontalCentered="1"/>
      <pageSetup paperSize="8" scale="63" orientation="landscape" r:id="rId7"/>
      <headerFooter>
        <oddFooter>&amp;L&amp;A&amp;Rлист &amp;P    листов &amp;N</oddFooter>
      </headerFooter>
    </customSheetView>
    <customSheetView guid="{991AEFF2-E4AE-41D0-B810-875DE90D90C4}" scale="80" showPageBreaks="1" printArea="1">
      <pane ySplit="6" topLeftCell="A7" activePane="bottomLeft" state="frozen"/>
      <selection pane="bottomLeft" activeCell="A79" sqref="A79:XFD81"/>
      <pageMargins left="0.11811023622047245" right="0" top="0.19685039370078741" bottom="0.11811023622047245" header="0" footer="0"/>
      <printOptions horizontalCentered="1"/>
      <pageSetup paperSize="8" scale="63" orientation="landscape" r:id="rId8"/>
      <headerFooter>
        <oddFooter>&amp;L&amp;A&amp;Rлист &amp;P    листов &amp;N</oddFooter>
      </headerFooter>
    </customSheetView>
    <customSheetView guid="{415F9960-5313-4B8C-A857-E343B234574E}" scale="80" showPageBreaks="1" printArea="1">
      <pane ySplit="6" topLeftCell="A7" activePane="bottomLeft" state="frozen"/>
      <selection pane="bottomLeft" activeCell="A46" sqref="A46:XFD46"/>
      <pageMargins left="0.11811023622047245" right="0" top="0.19685039370078741" bottom="0.11811023622047245" header="0" footer="0"/>
      <printOptions horizontalCentered="1"/>
      <pageSetup paperSize="8" scale="63" orientation="landscape" r:id="rId9"/>
      <headerFooter>
        <oddFooter>&amp;L&amp;A&amp;Rлист &amp;P    листов &amp;N</oddFooter>
      </headerFooter>
    </customSheetView>
    <customSheetView guid="{80DF195B-C3BE-44B8-BBAD-8A91B6EC45AB}" scale="80" showPageBreaks="1" printArea="1">
      <pane ySplit="6" topLeftCell="A25" activePane="bottomLeft" state="frozen"/>
      <selection pane="bottomLeft" activeCell="G68" sqref="G68"/>
      <pageMargins left="0.11811023622047245" right="0" top="0.19685039370078741" bottom="0.11811023622047245" header="0" footer="0"/>
      <printOptions horizontalCentered="1"/>
      <pageSetup paperSize="8" scale="63" orientation="landscape" r:id="rId10"/>
      <headerFooter>
        <oddFooter>&amp;L&amp;A&amp;Rлист &amp;P    листов &amp;N</oddFooter>
      </headerFooter>
    </customSheetView>
    <customSheetView guid="{985ED1BC-53D6-40D6-BED0-BF19A973D3E0}" scale="80" showPageBreaks="1" printArea="1">
      <pane ySplit="6" topLeftCell="A16" activePane="bottomLeft" state="frozen"/>
      <selection pane="bottomLeft" activeCell="C31" sqref="C31"/>
      <pageMargins left="0.11811023622047245" right="0" top="0.19685039370078741" bottom="0.11811023622047245" header="0" footer="0"/>
      <printOptions horizontalCentered="1"/>
      <pageSetup paperSize="8" scale="63" orientation="landscape" r:id="rId11"/>
      <headerFooter>
        <oddFooter>&amp;L&amp;A&amp;Rлист &amp;P    листов &amp;N</oddFooter>
      </headerFooter>
    </customSheetView>
    <customSheetView guid="{CA0EFFCB-6323-469D-93EE-7365AC1A8B79}" scale="75" fitToPage="1" topLeftCell="D1">
      <pane ySplit="6" topLeftCell="A23" activePane="bottomLeft" state="frozen"/>
      <selection pane="bottomLeft" activeCell="K37" sqref="K37"/>
      <pageMargins left="0.11811023622047245" right="0" top="0.84" bottom="0.11811023622047245" header="0" footer="0"/>
      <printOptions horizontalCentered="1"/>
      <pageSetup paperSize="9" scale="46" orientation="landscape" r:id="rId12"/>
      <headerFooter>
        <oddFooter>&amp;L&amp;A&amp;Rлист &amp;P    листов &amp;N</oddFooter>
      </headerFooter>
    </customSheetView>
    <customSheetView guid="{1168776E-3CE1-4C5E-BCD8-35079C55D78E}" scale="50" showPageBreaks="1" printArea="1">
      <pane ySplit="6" topLeftCell="A40" activePane="bottomLeft" state="frozen"/>
      <selection pane="bottomLeft" activeCell="S47" sqref="S47"/>
      <pageMargins left="0.11811023622047245" right="0" top="0.19685039370078741" bottom="0.11811023622047245" header="0" footer="0"/>
      <printOptions horizontalCentered="1"/>
      <pageSetup paperSize="8" scale="63" orientation="landscape" r:id="rId13"/>
      <headerFooter>
        <oddFooter>&amp;L&amp;A&amp;Rлист &amp;P    листов &amp;N</oddFooter>
      </headerFooter>
    </customSheetView>
    <customSheetView guid="{845EA106-2CB5-4F86-BBCF-D0DE18153B1C}" scale="80" showPageBreaks="1" printArea="1">
      <pane ySplit="6" topLeftCell="A7" activePane="bottomLeft" state="frozen"/>
      <selection pane="bottomLeft" activeCell="A3" sqref="A3:T97"/>
      <pageMargins left="0.11811023622047245" right="0" top="0.19685039370078741" bottom="0.11811023622047245" header="0" footer="0"/>
      <printOptions horizontalCentered="1"/>
      <pageSetup paperSize="8" scale="63" orientation="landscape" r:id="rId14"/>
      <headerFooter>
        <oddFooter>&amp;L&amp;A&amp;Rлист &amp;P    листов &amp;N</oddFooter>
      </headerFooter>
    </customSheetView>
    <customSheetView guid="{C29DA669-F4F9-44CD-9569-E796ADF74A86}" scale="50" showPageBreaks="1" printArea="1">
      <pane ySplit="6" topLeftCell="A7" activePane="bottomLeft" state="frozen"/>
      <selection pane="bottomLeft" activeCell="S47" sqref="S47"/>
      <pageMargins left="0.11811023622047245" right="0" top="0.19685039370078741" bottom="0.11811023622047245" header="0" footer="0"/>
      <printOptions horizontalCentered="1"/>
      <pageSetup paperSize="8" scale="63" orientation="landscape" r:id="rId15"/>
      <headerFooter>
        <oddFooter>&amp;L&amp;A&amp;Rлист &amp;P    листов &amp;N</oddFooter>
      </headerFooter>
    </customSheetView>
    <customSheetView guid="{A1BD6C0C-B1B9-4F48-A6B1-3BFD273F4CD7}" scale="75" showPageBreaks="1" fitToPage="1" printArea="1" hiddenColumns="1">
      <pane ySplit="6" topLeftCell="A37" activePane="bottomLeft" state="frozen"/>
      <selection pane="bottomLeft" activeCell="P54" sqref="P54"/>
      <pageMargins left="0.11811023622047245" right="0" top="0.84" bottom="0.11811023622047245" header="0" footer="0"/>
      <printOptions horizontalCentered="1"/>
      <pageSetup paperSize="9" scale="46" orientation="landscape" r:id="rId16"/>
      <headerFooter>
        <oddFooter>&amp;L&amp;A&amp;Rлист &amp;P    листов &amp;N</oddFooter>
      </headerFooter>
    </customSheetView>
    <customSheetView guid="{D42288F7-1871-4EF6-BC87-1B9EF747C744}" scale="70">
      <pane ySplit="6" topLeftCell="A7" activePane="bottomLeft" state="frozen"/>
      <selection pane="bottomLeft" activeCell="G73" sqref="G73:G74"/>
      <pageMargins left="0.11811023622047245" right="0" top="0.19685039370078741" bottom="0.11811023622047245" header="0" footer="0"/>
      <printOptions horizontalCentered="1"/>
      <pageSetup paperSize="8" scale="63" orientation="landscape" r:id="rId17"/>
      <headerFooter>
        <oddFooter>&amp;L&amp;A&amp;Rлист &amp;P    листов &amp;N</oddFooter>
      </headerFooter>
    </customSheetView>
    <customSheetView guid="{8C638750-2D78-446E-B8DA-A6202AF1ED31}" scale="80" showPageBreaks="1" printArea="1">
      <pane ySplit="6" topLeftCell="A7" activePane="bottomLeft" state="frozen"/>
      <selection pane="bottomLeft" activeCell="A3" sqref="A3:T97"/>
      <pageMargins left="0.11811023622047245" right="0" top="0.19685039370078741" bottom="0.11811023622047245" header="0" footer="0"/>
      <printOptions horizontalCentered="1"/>
      <pageSetup paperSize="8" scale="63" orientation="landscape" r:id="rId18"/>
      <headerFooter>
        <oddFooter>&amp;L&amp;A&amp;Rлист &amp;P    листов &amp;N</oddFooter>
      </headerFooter>
    </customSheetView>
  </customSheetViews>
  <mergeCells count="35">
    <mergeCell ref="H5:H6"/>
    <mergeCell ref="I5:I6"/>
    <mergeCell ref="J5:J6"/>
    <mergeCell ref="A1:B1"/>
    <mergeCell ref="A2:B2"/>
    <mergeCell ref="A5:A6"/>
    <mergeCell ref="B5:B6"/>
    <mergeCell ref="C5:C6"/>
    <mergeCell ref="D5:D6"/>
    <mergeCell ref="B98:S98"/>
    <mergeCell ref="Q5:Q6"/>
    <mergeCell ref="S5:S6"/>
    <mergeCell ref="T5:T6"/>
    <mergeCell ref="U5:U6"/>
    <mergeCell ref="U11:U20"/>
    <mergeCell ref="U22:U29"/>
    <mergeCell ref="K5:K6"/>
    <mergeCell ref="L5:L6"/>
    <mergeCell ref="M5:M6"/>
    <mergeCell ref="N5:N6"/>
    <mergeCell ref="O5:O6"/>
    <mergeCell ref="P5:P6"/>
    <mergeCell ref="E5:E6"/>
    <mergeCell ref="F5:F6"/>
    <mergeCell ref="G5:G6"/>
    <mergeCell ref="U31:U35"/>
    <mergeCell ref="U47:U54"/>
    <mergeCell ref="U58:U62"/>
    <mergeCell ref="U73:U74"/>
    <mergeCell ref="U76:U77"/>
    <mergeCell ref="V11:V20"/>
    <mergeCell ref="V22:V29"/>
    <mergeCell ref="V31:V35"/>
    <mergeCell ref="V47:V54"/>
    <mergeCell ref="V58:V62"/>
  </mergeCells>
  <printOptions horizontalCentered="1"/>
  <pageMargins left="0.11811023622047245" right="0" top="0.19685039370078741" bottom="0.11811023622047245" header="0" footer="0"/>
  <pageSetup paperSize="8" scale="63" orientation="landscape" r:id="rId19"/>
  <headerFooter>
    <oddFooter>&amp;L&amp;A&amp;Rлист &amp;P    листов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5"/>
  <sheetViews>
    <sheetView workbookViewId="0">
      <selection activeCell="A4" sqref="A4:XFD4"/>
    </sheetView>
  </sheetViews>
  <sheetFormatPr defaultRowHeight="15" x14ac:dyDescent="0.25"/>
  <sheetData>
    <row r="3" spans="2:5" x14ac:dyDescent="0.25">
      <c r="B3" s="489">
        <v>2016</v>
      </c>
      <c r="C3" s="489">
        <v>2017</v>
      </c>
      <c r="D3" s="489">
        <v>2018</v>
      </c>
      <c r="E3" s="489">
        <v>2019</v>
      </c>
    </row>
    <row r="4" spans="2:5" x14ac:dyDescent="0.25">
      <c r="B4" s="489">
        <f>'обзор 2016'!E4</f>
        <v>2073626.5</v>
      </c>
      <c r="C4" s="490">
        <f>'обзор 2017'!E4</f>
        <v>980251.4</v>
      </c>
      <c r="D4" s="489">
        <f>'обзор 2018'!E4</f>
        <v>2828469</v>
      </c>
      <c r="E4" s="489">
        <f>'обзор 2019'!E4</f>
        <v>2075328.1199999996</v>
      </c>
    </row>
    <row r="5" spans="2:5" x14ac:dyDescent="0.25">
      <c r="B5" s="489">
        <f>'обзор 2016'!E5</f>
        <v>3106802.4000000004</v>
      </c>
      <c r="C5" s="489">
        <f>'обзор 2017'!E5</f>
        <v>2540508.7999999998</v>
      </c>
      <c r="D5" s="489">
        <f>'обзор 2018'!E5</f>
        <v>2756429.1999999997</v>
      </c>
      <c r="E5" s="489">
        <f>'обзор 2019'!E5</f>
        <v>2257906.75</v>
      </c>
    </row>
    <row r="6" spans="2:5" x14ac:dyDescent="0.25">
      <c r="B6" s="489">
        <f>'обзор 2016'!E6</f>
        <v>1726754.5</v>
      </c>
      <c r="C6" s="489">
        <f>'обзор 2017'!E6</f>
        <v>1638353.25</v>
      </c>
      <c r="D6" s="489">
        <f>'обзор 2018'!E6</f>
        <v>3229724.4850399997</v>
      </c>
      <c r="E6" s="489">
        <f>'обзор 2019'!E6</f>
        <v>2684708.5899999994</v>
      </c>
    </row>
    <row r="7" spans="2:5" x14ac:dyDescent="0.25">
      <c r="B7" s="489">
        <f>'обзор 2016'!E7</f>
        <v>1459454</v>
      </c>
      <c r="C7" s="489">
        <f>'обзор 2017'!E7</f>
        <v>2212646.4500000002</v>
      </c>
      <c r="D7" s="489">
        <f>'обзор 2018'!E7</f>
        <v>2447623.09552</v>
      </c>
      <c r="E7" s="489">
        <f>'обзор 2019'!E7</f>
        <v>2551197.6800000002</v>
      </c>
    </row>
    <row r="8" spans="2:5" x14ac:dyDescent="0.25">
      <c r="B8" s="489">
        <f>'обзор 2016'!E8</f>
        <v>2341350.1800000002</v>
      </c>
      <c r="C8" s="489">
        <f>'обзор 2017'!E8</f>
        <v>1804965.7</v>
      </c>
      <c r="D8" s="489">
        <f>'обзор 2018'!E8</f>
        <v>2889005.5</v>
      </c>
      <c r="E8" s="489">
        <f>'обзор 2019'!E8</f>
        <v>2364301.25</v>
      </c>
    </row>
    <row r="9" spans="2:5" x14ac:dyDescent="0.25">
      <c r="B9" s="489">
        <f>'обзор 2016'!E9</f>
        <v>2494416.25</v>
      </c>
      <c r="C9" s="489">
        <f>'обзор 2017'!E9</f>
        <v>1697943.1</v>
      </c>
      <c r="D9" s="489">
        <f>'обзор 2018'!E9</f>
        <v>3006067</v>
      </c>
      <c r="E9" s="489">
        <f>'обзор 2019'!E9</f>
        <v>777382</v>
      </c>
    </row>
    <row r="10" spans="2:5" x14ac:dyDescent="0.25">
      <c r="B10" s="489">
        <f>'обзор 2016'!E10</f>
        <v>2366265.1</v>
      </c>
      <c r="C10" s="489">
        <f>'обзор 2017'!E10</f>
        <v>1995322.5</v>
      </c>
      <c r="D10" s="489">
        <f>'обзор 2018'!E10</f>
        <v>3903746.5100000002</v>
      </c>
      <c r="E10" s="489">
        <f>'обзор 2019'!E10</f>
        <v>0</v>
      </c>
    </row>
    <row r="11" spans="2:5" x14ac:dyDescent="0.25">
      <c r="B11" s="489">
        <f>'обзор 2016'!E11</f>
        <v>2314954.6</v>
      </c>
      <c r="C11" s="489">
        <f>'обзор 2017'!E11</f>
        <v>3051944.5</v>
      </c>
      <c r="D11" s="489">
        <f>'обзор 2018'!E11</f>
        <v>3690745.05</v>
      </c>
      <c r="E11" s="489">
        <f>'обзор 2019'!E11</f>
        <v>0</v>
      </c>
    </row>
    <row r="12" spans="2:5" x14ac:dyDescent="0.25">
      <c r="B12" s="489">
        <f>'обзор 2016'!E12</f>
        <v>2542865</v>
      </c>
      <c r="C12" s="489">
        <f>'обзор 2017'!E12</f>
        <v>2621516.6399999997</v>
      </c>
      <c r="D12" s="489">
        <f>'обзор 2018'!E12</f>
        <v>2464102.48</v>
      </c>
      <c r="E12" s="489">
        <f>'обзор 2019'!E12</f>
        <v>0</v>
      </c>
    </row>
    <row r="13" spans="2:5" x14ac:dyDescent="0.25">
      <c r="B13" s="489">
        <f>'обзор 2016'!E13</f>
        <v>2975330.8000000003</v>
      </c>
      <c r="C13" s="489">
        <f>'обзор 2017'!E13</f>
        <v>3157639.35</v>
      </c>
      <c r="D13" s="489">
        <f>'обзор 2018'!E13</f>
        <v>3746420.2100000004</v>
      </c>
      <c r="E13" s="489">
        <f>'обзор 2019'!E13</f>
        <v>0</v>
      </c>
    </row>
    <row r="14" spans="2:5" x14ac:dyDescent="0.25">
      <c r="B14" s="489">
        <f>'обзор 2016'!E14</f>
        <v>2921823.05</v>
      </c>
      <c r="C14" s="489">
        <f>'обзор 2017'!E14</f>
        <v>4037531.43</v>
      </c>
      <c r="D14" s="489">
        <f>'обзор 2018'!E14</f>
        <v>3043527.34</v>
      </c>
      <c r="E14" s="489">
        <f>'обзор 2019'!E14</f>
        <v>0</v>
      </c>
    </row>
    <row r="15" spans="2:5" x14ac:dyDescent="0.25">
      <c r="B15" s="489">
        <f>'обзор 2016'!E15</f>
        <v>2481097.9</v>
      </c>
      <c r="C15" s="489">
        <f>'обзор 2017'!E15</f>
        <v>3035983.65</v>
      </c>
      <c r="D15" s="489">
        <f>'обзор 2018'!E15</f>
        <v>1751337.97</v>
      </c>
      <c r="E15" s="489">
        <f>'обзор 2019'!E15</f>
        <v>0</v>
      </c>
    </row>
  </sheetData>
  <customSheetViews>
    <customSheetView guid="{06317133-151B-4DBC-8EB3-9345BA061F91}">
      <selection activeCell="A4" sqref="A4:XFD4"/>
      <pageMargins left="0.7" right="0.7" top="0.75" bottom="0.75" header="0.3" footer="0.3"/>
    </customSheetView>
    <customSheetView guid="{375BA386-B398-4A0E-AF86-4319F1FDDF11}">
      <selection activeCell="A4" sqref="A4:XFD4"/>
      <pageMargins left="0.7" right="0.7" top="0.75" bottom="0.75" header="0.3" footer="0.3"/>
    </customSheetView>
    <customSheetView guid="{45C31AC1-6FB2-488C-94EA-BCF9E79D0043}">
      <selection activeCell="A4" sqref="A4:XFD4"/>
      <pageMargins left="0.7" right="0.7" top="0.75" bottom="0.75" header="0.3" footer="0.3"/>
    </customSheetView>
    <customSheetView guid="{845EA106-2CB5-4F86-BBCF-D0DE18153B1C}">
      <selection activeCell="A4" sqref="A4:XFD4"/>
      <pageMargins left="0.7" right="0.7" top="0.75" bottom="0.75" header="0.3" footer="0.3"/>
    </customSheetView>
    <customSheetView guid="{C29DA669-F4F9-44CD-9569-E796ADF74A86}">
      <selection activeCell="A4" sqref="A4:XFD4"/>
      <pageMargins left="0.7" right="0.7" top="0.75" bottom="0.75" header="0.3" footer="0.3"/>
    </customSheetView>
    <customSheetView guid="{A1BD6C0C-B1B9-4F48-A6B1-3BFD273F4CD7}">
      <selection activeCell="A4" sqref="A4:XFD4"/>
      <pageMargins left="0.7" right="0.7" top="0.75" bottom="0.75" header="0.3" footer="0.3"/>
    </customSheetView>
    <customSheetView guid="{D42288F7-1871-4EF6-BC87-1B9EF747C744}">
      <selection activeCell="A4" sqref="A4:XFD4"/>
      <pageMargins left="0.7" right="0.7" top="0.75" bottom="0.75" header="0.3" footer="0.3"/>
    </customSheetView>
    <customSheetView guid="{8C638750-2D78-446E-B8DA-A6202AF1ED31}">
      <selection activeCell="A4" sqref="A4:XFD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072"/>
  <sheetViews>
    <sheetView zoomScale="60" zoomScaleNormal="70" zoomScaleSheetLayoutView="90" workbookViewId="0">
      <pane ySplit="6" topLeftCell="A7" activePane="bottomLeft" state="frozen"/>
      <selection pane="bottomLeft" activeCell="F27" sqref="F27"/>
    </sheetView>
  </sheetViews>
  <sheetFormatPr defaultColWidth="9.140625" defaultRowHeight="15" x14ac:dyDescent="0.25"/>
  <cols>
    <col min="1" max="1" width="8.7109375" style="9" customWidth="1"/>
    <col min="2" max="2" width="80.7109375" style="9" customWidth="1"/>
    <col min="3" max="3" width="13" style="9" customWidth="1"/>
    <col min="4" max="4" width="17" style="9" customWidth="1"/>
    <col min="5" max="5" width="24.85546875" style="9" customWidth="1"/>
    <col min="6" max="6" width="12.28515625" style="9" customWidth="1"/>
    <col min="7" max="10" width="10.7109375" style="9" customWidth="1"/>
    <col min="11" max="11" width="11.7109375" style="9" customWidth="1"/>
    <col min="12" max="12" width="25.140625" style="9" customWidth="1"/>
    <col min="13" max="13" width="12.28515625" style="4" customWidth="1"/>
    <col min="14" max="14" width="11.28515625" style="4" customWidth="1"/>
    <col min="15" max="16" width="9.140625" style="5" customWidth="1"/>
    <col min="17" max="16384" width="9.140625" style="4"/>
  </cols>
  <sheetData>
    <row r="1" spans="1:16" ht="15" customHeight="1" x14ac:dyDescent="0.25">
      <c r="A1" s="577" t="s">
        <v>0</v>
      </c>
      <c r="B1" s="577"/>
      <c r="H1" s="1"/>
      <c r="I1" s="578" t="s">
        <v>1</v>
      </c>
      <c r="J1" s="578"/>
      <c r="K1" s="578"/>
    </row>
    <row r="2" spans="1:16" ht="15" customHeight="1" x14ac:dyDescent="0.25">
      <c r="A2" s="577" t="s">
        <v>2</v>
      </c>
      <c r="B2" s="577"/>
      <c r="H2" s="22"/>
      <c r="I2" s="579" t="s">
        <v>3</v>
      </c>
      <c r="J2" s="579"/>
      <c r="K2" s="579"/>
    </row>
    <row r="3" spans="1:16" ht="23.25" x14ac:dyDescent="0.35">
      <c r="A3" s="577" t="s">
        <v>4</v>
      </c>
      <c r="B3" s="577"/>
      <c r="C3" s="580" t="s">
        <v>157</v>
      </c>
      <c r="D3" s="580"/>
      <c r="E3" s="580"/>
      <c r="F3" s="99" t="s">
        <v>158</v>
      </c>
      <c r="H3" s="22"/>
      <c r="I3" s="579" t="s">
        <v>127</v>
      </c>
      <c r="J3" s="579"/>
      <c r="K3" s="579"/>
    </row>
    <row r="4" spans="1:16" ht="9" customHeight="1" thickBot="1" x14ac:dyDescent="0.3"/>
    <row r="5" spans="1:16" s="6" customFormat="1" ht="23.25" customHeight="1" thickBot="1" x14ac:dyDescent="0.25">
      <c r="A5" s="571" t="s">
        <v>5</v>
      </c>
      <c r="B5" s="571" t="s">
        <v>6</v>
      </c>
      <c r="C5" s="569" t="s">
        <v>7</v>
      </c>
      <c r="D5" s="571" t="s">
        <v>8</v>
      </c>
      <c r="E5" s="571" t="s">
        <v>9</v>
      </c>
      <c r="F5" s="569" t="s">
        <v>34</v>
      </c>
      <c r="G5" s="568" t="s">
        <v>11</v>
      </c>
      <c r="H5" s="568"/>
      <c r="I5" s="568"/>
      <c r="J5" s="568"/>
      <c r="K5" s="569" t="s">
        <v>10</v>
      </c>
      <c r="L5" s="571" t="s">
        <v>12</v>
      </c>
      <c r="M5" s="571" t="s">
        <v>30</v>
      </c>
      <c r="N5" s="573" t="s">
        <v>13</v>
      </c>
    </row>
    <row r="6" spans="1:16" s="6" customFormat="1" ht="32.25" customHeight="1" thickBot="1" x14ac:dyDescent="0.25">
      <c r="A6" s="572"/>
      <c r="B6" s="572"/>
      <c r="C6" s="570"/>
      <c r="D6" s="572"/>
      <c r="E6" s="572"/>
      <c r="F6" s="570"/>
      <c r="G6" s="2" t="s">
        <v>14</v>
      </c>
      <c r="H6" s="2" t="s">
        <v>15</v>
      </c>
      <c r="I6" s="2" t="s">
        <v>16</v>
      </c>
      <c r="J6" s="2" t="s">
        <v>17</v>
      </c>
      <c r="K6" s="570"/>
      <c r="L6" s="572"/>
      <c r="M6" s="572"/>
      <c r="N6" s="573"/>
    </row>
    <row r="7" spans="1:16" s="6" customFormat="1" ht="30" customHeight="1" x14ac:dyDescent="0.3">
      <c r="A7" s="259">
        <v>4316</v>
      </c>
      <c r="B7" s="249" t="s">
        <v>22</v>
      </c>
      <c r="C7" s="102">
        <v>3000</v>
      </c>
      <c r="D7" s="91">
        <v>200.54</v>
      </c>
      <c r="E7" s="55">
        <f>D7*C7</f>
        <v>601620</v>
      </c>
      <c r="F7" s="41">
        <v>3600</v>
      </c>
      <c r="G7" s="40">
        <f>300+300</f>
        <v>600</v>
      </c>
      <c r="H7" s="41">
        <f>300+300+300+300</f>
        <v>1200</v>
      </c>
      <c r="I7" s="41">
        <f>300+300+300+300+300</f>
        <v>1500</v>
      </c>
      <c r="J7" s="58">
        <v>300</v>
      </c>
      <c r="K7" s="385">
        <f>G7+H7+I7+J7</f>
        <v>3600</v>
      </c>
      <c r="L7" s="57">
        <f>D7*K7</f>
        <v>721944</v>
      </c>
      <c r="M7" s="64">
        <f>F7-K7</f>
        <v>0</v>
      </c>
      <c r="N7" s="242">
        <f>K7/C7</f>
        <v>1.2</v>
      </c>
      <c r="O7" s="32"/>
    </row>
    <row r="8" spans="1:16" s="6" customFormat="1" ht="5.0999999999999996" customHeight="1" x14ac:dyDescent="0.2">
      <c r="A8" s="68"/>
      <c r="B8" s="44"/>
      <c r="C8" s="102"/>
      <c r="D8" s="92"/>
      <c r="E8" s="34"/>
      <c r="F8" s="41"/>
      <c r="G8" s="40"/>
      <c r="H8" s="41"/>
      <c r="I8" s="41"/>
      <c r="J8" s="58"/>
      <c r="K8" s="62"/>
      <c r="L8" s="60"/>
      <c r="M8" s="3"/>
      <c r="N8" s="243"/>
    </row>
    <row r="9" spans="1:16" s="6" customFormat="1" ht="20.100000000000001" customHeight="1" x14ac:dyDescent="0.2">
      <c r="A9" s="68"/>
      <c r="B9" s="35" t="s">
        <v>23</v>
      </c>
      <c r="C9" s="102"/>
      <c r="D9" s="91"/>
      <c r="E9" s="34"/>
      <c r="F9" s="41"/>
      <c r="G9" s="40"/>
      <c r="H9" s="41"/>
      <c r="I9" s="41"/>
      <c r="J9" s="58"/>
      <c r="K9" s="62"/>
      <c r="L9" s="61"/>
      <c r="M9" s="64"/>
      <c r="N9" s="243"/>
      <c r="P9" s="30"/>
    </row>
    <row r="10" spans="1:16" s="6" customFormat="1" ht="5.0999999999999996" customHeight="1" x14ac:dyDescent="0.2">
      <c r="A10" s="68"/>
      <c r="B10" s="35"/>
      <c r="C10" s="102"/>
      <c r="D10" s="91"/>
      <c r="E10" s="56"/>
      <c r="F10" s="41"/>
      <c r="G10" s="40"/>
      <c r="H10" s="41"/>
      <c r="I10" s="41"/>
      <c r="J10" s="58"/>
      <c r="K10" s="62"/>
      <c r="L10" s="60"/>
      <c r="M10" s="3"/>
      <c r="N10" s="243"/>
      <c r="P10" s="30"/>
    </row>
    <row r="11" spans="1:16" s="6" customFormat="1" ht="20.100000000000001" customHeight="1" x14ac:dyDescent="0.2">
      <c r="A11" s="68">
        <v>4317</v>
      </c>
      <c r="B11" s="35" t="s">
        <v>86</v>
      </c>
      <c r="C11" s="102">
        <v>200</v>
      </c>
      <c r="D11" s="91">
        <v>105.58</v>
      </c>
      <c r="E11" s="56">
        <f t="shared" ref="E11:E20" si="0">D11*C11</f>
        <v>21116</v>
      </c>
      <c r="F11" s="41">
        <v>242</v>
      </c>
      <c r="G11" s="40">
        <v>40</v>
      </c>
      <c r="H11" s="41"/>
      <c r="I11" s="41"/>
      <c r="J11" s="58">
        <v>202</v>
      </c>
      <c r="K11" s="385">
        <f t="shared" ref="K11:K20" si="1">G11+H11+I11+J11</f>
        <v>242</v>
      </c>
      <c r="L11" s="57">
        <f t="shared" ref="L11:L20" si="2">D11*K11</f>
        <v>25550.36</v>
      </c>
      <c r="M11" s="64">
        <f t="shared" ref="M11:M20" si="3">F11-K11</f>
        <v>0</v>
      </c>
      <c r="N11" s="243">
        <f t="shared" ref="N11:N20" si="4">K11/C11</f>
        <v>1.21</v>
      </c>
    </row>
    <row r="12" spans="1:16" s="6" customFormat="1" ht="19.5" customHeight="1" x14ac:dyDescent="0.2">
      <c r="A12" s="68">
        <v>4318</v>
      </c>
      <c r="B12" s="35" t="s">
        <v>40</v>
      </c>
      <c r="C12" s="102">
        <v>200</v>
      </c>
      <c r="D12" s="91">
        <v>79.31</v>
      </c>
      <c r="E12" s="56">
        <f t="shared" si="0"/>
        <v>15862</v>
      </c>
      <c r="F12" s="41">
        <v>242</v>
      </c>
      <c r="G12" s="40">
        <v>40</v>
      </c>
      <c r="H12" s="41"/>
      <c r="I12" s="41"/>
      <c r="J12" s="58">
        <v>202</v>
      </c>
      <c r="K12" s="385">
        <f t="shared" si="1"/>
        <v>242</v>
      </c>
      <c r="L12" s="57">
        <f t="shared" si="2"/>
        <v>19193.02</v>
      </c>
      <c r="M12" s="64">
        <f t="shared" si="3"/>
        <v>0</v>
      </c>
      <c r="N12" s="243">
        <f t="shared" si="4"/>
        <v>1.21</v>
      </c>
    </row>
    <row r="13" spans="1:16" s="6" customFormat="1" ht="19.5" customHeight="1" x14ac:dyDescent="0.2">
      <c r="A13" s="68">
        <v>4319</v>
      </c>
      <c r="B13" s="35" t="s">
        <v>41</v>
      </c>
      <c r="C13" s="102">
        <v>200</v>
      </c>
      <c r="D13" s="91">
        <v>83.64</v>
      </c>
      <c r="E13" s="56">
        <f t="shared" si="0"/>
        <v>16728</v>
      </c>
      <c r="F13" s="41">
        <v>242</v>
      </c>
      <c r="G13" s="40">
        <v>40</v>
      </c>
      <c r="H13" s="268"/>
      <c r="I13" s="41"/>
      <c r="J13" s="58">
        <v>202</v>
      </c>
      <c r="K13" s="385">
        <f t="shared" si="1"/>
        <v>242</v>
      </c>
      <c r="L13" s="57">
        <f t="shared" si="2"/>
        <v>20240.88</v>
      </c>
      <c r="M13" s="64">
        <f t="shared" si="3"/>
        <v>0</v>
      </c>
      <c r="N13" s="243">
        <f t="shared" si="4"/>
        <v>1.21</v>
      </c>
    </row>
    <row r="14" spans="1:16" s="6" customFormat="1" ht="19.5" customHeight="1" x14ac:dyDescent="0.2">
      <c r="A14" s="68">
        <v>4320</v>
      </c>
      <c r="B14" s="47" t="s">
        <v>85</v>
      </c>
      <c r="C14" s="102">
        <v>200</v>
      </c>
      <c r="D14" s="91">
        <v>70.56</v>
      </c>
      <c r="E14" s="56">
        <f t="shared" si="0"/>
        <v>14112</v>
      </c>
      <c r="F14" s="41">
        <v>242</v>
      </c>
      <c r="G14" s="40">
        <v>40</v>
      </c>
      <c r="H14" s="41"/>
      <c r="I14" s="41"/>
      <c r="J14" s="58">
        <v>202</v>
      </c>
      <c r="K14" s="385">
        <f t="shared" si="1"/>
        <v>242</v>
      </c>
      <c r="L14" s="57">
        <f t="shared" si="2"/>
        <v>17075.52</v>
      </c>
      <c r="M14" s="64">
        <f t="shared" si="3"/>
        <v>0</v>
      </c>
      <c r="N14" s="243">
        <f t="shared" si="4"/>
        <v>1.21</v>
      </c>
    </row>
    <row r="15" spans="1:16" s="6" customFormat="1" ht="19.5" customHeight="1" x14ac:dyDescent="0.25">
      <c r="A15" s="68">
        <v>4321</v>
      </c>
      <c r="B15" s="47" t="s">
        <v>84</v>
      </c>
      <c r="C15" s="102">
        <v>200</v>
      </c>
      <c r="D15" s="91">
        <v>349</v>
      </c>
      <c r="E15" s="56">
        <f t="shared" si="0"/>
        <v>69800</v>
      </c>
      <c r="F15" s="41">
        <v>200</v>
      </c>
      <c r="G15" s="40"/>
      <c r="H15" s="41"/>
      <c r="I15" s="41"/>
      <c r="J15" s="58">
        <v>200</v>
      </c>
      <c r="K15" s="386">
        <f t="shared" si="1"/>
        <v>200</v>
      </c>
      <c r="L15" s="57">
        <f t="shared" si="2"/>
        <v>69800</v>
      </c>
      <c r="M15" s="64">
        <f t="shared" si="3"/>
        <v>0</v>
      </c>
      <c r="N15" s="243">
        <f t="shared" si="4"/>
        <v>1</v>
      </c>
      <c r="O15" s="5"/>
    </row>
    <row r="16" spans="1:16" s="6" customFormat="1" ht="19.5" customHeight="1" x14ac:dyDescent="0.2">
      <c r="A16" s="68">
        <v>4322</v>
      </c>
      <c r="B16" s="36" t="s">
        <v>83</v>
      </c>
      <c r="C16" s="102">
        <v>200</v>
      </c>
      <c r="D16" s="91">
        <v>104.03</v>
      </c>
      <c r="E16" s="56">
        <f t="shared" si="0"/>
        <v>20806</v>
      </c>
      <c r="F16" s="41">
        <v>200</v>
      </c>
      <c r="G16" s="40"/>
      <c r="H16" s="41"/>
      <c r="I16" s="41"/>
      <c r="J16" s="58">
        <v>200</v>
      </c>
      <c r="K16" s="386">
        <f t="shared" si="1"/>
        <v>200</v>
      </c>
      <c r="L16" s="57">
        <f t="shared" si="2"/>
        <v>20806</v>
      </c>
      <c r="M16" s="64">
        <f t="shared" si="3"/>
        <v>0</v>
      </c>
      <c r="N16" s="243">
        <f t="shared" si="4"/>
        <v>1</v>
      </c>
    </row>
    <row r="17" spans="1:16" s="6" customFormat="1" ht="19.5" customHeight="1" x14ac:dyDescent="0.2">
      <c r="A17" s="68">
        <v>4323</v>
      </c>
      <c r="B17" s="35" t="s">
        <v>42</v>
      </c>
      <c r="C17" s="102">
        <v>200</v>
      </c>
      <c r="D17" s="91">
        <v>26.78</v>
      </c>
      <c r="E17" s="56">
        <f t="shared" si="0"/>
        <v>5356</v>
      </c>
      <c r="F17" s="41">
        <v>200</v>
      </c>
      <c r="G17" s="40"/>
      <c r="H17" s="41"/>
      <c r="I17" s="41"/>
      <c r="J17" s="58">
        <v>200</v>
      </c>
      <c r="K17" s="386">
        <f t="shared" si="1"/>
        <v>200</v>
      </c>
      <c r="L17" s="57">
        <f t="shared" si="2"/>
        <v>5356</v>
      </c>
      <c r="M17" s="64">
        <f t="shared" si="3"/>
        <v>0</v>
      </c>
      <c r="N17" s="243">
        <f t="shared" si="4"/>
        <v>1</v>
      </c>
      <c r="P17" s="30"/>
    </row>
    <row r="18" spans="1:16" s="6" customFormat="1" ht="19.5" customHeight="1" x14ac:dyDescent="0.2">
      <c r="A18" s="68">
        <v>4325</v>
      </c>
      <c r="B18" s="35" t="s">
        <v>138</v>
      </c>
      <c r="C18" s="102">
        <v>200</v>
      </c>
      <c r="D18" s="91">
        <v>2.37</v>
      </c>
      <c r="E18" s="56">
        <f t="shared" si="0"/>
        <v>474</v>
      </c>
      <c r="F18" s="41">
        <v>200</v>
      </c>
      <c r="G18" s="40"/>
      <c r="H18" s="41"/>
      <c r="I18" s="41"/>
      <c r="J18" s="58">
        <v>200</v>
      </c>
      <c r="K18" s="386">
        <f t="shared" si="1"/>
        <v>200</v>
      </c>
      <c r="L18" s="57">
        <f t="shared" si="2"/>
        <v>474</v>
      </c>
      <c r="M18" s="64">
        <f t="shared" si="3"/>
        <v>0</v>
      </c>
      <c r="N18" s="243">
        <f t="shared" si="4"/>
        <v>1</v>
      </c>
    </row>
    <row r="19" spans="1:16" s="6" customFormat="1" ht="19.5" customHeight="1" x14ac:dyDescent="0.2">
      <c r="A19" s="68">
        <v>4326</v>
      </c>
      <c r="B19" s="35" t="s">
        <v>139</v>
      </c>
      <c r="C19" s="102">
        <v>200</v>
      </c>
      <c r="D19" s="91">
        <v>5.25</v>
      </c>
      <c r="E19" s="56">
        <f t="shared" si="0"/>
        <v>1050</v>
      </c>
      <c r="F19" s="41">
        <v>200</v>
      </c>
      <c r="G19" s="40"/>
      <c r="H19" s="41"/>
      <c r="I19" s="41"/>
      <c r="J19" s="58">
        <v>200</v>
      </c>
      <c r="K19" s="386">
        <f t="shared" si="1"/>
        <v>200</v>
      </c>
      <c r="L19" s="57">
        <f t="shared" si="2"/>
        <v>1050</v>
      </c>
      <c r="M19" s="64">
        <f t="shared" si="3"/>
        <v>0</v>
      </c>
      <c r="N19" s="243">
        <f t="shared" si="4"/>
        <v>1</v>
      </c>
    </row>
    <row r="20" spans="1:16" s="6" customFormat="1" ht="19.5" customHeight="1" x14ac:dyDescent="0.2">
      <c r="A20" s="68">
        <v>4327</v>
      </c>
      <c r="B20" s="35" t="s">
        <v>43</v>
      </c>
      <c r="C20" s="102">
        <v>200</v>
      </c>
      <c r="D20" s="91">
        <v>5.25</v>
      </c>
      <c r="E20" s="56">
        <f t="shared" si="0"/>
        <v>1050</v>
      </c>
      <c r="F20" s="41">
        <v>200</v>
      </c>
      <c r="G20" s="40"/>
      <c r="H20" s="41"/>
      <c r="I20" s="41"/>
      <c r="J20" s="58">
        <v>200</v>
      </c>
      <c r="K20" s="386">
        <f t="shared" si="1"/>
        <v>200</v>
      </c>
      <c r="L20" s="57">
        <f t="shared" si="2"/>
        <v>1050</v>
      </c>
      <c r="M20" s="64">
        <f t="shared" si="3"/>
        <v>0</v>
      </c>
      <c r="N20" s="243">
        <f t="shared" si="4"/>
        <v>1</v>
      </c>
    </row>
    <row r="21" spans="1:16" s="6" customFormat="1" ht="5.0999999999999996" customHeight="1" x14ac:dyDescent="0.2">
      <c r="A21" s="69"/>
      <c r="B21" s="48"/>
      <c r="C21" s="102"/>
      <c r="D21" s="91"/>
      <c r="E21" s="34"/>
      <c r="F21" s="41"/>
      <c r="G21" s="40"/>
      <c r="H21" s="41"/>
      <c r="I21" s="41"/>
      <c r="J21" s="58"/>
      <c r="K21" s="62"/>
      <c r="L21" s="60"/>
      <c r="M21" s="3"/>
      <c r="N21" s="243"/>
    </row>
    <row r="22" spans="1:16" s="6" customFormat="1" ht="19.5" customHeight="1" x14ac:dyDescent="0.2">
      <c r="A22" s="68">
        <v>4352</v>
      </c>
      <c r="B22" s="47" t="s">
        <v>44</v>
      </c>
      <c r="C22" s="33">
        <f>28+80+36+260</f>
        <v>404</v>
      </c>
      <c r="D22" s="91">
        <v>374.41</v>
      </c>
      <c r="E22" s="56">
        <f t="shared" ref="E22:E29" si="5">D22*C22</f>
        <v>151261.64000000001</v>
      </c>
      <c r="F22" s="41">
        <v>120</v>
      </c>
      <c r="G22" s="40"/>
      <c r="H22" s="41">
        <f>28+92</f>
        <v>120</v>
      </c>
      <c r="I22" s="41"/>
      <c r="J22" s="58"/>
      <c r="K22" s="62">
        <f t="shared" ref="K22:K28" si="6">G22+H22+I22+J22</f>
        <v>120</v>
      </c>
      <c r="L22" s="57">
        <f t="shared" ref="L22:L29" si="7">D22*K22</f>
        <v>44929.200000000004</v>
      </c>
      <c r="M22" s="64">
        <f t="shared" ref="M22:M29" si="8">F22-K22</f>
        <v>0</v>
      </c>
      <c r="N22" s="243">
        <f t="shared" ref="N22:N29" si="9">K22/C22</f>
        <v>0.29702970297029702</v>
      </c>
    </row>
    <row r="23" spans="1:16" s="6" customFormat="1" ht="19.5" customHeight="1" x14ac:dyDescent="0.2">
      <c r="A23" s="68">
        <v>4351</v>
      </c>
      <c r="B23" s="35" t="s">
        <v>45</v>
      </c>
      <c r="C23" s="33">
        <f>80+16+170</f>
        <v>266</v>
      </c>
      <c r="D23" s="91">
        <v>343.51</v>
      </c>
      <c r="E23" s="56">
        <f t="shared" si="5"/>
        <v>91373.66</v>
      </c>
      <c r="F23" s="41">
        <v>267</v>
      </c>
      <c r="G23" s="40"/>
      <c r="H23" s="41">
        <v>66</v>
      </c>
      <c r="I23" s="41"/>
      <c r="J23" s="58">
        <v>201</v>
      </c>
      <c r="K23" s="386">
        <f t="shared" si="6"/>
        <v>267</v>
      </c>
      <c r="L23" s="57">
        <f t="shared" si="7"/>
        <v>91717.17</v>
      </c>
      <c r="M23" s="64">
        <f t="shared" si="8"/>
        <v>0</v>
      </c>
      <c r="N23" s="243">
        <f t="shared" si="9"/>
        <v>1.0037593984962405</v>
      </c>
    </row>
    <row r="24" spans="1:16" s="6" customFormat="1" ht="19.5" customHeight="1" x14ac:dyDescent="0.2">
      <c r="A24" s="68">
        <v>4355</v>
      </c>
      <c r="B24" s="36" t="s">
        <v>46</v>
      </c>
      <c r="C24" s="33"/>
      <c r="D24" s="91">
        <v>28.33</v>
      </c>
      <c r="E24" s="56">
        <f t="shared" si="5"/>
        <v>0</v>
      </c>
      <c r="F24" s="41">
        <v>34</v>
      </c>
      <c r="G24" s="40"/>
      <c r="H24" s="41"/>
      <c r="I24" s="41"/>
      <c r="J24" s="58">
        <v>34</v>
      </c>
      <c r="K24" s="62">
        <f t="shared" si="6"/>
        <v>34</v>
      </c>
      <c r="L24" s="57">
        <f t="shared" si="7"/>
        <v>963.21999999999991</v>
      </c>
      <c r="M24" s="64">
        <f t="shared" si="8"/>
        <v>0</v>
      </c>
      <c r="N24" s="243" t="e">
        <f t="shared" si="9"/>
        <v>#DIV/0!</v>
      </c>
    </row>
    <row r="25" spans="1:16" s="6" customFormat="1" ht="19.5" customHeight="1" x14ac:dyDescent="0.2">
      <c r="A25" s="68">
        <v>4353</v>
      </c>
      <c r="B25" s="47" t="s">
        <v>47</v>
      </c>
      <c r="C25" s="33">
        <f>28+16</f>
        <v>44</v>
      </c>
      <c r="D25" s="91">
        <v>28.33</v>
      </c>
      <c r="E25" s="56">
        <f t="shared" si="5"/>
        <v>1246.52</v>
      </c>
      <c r="F25" s="41">
        <v>84</v>
      </c>
      <c r="G25" s="40"/>
      <c r="H25" s="41">
        <v>28</v>
      </c>
      <c r="I25" s="41"/>
      <c r="J25" s="58">
        <v>56</v>
      </c>
      <c r="K25" s="385">
        <f t="shared" si="6"/>
        <v>84</v>
      </c>
      <c r="L25" s="57">
        <f t="shared" si="7"/>
        <v>2379.7199999999998</v>
      </c>
      <c r="M25" s="64">
        <f t="shared" si="8"/>
        <v>0</v>
      </c>
      <c r="N25" s="243">
        <f t="shared" si="9"/>
        <v>1.9090909090909092</v>
      </c>
    </row>
    <row r="26" spans="1:16" s="6" customFormat="1" ht="19.5" customHeight="1" x14ac:dyDescent="0.2">
      <c r="A26" s="68">
        <v>4354</v>
      </c>
      <c r="B26" s="35" t="s">
        <v>48</v>
      </c>
      <c r="C26" s="33">
        <f>28+80+80+16+36+170+260</f>
        <v>670</v>
      </c>
      <c r="D26" s="91">
        <v>24.21</v>
      </c>
      <c r="E26" s="56">
        <f t="shared" si="5"/>
        <v>16220.7</v>
      </c>
      <c r="F26" s="41">
        <v>417</v>
      </c>
      <c r="G26" s="40">
        <v>30</v>
      </c>
      <c r="H26" s="41">
        <f>94+92</f>
        <v>186</v>
      </c>
      <c r="I26" s="41"/>
      <c r="J26" s="58">
        <v>201</v>
      </c>
      <c r="K26" s="62">
        <f t="shared" si="6"/>
        <v>417</v>
      </c>
      <c r="L26" s="57">
        <f t="shared" si="7"/>
        <v>10095.57</v>
      </c>
      <c r="M26" s="64">
        <f t="shared" si="8"/>
        <v>0</v>
      </c>
      <c r="N26" s="243">
        <f t="shared" si="9"/>
        <v>0.62238805970149258</v>
      </c>
    </row>
    <row r="27" spans="1:16" s="6" customFormat="1" ht="19.5" customHeight="1" x14ac:dyDescent="0.2">
      <c r="A27" s="68">
        <v>4356</v>
      </c>
      <c r="B27" s="45" t="s">
        <v>49</v>
      </c>
      <c r="C27" s="33"/>
      <c r="D27" s="91">
        <v>48.93</v>
      </c>
      <c r="E27" s="56">
        <f t="shared" si="5"/>
        <v>0</v>
      </c>
      <c r="F27" s="41">
        <v>77</v>
      </c>
      <c r="G27" s="40"/>
      <c r="H27" s="41"/>
      <c r="I27" s="41"/>
      <c r="J27" s="58">
        <v>77</v>
      </c>
      <c r="K27" s="62">
        <f t="shared" si="6"/>
        <v>77</v>
      </c>
      <c r="L27" s="57">
        <f t="shared" si="7"/>
        <v>3767.61</v>
      </c>
      <c r="M27" s="64">
        <f t="shared" si="8"/>
        <v>0</v>
      </c>
      <c r="N27" s="243" t="e">
        <f t="shared" si="9"/>
        <v>#DIV/0!</v>
      </c>
    </row>
    <row r="28" spans="1:16" s="6" customFormat="1" ht="19.5" customHeight="1" x14ac:dyDescent="0.2">
      <c r="A28" s="68">
        <v>4357</v>
      </c>
      <c r="B28" s="35" t="s">
        <v>82</v>
      </c>
      <c r="C28" s="33"/>
      <c r="D28" s="91">
        <v>29.87</v>
      </c>
      <c r="E28" s="56">
        <f t="shared" si="5"/>
        <v>0</v>
      </c>
      <c r="F28" s="41"/>
      <c r="G28" s="40"/>
      <c r="H28" s="41"/>
      <c r="I28" s="41"/>
      <c r="J28" s="58"/>
      <c r="K28" s="62">
        <f t="shared" si="6"/>
        <v>0</v>
      </c>
      <c r="L28" s="57">
        <f t="shared" si="7"/>
        <v>0</v>
      </c>
      <c r="M28" s="64">
        <f t="shared" si="8"/>
        <v>0</v>
      </c>
      <c r="N28" s="243" t="e">
        <f t="shared" si="9"/>
        <v>#DIV/0!</v>
      </c>
    </row>
    <row r="29" spans="1:16" s="6" customFormat="1" ht="19.5" customHeight="1" x14ac:dyDescent="0.2">
      <c r="A29" s="68">
        <v>4349</v>
      </c>
      <c r="B29" s="36" t="s">
        <v>50</v>
      </c>
      <c r="C29" s="33">
        <f>160+16*2+170*2</f>
        <v>532</v>
      </c>
      <c r="D29" s="93">
        <v>2.06</v>
      </c>
      <c r="E29" s="56">
        <f t="shared" si="5"/>
        <v>1095.92</v>
      </c>
      <c r="F29" s="41">
        <v>594</v>
      </c>
      <c r="G29" s="40">
        <v>60</v>
      </c>
      <c r="H29" s="41">
        <v>132</v>
      </c>
      <c r="I29" s="241"/>
      <c r="J29" s="263">
        <v>402</v>
      </c>
      <c r="K29" s="385">
        <f>G29+H29+I29+J29</f>
        <v>594</v>
      </c>
      <c r="L29" s="57">
        <f t="shared" si="7"/>
        <v>1223.6400000000001</v>
      </c>
      <c r="M29" s="64">
        <f t="shared" si="8"/>
        <v>0</v>
      </c>
      <c r="N29" s="243">
        <f t="shared" si="9"/>
        <v>1.1165413533834587</v>
      </c>
    </row>
    <row r="30" spans="1:16" s="6" customFormat="1" ht="5.0999999999999996" customHeight="1" x14ac:dyDescent="0.2">
      <c r="A30" s="69"/>
      <c r="B30" s="49"/>
      <c r="C30" s="33"/>
      <c r="D30" s="93"/>
      <c r="E30" s="34"/>
      <c r="F30" s="41"/>
      <c r="G30" s="40"/>
      <c r="H30" s="41"/>
      <c r="I30" s="41"/>
      <c r="J30" s="58"/>
      <c r="K30" s="62"/>
      <c r="L30" s="60"/>
      <c r="M30" s="3"/>
      <c r="N30" s="243"/>
    </row>
    <row r="31" spans="1:16" s="6" customFormat="1" ht="19.5" customHeight="1" x14ac:dyDescent="0.2">
      <c r="A31" s="68">
        <v>4344</v>
      </c>
      <c r="B31" s="35" t="s">
        <v>51</v>
      </c>
      <c r="C31" s="33">
        <v>48</v>
      </c>
      <c r="D31" s="91">
        <v>447.54</v>
      </c>
      <c r="E31" s="56">
        <f>D31*C31</f>
        <v>21481.920000000002</v>
      </c>
      <c r="F31" s="41">
        <v>123</v>
      </c>
      <c r="G31" s="40"/>
      <c r="H31" s="41"/>
      <c r="I31" s="41">
        <f>12+25</f>
        <v>37</v>
      </c>
      <c r="J31" s="58">
        <f>24+62</f>
        <v>86</v>
      </c>
      <c r="K31" s="385">
        <f>G31+H31+I31+J31</f>
        <v>123</v>
      </c>
      <c r="L31" s="57">
        <f>D31*K31</f>
        <v>55047.420000000006</v>
      </c>
      <c r="M31" s="64">
        <f>F31-K31</f>
        <v>0</v>
      </c>
      <c r="N31" s="243">
        <f>K31/C31</f>
        <v>2.5625</v>
      </c>
    </row>
    <row r="32" spans="1:16" s="6" customFormat="1" ht="19.5" customHeight="1" x14ac:dyDescent="0.2">
      <c r="A32" s="68">
        <v>4345</v>
      </c>
      <c r="B32" s="35" t="s">
        <v>52</v>
      </c>
      <c r="C32" s="33">
        <v>48</v>
      </c>
      <c r="D32" s="91">
        <v>20.09</v>
      </c>
      <c r="E32" s="56">
        <f>D32*C32</f>
        <v>964.31999999999994</v>
      </c>
      <c r="F32" s="41">
        <v>128</v>
      </c>
      <c r="G32" s="40"/>
      <c r="H32" s="41"/>
      <c r="I32" s="41">
        <f>12+25</f>
        <v>37</v>
      </c>
      <c r="J32" s="58">
        <f>24+67</f>
        <v>91</v>
      </c>
      <c r="K32" s="385">
        <f>G32+H32+I32+J32</f>
        <v>128</v>
      </c>
      <c r="L32" s="57">
        <f>D32*K32</f>
        <v>2571.52</v>
      </c>
      <c r="M32" s="64">
        <f>F32-K32</f>
        <v>0</v>
      </c>
      <c r="N32" s="243">
        <f>K32/C32</f>
        <v>2.6666666666666665</v>
      </c>
    </row>
    <row r="33" spans="1:14" s="6" customFormat="1" ht="19.5" customHeight="1" x14ac:dyDescent="0.2">
      <c r="A33" s="68">
        <v>4346</v>
      </c>
      <c r="B33" s="35" t="s">
        <v>53</v>
      </c>
      <c r="C33" s="33"/>
      <c r="D33" s="91">
        <v>20.09</v>
      </c>
      <c r="E33" s="56">
        <f>D33*C33</f>
        <v>0</v>
      </c>
      <c r="F33" s="41">
        <v>128</v>
      </c>
      <c r="G33" s="40"/>
      <c r="H33" s="41"/>
      <c r="I33" s="41">
        <f>12+25</f>
        <v>37</v>
      </c>
      <c r="J33" s="58">
        <f>24+67</f>
        <v>91</v>
      </c>
      <c r="K33" s="62">
        <f>G33+H33+I33+J33</f>
        <v>128</v>
      </c>
      <c r="L33" s="57">
        <f>D33*K33</f>
        <v>2571.52</v>
      </c>
      <c r="M33" s="64">
        <f>F33-K33</f>
        <v>0</v>
      </c>
      <c r="N33" s="243" t="e">
        <f>K33/C33</f>
        <v>#DIV/0!</v>
      </c>
    </row>
    <row r="34" spans="1:14" s="6" customFormat="1" ht="19.5" customHeight="1" x14ac:dyDescent="0.2">
      <c r="A34" s="68">
        <v>4347</v>
      </c>
      <c r="B34" s="35" t="s">
        <v>81</v>
      </c>
      <c r="C34" s="33"/>
      <c r="D34" s="91">
        <v>51.5</v>
      </c>
      <c r="E34" s="56">
        <f>D34*C34</f>
        <v>0</v>
      </c>
      <c r="F34" s="40"/>
      <c r="G34" s="40"/>
      <c r="H34" s="41"/>
      <c r="I34" s="41"/>
      <c r="J34" s="58"/>
      <c r="K34" s="62">
        <f>G34+H34+I34+J34</f>
        <v>0</v>
      </c>
      <c r="L34" s="57">
        <f>D34*K34</f>
        <v>0</v>
      </c>
      <c r="M34" s="64">
        <f>F34-K34</f>
        <v>0</v>
      </c>
      <c r="N34" s="243" t="e">
        <f>K34/C34</f>
        <v>#DIV/0!</v>
      </c>
    </row>
    <row r="35" spans="1:14" s="6" customFormat="1" ht="19.5" customHeight="1" x14ac:dyDescent="0.2">
      <c r="A35" s="68">
        <v>4348</v>
      </c>
      <c r="B35" s="35" t="s">
        <v>54</v>
      </c>
      <c r="C35" s="33">
        <v>48</v>
      </c>
      <c r="D35" s="91">
        <v>59.74</v>
      </c>
      <c r="E35" s="56">
        <f>D35*C35</f>
        <v>2867.52</v>
      </c>
      <c r="F35" s="41">
        <v>128</v>
      </c>
      <c r="G35" s="40"/>
      <c r="H35" s="41"/>
      <c r="I35" s="41">
        <f>12+25</f>
        <v>37</v>
      </c>
      <c r="J35" s="58">
        <f>24+67</f>
        <v>91</v>
      </c>
      <c r="K35" s="385">
        <f>G35+H35+I35+J35</f>
        <v>128</v>
      </c>
      <c r="L35" s="57">
        <f>D35*K35</f>
        <v>7646.72</v>
      </c>
      <c r="M35" s="64">
        <f>F35-K35</f>
        <v>0</v>
      </c>
      <c r="N35" s="243">
        <f>K35/C35</f>
        <v>2.6666666666666665</v>
      </c>
    </row>
    <row r="36" spans="1:14" s="6" customFormat="1" ht="5.0999999999999996" customHeight="1" x14ac:dyDescent="0.2">
      <c r="A36" s="69"/>
      <c r="B36" s="35"/>
      <c r="C36" s="33"/>
      <c r="D36" s="91"/>
      <c r="E36" s="34"/>
      <c r="F36" s="41"/>
      <c r="G36" s="40"/>
      <c r="H36" s="41"/>
      <c r="I36" s="41"/>
      <c r="J36" s="58"/>
      <c r="K36" s="62"/>
      <c r="L36" s="60"/>
      <c r="M36" s="3"/>
      <c r="N36" s="243"/>
    </row>
    <row r="37" spans="1:14" s="6" customFormat="1" ht="20.100000000000001" customHeight="1" x14ac:dyDescent="0.2">
      <c r="A37" s="68">
        <v>4350</v>
      </c>
      <c r="B37" s="35" t="s">
        <v>80</v>
      </c>
      <c r="C37" s="33">
        <f>98+306</f>
        <v>404</v>
      </c>
      <c r="D37" s="91">
        <v>301.79000000000002</v>
      </c>
      <c r="E37" s="56">
        <f>D37*C37</f>
        <v>121923.16</v>
      </c>
      <c r="F37" s="41">
        <v>368</v>
      </c>
      <c r="G37" s="50">
        <v>10</v>
      </c>
      <c r="H37" s="41">
        <f>135+103</f>
        <v>238</v>
      </c>
      <c r="I37" s="41"/>
      <c r="J37" s="58">
        <v>120</v>
      </c>
      <c r="K37" s="62">
        <f>G37+H37+I37+J37</f>
        <v>368</v>
      </c>
      <c r="L37" s="57">
        <f>D37*K37</f>
        <v>111058.72</v>
      </c>
      <c r="M37" s="64">
        <f>F37-K37</f>
        <v>0</v>
      </c>
      <c r="N37" s="243">
        <f>K37/C37</f>
        <v>0.91089108910891092</v>
      </c>
    </row>
    <row r="38" spans="1:14" s="6" customFormat="1" ht="5.0999999999999996" customHeight="1" x14ac:dyDescent="0.2">
      <c r="A38" s="69"/>
      <c r="B38" s="48"/>
      <c r="C38" s="33"/>
      <c r="D38" s="91"/>
      <c r="E38" s="34"/>
      <c r="F38" s="41"/>
      <c r="G38" s="40"/>
      <c r="H38" s="41"/>
      <c r="I38" s="41"/>
      <c r="J38" s="58"/>
      <c r="K38" s="62"/>
      <c r="L38" s="60"/>
      <c r="M38" s="3"/>
      <c r="N38" s="243"/>
    </row>
    <row r="39" spans="1:14" s="6" customFormat="1" ht="20.100000000000001" customHeight="1" x14ac:dyDescent="0.2">
      <c r="A39" s="68">
        <v>4328</v>
      </c>
      <c r="B39" s="35" t="s">
        <v>33</v>
      </c>
      <c r="C39" s="260"/>
      <c r="D39" s="91">
        <v>67.47</v>
      </c>
      <c r="E39" s="56">
        <f t="shared" ref="E39:E45" si="10">D39*C39</f>
        <v>0</v>
      </c>
      <c r="F39" s="41">
        <v>50</v>
      </c>
      <c r="G39" s="40"/>
      <c r="H39" s="41"/>
      <c r="I39" s="41"/>
      <c r="J39" s="6">
        <v>50</v>
      </c>
      <c r="K39" s="385">
        <f>G39+H39+I39+J39</f>
        <v>50</v>
      </c>
      <c r="L39" s="57">
        <f t="shared" ref="L39:L45" si="11">D39*K39</f>
        <v>3373.5</v>
      </c>
      <c r="M39" s="64">
        <f t="shared" ref="M39:M45" si="12">F39-K39</f>
        <v>0</v>
      </c>
      <c r="N39" s="243" t="e">
        <f t="shared" ref="N39:N45" si="13">K39/C39</f>
        <v>#DIV/0!</v>
      </c>
    </row>
    <row r="40" spans="1:14" s="6" customFormat="1" ht="20.100000000000001" customHeight="1" x14ac:dyDescent="0.2">
      <c r="A40" s="68">
        <v>4329</v>
      </c>
      <c r="B40" s="35" t="s">
        <v>32</v>
      </c>
      <c r="C40" s="33"/>
      <c r="D40" s="91">
        <v>32.96</v>
      </c>
      <c r="E40" s="56">
        <f t="shared" si="10"/>
        <v>0</v>
      </c>
      <c r="F40" s="41"/>
      <c r="G40" s="40"/>
      <c r="H40" s="41"/>
      <c r="I40" s="41"/>
      <c r="J40" s="58"/>
      <c r="K40" s="62">
        <f t="shared" ref="K40:K45" si="14">G40+H40+I40+J40</f>
        <v>0</v>
      </c>
      <c r="L40" s="57">
        <f t="shared" si="11"/>
        <v>0</v>
      </c>
      <c r="M40" s="64">
        <f t="shared" si="12"/>
        <v>0</v>
      </c>
      <c r="N40" s="243" t="e">
        <f t="shared" si="13"/>
        <v>#DIV/0!</v>
      </c>
    </row>
    <row r="41" spans="1:14" s="6" customFormat="1" ht="20.100000000000001" customHeight="1" x14ac:dyDescent="0.2">
      <c r="A41" s="68">
        <v>4330</v>
      </c>
      <c r="B41" s="45" t="s">
        <v>79</v>
      </c>
      <c r="C41" s="37"/>
      <c r="D41" s="91">
        <v>61.8</v>
      </c>
      <c r="E41" s="56">
        <f t="shared" si="10"/>
        <v>0</v>
      </c>
      <c r="F41" s="41">
        <v>3526</v>
      </c>
      <c r="G41" s="42"/>
      <c r="H41" s="43"/>
      <c r="I41" s="43"/>
      <c r="J41" s="59"/>
      <c r="K41" s="62">
        <f t="shared" si="14"/>
        <v>0</v>
      </c>
      <c r="L41" s="57">
        <f t="shared" si="11"/>
        <v>0</v>
      </c>
      <c r="M41" s="64">
        <f t="shared" si="12"/>
        <v>3526</v>
      </c>
      <c r="N41" s="243" t="e">
        <f t="shared" si="13"/>
        <v>#DIV/0!</v>
      </c>
    </row>
    <row r="42" spans="1:14" s="6" customFormat="1" ht="20.100000000000001" customHeight="1" x14ac:dyDescent="0.2">
      <c r="A42" s="68">
        <v>4331</v>
      </c>
      <c r="B42" s="35" t="s">
        <v>78</v>
      </c>
      <c r="C42" s="102"/>
      <c r="D42" s="91">
        <v>122.06</v>
      </c>
      <c r="E42" s="56">
        <f t="shared" si="10"/>
        <v>0</v>
      </c>
      <c r="F42" s="41">
        <v>400</v>
      </c>
      <c r="G42" s="40"/>
      <c r="H42" s="41"/>
      <c r="I42" s="41"/>
      <c r="J42" s="58">
        <v>400</v>
      </c>
      <c r="K42" s="385">
        <f>G42+H42+I42+J42</f>
        <v>400</v>
      </c>
      <c r="L42" s="57">
        <f t="shared" si="11"/>
        <v>48824</v>
      </c>
      <c r="M42" s="64">
        <f t="shared" si="12"/>
        <v>0</v>
      </c>
      <c r="N42" s="243" t="e">
        <f t="shared" si="13"/>
        <v>#DIV/0!</v>
      </c>
    </row>
    <row r="43" spans="1:14" s="6" customFormat="1" ht="20.100000000000001" customHeight="1" x14ac:dyDescent="0.2">
      <c r="A43" s="68" t="s">
        <v>136</v>
      </c>
      <c r="B43" s="101" t="s">
        <v>128</v>
      </c>
      <c r="C43" s="252"/>
      <c r="D43" s="90">
        <v>114.85</v>
      </c>
      <c r="E43" s="56">
        <f t="shared" si="10"/>
        <v>0</v>
      </c>
      <c r="F43" s="267">
        <v>590</v>
      </c>
      <c r="G43" s="42"/>
      <c r="H43" s="43"/>
      <c r="I43" s="43"/>
      <c r="J43" s="59">
        <v>590</v>
      </c>
      <c r="K43" s="385">
        <f>G43+H43+I43+J43</f>
        <v>590</v>
      </c>
      <c r="L43" s="57">
        <f t="shared" si="11"/>
        <v>67761.5</v>
      </c>
      <c r="M43" s="64">
        <f t="shared" si="12"/>
        <v>0</v>
      </c>
      <c r="N43" s="243" t="e">
        <f t="shared" si="13"/>
        <v>#DIV/0!</v>
      </c>
    </row>
    <row r="44" spans="1:14" s="6" customFormat="1" ht="20.100000000000001" customHeight="1" x14ac:dyDescent="0.2">
      <c r="A44" s="68">
        <v>4358</v>
      </c>
      <c r="B44" s="38" t="s">
        <v>77</v>
      </c>
      <c r="C44" s="253"/>
      <c r="D44" s="118">
        <v>13.39</v>
      </c>
      <c r="E44" s="56">
        <f t="shared" si="10"/>
        <v>0</v>
      </c>
      <c r="F44" s="267"/>
      <c r="G44" s="42"/>
      <c r="H44" s="43"/>
      <c r="I44" s="43"/>
      <c r="J44" s="59"/>
      <c r="K44" s="62">
        <f t="shared" si="14"/>
        <v>0</v>
      </c>
      <c r="L44" s="57">
        <f t="shared" si="11"/>
        <v>0</v>
      </c>
      <c r="M44" s="64">
        <f t="shared" si="12"/>
        <v>0</v>
      </c>
      <c r="N44" s="243" t="e">
        <f t="shared" si="13"/>
        <v>#DIV/0!</v>
      </c>
    </row>
    <row r="45" spans="1:14" s="6" customFormat="1" ht="20.100000000000001" customHeight="1" x14ac:dyDescent="0.2">
      <c r="A45" s="68">
        <v>4359</v>
      </c>
      <c r="B45" s="45" t="s">
        <v>76</v>
      </c>
      <c r="C45" s="46"/>
      <c r="D45" s="65">
        <v>23.69</v>
      </c>
      <c r="E45" s="56">
        <f t="shared" si="10"/>
        <v>0</v>
      </c>
      <c r="F45" s="41"/>
      <c r="G45" s="42"/>
      <c r="H45" s="43"/>
      <c r="I45" s="43"/>
      <c r="J45" s="59"/>
      <c r="K45" s="62">
        <f t="shared" si="14"/>
        <v>0</v>
      </c>
      <c r="L45" s="57">
        <f t="shared" si="11"/>
        <v>0</v>
      </c>
      <c r="M45" s="64">
        <f t="shared" si="12"/>
        <v>0</v>
      </c>
      <c r="N45" s="243" t="e">
        <f t="shared" si="13"/>
        <v>#DIV/0!</v>
      </c>
    </row>
    <row r="46" spans="1:14" s="6" customFormat="1" ht="5.0999999999999996" customHeight="1" x14ac:dyDescent="0.2">
      <c r="A46" s="68"/>
      <c r="B46" s="100"/>
      <c r="C46" s="103"/>
      <c r="D46" s="94"/>
      <c r="E46" s="56"/>
      <c r="F46" s="41"/>
      <c r="G46" s="42"/>
      <c r="H46" s="43"/>
      <c r="I46" s="43"/>
      <c r="J46" s="59"/>
      <c r="K46" s="62"/>
      <c r="L46" s="57"/>
      <c r="M46" s="64"/>
      <c r="N46" s="243"/>
    </row>
    <row r="47" spans="1:14" s="6" customFormat="1" ht="19.5" customHeight="1" x14ac:dyDescent="0.2">
      <c r="A47" s="68">
        <v>4332</v>
      </c>
      <c r="B47" s="54" t="s">
        <v>144</v>
      </c>
      <c r="C47" s="103"/>
      <c r="D47" s="94">
        <v>3.81</v>
      </c>
      <c r="E47" s="56">
        <f t="shared" ref="E47:E54" si="15">D47*C47</f>
        <v>0</v>
      </c>
      <c r="F47" s="41">
        <v>1000</v>
      </c>
      <c r="G47" s="42"/>
      <c r="H47" s="43"/>
      <c r="I47" s="43"/>
      <c r="J47" s="59">
        <v>1000</v>
      </c>
      <c r="K47" s="62">
        <f t="shared" ref="K47" si="16">G47+H47+I47+J47</f>
        <v>1000</v>
      </c>
      <c r="L47" s="57">
        <f t="shared" ref="L47:L54" si="17">D47*K47</f>
        <v>3810</v>
      </c>
      <c r="M47" s="64">
        <f t="shared" ref="M47:M54" si="18">F47-K47</f>
        <v>0</v>
      </c>
      <c r="N47" s="243" t="e">
        <f t="shared" ref="N47:N54" si="19">K47/C47</f>
        <v>#DIV/0!</v>
      </c>
    </row>
    <row r="48" spans="1:14" s="6" customFormat="1" ht="19.149999999999999" customHeight="1" x14ac:dyDescent="0.2">
      <c r="A48" s="250">
        <v>4567</v>
      </c>
      <c r="B48" s="54" t="s">
        <v>143</v>
      </c>
      <c r="C48" s="103">
        <v>950</v>
      </c>
      <c r="D48" s="245">
        <v>19.78</v>
      </c>
      <c r="E48" s="56">
        <f t="shared" si="15"/>
        <v>18791</v>
      </c>
      <c r="F48" s="41">
        <v>950</v>
      </c>
      <c r="G48" s="42"/>
      <c r="H48" s="43">
        <v>650</v>
      </c>
      <c r="I48" s="43">
        <v>300</v>
      </c>
      <c r="J48" s="59"/>
      <c r="K48" s="385">
        <f>G48+H48+I48+J48</f>
        <v>950</v>
      </c>
      <c r="L48" s="57">
        <f t="shared" si="17"/>
        <v>18791</v>
      </c>
      <c r="M48" s="64">
        <f t="shared" si="18"/>
        <v>0</v>
      </c>
      <c r="N48" s="243">
        <f t="shared" si="19"/>
        <v>1</v>
      </c>
    </row>
    <row r="49" spans="1:15" s="6" customFormat="1" ht="19.149999999999999" customHeight="1" x14ac:dyDescent="0.2">
      <c r="A49" s="250">
        <v>4563</v>
      </c>
      <c r="B49" s="54" t="s">
        <v>142</v>
      </c>
      <c r="C49" s="103">
        <v>950</v>
      </c>
      <c r="D49" s="245">
        <v>57.63</v>
      </c>
      <c r="E49" s="56">
        <f t="shared" si="15"/>
        <v>54748.5</v>
      </c>
      <c r="F49" s="41">
        <v>950</v>
      </c>
      <c r="G49" s="42"/>
      <c r="H49" s="43">
        <v>650</v>
      </c>
      <c r="I49" s="43">
        <v>300</v>
      </c>
      <c r="J49" s="59"/>
      <c r="K49" s="385">
        <f>J49+I49+H49+G49</f>
        <v>950</v>
      </c>
      <c r="L49" s="57">
        <f t="shared" si="17"/>
        <v>54748.5</v>
      </c>
      <c r="M49" s="64">
        <f t="shared" si="18"/>
        <v>0</v>
      </c>
      <c r="N49" s="243">
        <f t="shared" si="19"/>
        <v>1</v>
      </c>
      <c r="O49" s="6">
        <f>SUM(G49:K49)</f>
        <v>1900</v>
      </c>
    </row>
    <row r="50" spans="1:15" s="6" customFormat="1" ht="19.149999999999999" customHeight="1" x14ac:dyDescent="0.2">
      <c r="A50" s="250">
        <v>4525</v>
      </c>
      <c r="B50" s="54" t="s">
        <v>141</v>
      </c>
      <c r="C50" s="103">
        <v>300</v>
      </c>
      <c r="D50" s="245">
        <v>116.95</v>
      </c>
      <c r="E50" s="56">
        <f t="shared" si="15"/>
        <v>35085</v>
      </c>
      <c r="F50" s="42">
        <v>300</v>
      </c>
      <c r="G50" s="42"/>
      <c r="H50" s="43"/>
      <c r="I50" s="43">
        <v>300</v>
      </c>
      <c r="J50" s="59"/>
      <c r="K50" s="385">
        <f t="shared" ref="K50:K56" si="20">G50+H50+I50+J50</f>
        <v>300</v>
      </c>
      <c r="L50" s="57">
        <f t="shared" si="17"/>
        <v>35085</v>
      </c>
      <c r="M50" s="64">
        <f t="shared" si="18"/>
        <v>0</v>
      </c>
      <c r="N50" s="243">
        <f t="shared" si="19"/>
        <v>1</v>
      </c>
    </row>
    <row r="51" spans="1:15" s="6" customFormat="1" ht="19.149999999999999" customHeight="1" x14ac:dyDescent="0.2">
      <c r="A51" s="250">
        <v>4526</v>
      </c>
      <c r="B51" s="54" t="s">
        <v>75</v>
      </c>
      <c r="C51" s="103">
        <v>800</v>
      </c>
      <c r="D51" s="245">
        <v>57.63</v>
      </c>
      <c r="E51" s="56">
        <f t="shared" si="15"/>
        <v>46104</v>
      </c>
      <c r="F51" s="42">
        <v>800</v>
      </c>
      <c r="G51" s="42"/>
      <c r="H51" s="43">
        <v>500</v>
      </c>
      <c r="I51" s="43"/>
      <c r="J51" s="264">
        <v>300</v>
      </c>
      <c r="K51" s="385">
        <f t="shared" si="20"/>
        <v>800</v>
      </c>
      <c r="L51" s="57">
        <f t="shared" si="17"/>
        <v>46104</v>
      </c>
      <c r="M51" s="64">
        <f t="shared" si="18"/>
        <v>0</v>
      </c>
      <c r="N51" s="243">
        <f t="shared" si="19"/>
        <v>1</v>
      </c>
    </row>
    <row r="52" spans="1:15" s="6" customFormat="1" ht="19.149999999999999" customHeight="1" x14ac:dyDescent="0.2">
      <c r="A52" s="250">
        <v>4564</v>
      </c>
      <c r="B52" s="54" t="s">
        <v>145</v>
      </c>
      <c r="C52" s="103">
        <v>950</v>
      </c>
      <c r="D52" s="245">
        <v>55.93</v>
      </c>
      <c r="E52" s="56">
        <f t="shared" si="15"/>
        <v>53133.5</v>
      </c>
      <c r="F52" s="41">
        <v>950</v>
      </c>
      <c r="G52" s="42"/>
      <c r="H52" s="43">
        <v>650</v>
      </c>
      <c r="I52" s="43">
        <v>300</v>
      </c>
      <c r="J52" s="59"/>
      <c r="K52" s="385">
        <f t="shared" si="20"/>
        <v>950</v>
      </c>
      <c r="L52" s="57">
        <f t="shared" si="17"/>
        <v>53133.5</v>
      </c>
      <c r="M52" s="64">
        <f t="shared" si="18"/>
        <v>0</v>
      </c>
      <c r="N52" s="243">
        <f t="shared" si="19"/>
        <v>1</v>
      </c>
    </row>
    <row r="53" spans="1:15" s="6" customFormat="1" ht="19.149999999999999" customHeight="1" x14ac:dyDescent="0.2">
      <c r="A53" s="250">
        <v>4566</v>
      </c>
      <c r="B53" s="54" t="s">
        <v>146</v>
      </c>
      <c r="C53" s="103">
        <v>950</v>
      </c>
      <c r="D53" s="245">
        <v>58.48</v>
      </c>
      <c r="E53" s="56">
        <f t="shared" si="15"/>
        <v>55556</v>
      </c>
      <c r="F53" s="41">
        <v>950</v>
      </c>
      <c r="G53" s="42"/>
      <c r="H53" s="43">
        <v>650</v>
      </c>
      <c r="I53" s="43">
        <v>300</v>
      </c>
      <c r="J53" s="59"/>
      <c r="K53" s="385">
        <f t="shared" si="20"/>
        <v>950</v>
      </c>
      <c r="L53" s="57">
        <f t="shared" si="17"/>
        <v>55556</v>
      </c>
      <c r="M53" s="64">
        <f t="shared" si="18"/>
        <v>0</v>
      </c>
      <c r="N53" s="243">
        <f t="shared" si="19"/>
        <v>1</v>
      </c>
    </row>
    <row r="54" spans="1:15" s="6" customFormat="1" ht="19.149999999999999" customHeight="1" x14ac:dyDescent="0.2">
      <c r="A54" s="250">
        <v>4565</v>
      </c>
      <c r="B54" s="54" t="s">
        <v>74</v>
      </c>
      <c r="C54" s="103">
        <v>950</v>
      </c>
      <c r="D54" s="245">
        <v>116.39</v>
      </c>
      <c r="E54" s="266">
        <f t="shared" si="15"/>
        <v>110570.5</v>
      </c>
      <c r="F54" s="41">
        <v>950</v>
      </c>
      <c r="G54" s="42"/>
      <c r="H54" s="43">
        <f>650+300</f>
        <v>950</v>
      </c>
      <c r="I54" s="43"/>
      <c r="J54" s="59"/>
      <c r="K54" s="385">
        <f t="shared" si="20"/>
        <v>950</v>
      </c>
      <c r="L54" s="57">
        <f t="shared" si="17"/>
        <v>110570.5</v>
      </c>
      <c r="M54" s="64">
        <f t="shared" si="18"/>
        <v>0</v>
      </c>
      <c r="N54" s="243">
        <f t="shared" si="19"/>
        <v>1</v>
      </c>
    </row>
    <row r="55" spans="1:15" s="6" customFormat="1" ht="19.149999999999999" customHeight="1" x14ac:dyDescent="0.2">
      <c r="A55" s="250">
        <v>4561</v>
      </c>
      <c r="B55" s="54" t="s">
        <v>147</v>
      </c>
      <c r="C55" s="103">
        <v>650</v>
      </c>
      <c r="D55" s="245">
        <v>140.68</v>
      </c>
      <c r="E55" s="56">
        <f>D55*C55</f>
        <v>91442</v>
      </c>
      <c r="F55" s="41">
        <v>650</v>
      </c>
      <c r="G55" s="42"/>
      <c r="H55" s="43">
        <v>650</v>
      </c>
      <c r="I55" s="43"/>
      <c r="J55" s="59"/>
      <c r="K55" s="385">
        <f t="shared" si="20"/>
        <v>650</v>
      </c>
      <c r="L55" s="57">
        <f>D55*K55</f>
        <v>91442</v>
      </c>
      <c r="M55" s="64">
        <f>F55-K55</f>
        <v>0</v>
      </c>
      <c r="N55" s="243">
        <f>K55/C55</f>
        <v>1</v>
      </c>
    </row>
    <row r="56" spans="1:15" s="6" customFormat="1" ht="19.149999999999999" customHeight="1" x14ac:dyDescent="0.2">
      <c r="A56" s="250">
        <v>4562</v>
      </c>
      <c r="B56" s="54" t="s">
        <v>148</v>
      </c>
      <c r="C56" s="103">
        <v>650</v>
      </c>
      <c r="D56" s="245">
        <v>81.36</v>
      </c>
      <c r="E56" s="56">
        <f>D56*C56</f>
        <v>52884</v>
      </c>
      <c r="F56" s="41">
        <v>650</v>
      </c>
      <c r="G56" s="42"/>
      <c r="H56" s="43">
        <v>650</v>
      </c>
      <c r="I56" s="43"/>
      <c r="J56" s="59"/>
      <c r="K56" s="385">
        <f t="shared" si="20"/>
        <v>650</v>
      </c>
      <c r="L56" s="57">
        <f>D56*K56</f>
        <v>52884</v>
      </c>
      <c r="M56" s="64">
        <f>F56-K56</f>
        <v>0</v>
      </c>
      <c r="N56" s="243">
        <f>K56/C56</f>
        <v>1</v>
      </c>
    </row>
    <row r="57" spans="1:15" s="6" customFormat="1" ht="5.0999999999999996" customHeight="1" x14ac:dyDescent="0.2">
      <c r="A57" s="68"/>
      <c r="B57" s="45"/>
      <c r="C57" s="103"/>
      <c r="D57" s="95"/>
      <c r="E57" s="56"/>
      <c r="F57" s="41"/>
      <c r="G57" s="42"/>
      <c r="H57" s="43"/>
      <c r="I57" s="43"/>
      <c r="J57" s="59"/>
      <c r="K57" s="62"/>
      <c r="L57" s="57"/>
      <c r="M57" s="64"/>
      <c r="N57" s="243"/>
    </row>
    <row r="58" spans="1:15" s="6" customFormat="1" ht="19.149999999999999" customHeight="1" x14ac:dyDescent="0.2">
      <c r="A58" s="68">
        <v>4335</v>
      </c>
      <c r="B58" s="45" t="s">
        <v>64</v>
      </c>
      <c r="C58" s="103"/>
      <c r="D58" s="95">
        <v>25.24</v>
      </c>
      <c r="E58" s="56">
        <f>D58*C58</f>
        <v>0</v>
      </c>
      <c r="F58" s="41"/>
      <c r="G58" s="42"/>
      <c r="H58" s="43"/>
      <c r="I58" s="43"/>
      <c r="J58" s="59"/>
      <c r="K58" s="62">
        <f>G58+H58+I58+J58</f>
        <v>0</v>
      </c>
      <c r="L58" s="57">
        <f>D58*K58</f>
        <v>0</v>
      </c>
      <c r="M58" s="64">
        <f>F58-K58</f>
        <v>0</v>
      </c>
      <c r="N58" s="243" t="e">
        <f>K58/C58</f>
        <v>#DIV/0!</v>
      </c>
    </row>
    <row r="59" spans="1:15" s="6" customFormat="1" ht="19.149999999999999" customHeight="1" x14ac:dyDescent="0.2">
      <c r="A59" s="68">
        <v>4336</v>
      </c>
      <c r="B59" s="45" t="s">
        <v>65</v>
      </c>
      <c r="C59" s="103"/>
      <c r="D59" s="95">
        <v>20.6</v>
      </c>
      <c r="E59" s="56">
        <f>D59*C59</f>
        <v>0</v>
      </c>
      <c r="F59" s="41"/>
      <c r="G59" s="42"/>
      <c r="H59" s="43"/>
      <c r="I59" s="43"/>
      <c r="J59" s="59"/>
      <c r="K59" s="62">
        <f>G59+H59+I59+J59</f>
        <v>0</v>
      </c>
      <c r="L59" s="57">
        <f>D59*K59</f>
        <v>0</v>
      </c>
      <c r="M59" s="64">
        <f>F59-K59</f>
        <v>0</v>
      </c>
      <c r="N59" s="243" t="e">
        <f>K59/C59</f>
        <v>#DIV/0!</v>
      </c>
    </row>
    <row r="60" spans="1:15" s="6" customFormat="1" ht="19.149999999999999" customHeight="1" x14ac:dyDescent="0.2">
      <c r="A60" s="68">
        <v>4337</v>
      </c>
      <c r="B60" s="45" t="s">
        <v>89</v>
      </c>
      <c r="C60" s="103"/>
      <c r="D60" s="95">
        <v>9.3699999999999992</v>
      </c>
      <c r="E60" s="56">
        <f>D60*C60</f>
        <v>0</v>
      </c>
      <c r="F60" s="41"/>
      <c r="G60" s="42"/>
      <c r="H60" s="43"/>
      <c r="I60" s="43"/>
      <c r="J60" s="59"/>
      <c r="K60" s="62">
        <f>G60+H60+I60+J60</f>
        <v>0</v>
      </c>
      <c r="L60" s="57">
        <f>D60*K60</f>
        <v>0</v>
      </c>
      <c r="M60" s="64">
        <f>F60-K60</f>
        <v>0</v>
      </c>
      <c r="N60" s="243" t="e">
        <f>K60/C60</f>
        <v>#DIV/0!</v>
      </c>
    </row>
    <row r="61" spans="1:15" s="6" customFormat="1" ht="19.149999999999999" customHeight="1" x14ac:dyDescent="0.2">
      <c r="A61" s="68">
        <v>4338</v>
      </c>
      <c r="B61" s="45" t="s">
        <v>73</v>
      </c>
      <c r="C61" s="103"/>
      <c r="D61" s="95">
        <v>5.77</v>
      </c>
      <c r="E61" s="56">
        <f>D61*C61</f>
        <v>0</v>
      </c>
      <c r="F61" s="41"/>
      <c r="G61" s="42"/>
      <c r="H61" s="43"/>
      <c r="I61" s="43"/>
      <c r="J61" s="59"/>
      <c r="K61" s="62">
        <f>G61+H61+I61+J61</f>
        <v>0</v>
      </c>
      <c r="L61" s="57">
        <f>D61*K61</f>
        <v>0</v>
      </c>
      <c r="M61" s="64">
        <f>F61-K61</f>
        <v>0</v>
      </c>
      <c r="N61" s="243" t="e">
        <f>K61/C61</f>
        <v>#DIV/0!</v>
      </c>
    </row>
    <row r="62" spans="1:15" s="6" customFormat="1" ht="19.149999999999999" customHeight="1" x14ac:dyDescent="0.2">
      <c r="A62" s="68">
        <v>4339</v>
      </c>
      <c r="B62" s="45" t="s">
        <v>62</v>
      </c>
      <c r="C62" s="103"/>
      <c r="D62" s="95">
        <v>5.77</v>
      </c>
      <c r="E62" s="56">
        <f>D62*C62</f>
        <v>0</v>
      </c>
      <c r="F62" s="41"/>
      <c r="G62" s="42"/>
      <c r="H62" s="43"/>
      <c r="I62" s="43"/>
      <c r="J62" s="59"/>
      <c r="K62" s="62">
        <f>G62+H62+I62+J62</f>
        <v>0</v>
      </c>
      <c r="L62" s="57">
        <f>D62*K62</f>
        <v>0</v>
      </c>
      <c r="M62" s="64">
        <f>F62-K62</f>
        <v>0</v>
      </c>
      <c r="N62" s="243" t="e">
        <f>K62/C62</f>
        <v>#DIV/0!</v>
      </c>
    </row>
    <row r="63" spans="1:15" s="6" customFormat="1" ht="5.0999999999999996" customHeight="1" x14ac:dyDescent="0.2">
      <c r="A63" s="68"/>
      <c r="B63" s="45"/>
      <c r="C63" s="103"/>
      <c r="D63" s="96"/>
      <c r="E63" s="56"/>
      <c r="F63" s="41"/>
      <c r="G63" s="42"/>
      <c r="H63" s="43"/>
      <c r="I63" s="43"/>
      <c r="J63" s="59"/>
      <c r="K63" s="62"/>
      <c r="L63" s="57"/>
      <c r="M63" s="64"/>
      <c r="N63" s="243"/>
    </row>
    <row r="64" spans="1:15" s="6" customFormat="1" ht="19.149999999999999" customHeight="1" x14ac:dyDescent="0.2">
      <c r="A64" s="68">
        <v>4360</v>
      </c>
      <c r="B64" s="45" t="s">
        <v>35</v>
      </c>
      <c r="C64" s="103"/>
      <c r="D64" s="96">
        <v>20.6</v>
      </c>
      <c r="E64" s="56">
        <f t="shared" ref="E64:E71" si="21">D64*C64</f>
        <v>0</v>
      </c>
      <c r="F64" s="41"/>
      <c r="G64" s="42"/>
      <c r="H64" s="43"/>
      <c r="I64" s="43"/>
      <c r="J64" s="59"/>
      <c r="K64" s="62">
        <f t="shared" ref="K64:K70" si="22">G64+H64+I64+J64</f>
        <v>0</v>
      </c>
      <c r="L64" s="57">
        <f t="shared" ref="L64:L69" si="23">D64*K64</f>
        <v>0</v>
      </c>
      <c r="M64" s="64">
        <f t="shared" ref="M64:M71" si="24">F64-K64</f>
        <v>0</v>
      </c>
      <c r="N64" s="243" t="e">
        <f t="shared" ref="N64:N71" si="25">K64/C64</f>
        <v>#DIV/0!</v>
      </c>
    </row>
    <row r="65" spans="1:14" s="6" customFormat="1" ht="19.149999999999999" customHeight="1" x14ac:dyDescent="0.2">
      <c r="A65" s="68">
        <v>4361</v>
      </c>
      <c r="B65" s="45" t="s">
        <v>36</v>
      </c>
      <c r="C65" s="261"/>
      <c r="D65" s="96">
        <v>20.09</v>
      </c>
      <c r="E65" s="56">
        <f t="shared" si="21"/>
        <v>0</v>
      </c>
      <c r="F65" s="41">
        <v>203</v>
      </c>
      <c r="G65" s="42"/>
      <c r="H65" s="43"/>
      <c r="I65" s="43">
        <v>203</v>
      </c>
      <c r="J65" s="59"/>
      <c r="K65" s="62">
        <f t="shared" si="22"/>
        <v>203</v>
      </c>
      <c r="L65" s="57">
        <f t="shared" si="23"/>
        <v>4078.27</v>
      </c>
      <c r="M65" s="64">
        <f t="shared" si="24"/>
        <v>0</v>
      </c>
      <c r="N65" s="243" t="e">
        <f t="shared" si="25"/>
        <v>#DIV/0!</v>
      </c>
    </row>
    <row r="66" spans="1:14" s="6" customFormat="1" ht="19.149999999999999" customHeight="1" x14ac:dyDescent="0.2">
      <c r="A66" s="68">
        <v>4362</v>
      </c>
      <c r="B66" s="45" t="s">
        <v>37</v>
      </c>
      <c r="C66" s="261"/>
      <c r="D66" s="96">
        <v>20.09</v>
      </c>
      <c r="E66" s="56">
        <f t="shared" si="21"/>
        <v>0</v>
      </c>
      <c r="F66" s="41">
        <v>200</v>
      </c>
      <c r="G66" s="42"/>
      <c r="H66" s="43"/>
      <c r="I66" s="43">
        <v>200</v>
      </c>
      <c r="J66" s="59"/>
      <c r="K66" s="62">
        <f t="shared" si="22"/>
        <v>200</v>
      </c>
      <c r="L66" s="57">
        <f t="shared" si="23"/>
        <v>4018</v>
      </c>
      <c r="M66" s="64">
        <f t="shared" si="24"/>
        <v>0</v>
      </c>
      <c r="N66" s="243" t="e">
        <f t="shared" si="25"/>
        <v>#DIV/0!</v>
      </c>
    </row>
    <row r="67" spans="1:14" s="6" customFormat="1" ht="19.149999999999999" customHeight="1" x14ac:dyDescent="0.2">
      <c r="A67" s="68">
        <v>4363</v>
      </c>
      <c r="B67" s="45" t="s">
        <v>38</v>
      </c>
      <c r="C67" s="103"/>
      <c r="D67" s="96">
        <v>20.09</v>
      </c>
      <c r="E67" s="56">
        <f t="shared" si="21"/>
        <v>0</v>
      </c>
      <c r="F67" s="41"/>
      <c r="G67" s="42"/>
      <c r="H67" s="235"/>
      <c r="I67" s="43"/>
      <c r="J67" s="59"/>
      <c r="K67" s="62">
        <f t="shared" si="22"/>
        <v>0</v>
      </c>
      <c r="L67" s="57">
        <f t="shared" si="23"/>
        <v>0</v>
      </c>
      <c r="M67" s="64">
        <f t="shared" si="24"/>
        <v>0</v>
      </c>
      <c r="N67" s="243" t="e">
        <f t="shared" si="25"/>
        <v>#DIV/0!</v>
      </c>
    </row>
    <row r="68" spans="1:14" s="6" customFormat="1" ht="19.149999999999999" customHeight="1" x14ac:dyDescent="0.2">
      <c r="A68" s="68">
        <v>4364</v>
      </c>
      <c r="B68" s="45" t="s">
        <v>39</v>
      </c>
      <c r="C68" s="103"/>
      <c r="D68" s="96">
        <v>20.09</v>
      </c>
      <c r="E68" s="56">
        <f t="shared" si="21"/>
        <v>0</v>
      </c>
      <c r="F68" s="41"/>
      <c r="G68" s="42"/>
      <c r="H68" s="43"/>
      <c r="I68" s="43"/>
      <c r="J68" s="59"/>
      <c r="K68" s="62">
        <f>G68+H68+I68+J68</f>
        <v>0</v>
      </c>
      <c r="L68" s="57">
        <f t="shared" si="23"/>
        <v>0</v>
      </c>
      <c r="M68" s="64">
        <f t="shared" si="24"/>
        <v>0</v>
      </c>
      <c r="N68" s="243" t="e">
        <f t="shared" si="25"/>
        <v>#DIV/0!</v>
      </c>
    </row>
    <row r="69" spans="1:14" s="6" customFormat="1" ht="19.149999999999999" customHeight="1" x14ac:dyDescent="0.2">
      <c r="A69" s="68">
        <v>4366</v>
      </c>
      <c r="B69" s="45" t="s">
        <v>58</v>
      </c>
      <c r="C69" s="261"/>
      <c r="D69" s="96">
        <v>20.09</v>
      </c>
      <c r="E69" s="56">
        <f t="shared" si="21"/>
        <v>0</v>
      </c>
      <c r="F69" s="41">
        <v>32</v>
      </c>
      <c r="G69" s="42"/>
      <c r="H69" s="43"/>
      <c r="I69" s="43"/>
      <c r="J69" s="59">
        <v>32</v>
      </c>
      <c r="K69" s="62">
        <f t="shared" si="22"/>
        <v>32</v>
      </c>
      <c r="L69" s="57">
        <f t="shared" si="23"/>
        <v>642.88</v>
      </c>
      <c r="M69" s="64">
        <f t="shared" si="24"/>
        <v>0</v>
      </c>
      <c r="N69" s="243" t="e">
        <f t="shared" si="25"/>
        <v>#DIV/0!</v>
      </c>
    </row>
    <row r="70" spans="1:14" s="6" customFormat="1" ht="20.100000000000001" customHeight="1" x14ac:dyDescent="0.2">
      <c r="A70" s="68">
        <v>4367</v>
      </c>
      <c r="B70" s="45" t="s">
        <v>123</v>
      </c>
      <c r="C70" s="262"/>
      <c r="D70" s="90">
        <v>20.09</v>
      </c>
      <c r="E70" s="56">
        <f t="shared" si="21"/>
        <v>0</v>
      </c>
      <c r="F70" s="267">
        <v>300</v>
      </c>
      <c r="G70" s="42">
        <v>300</v>
      </c>
      <c r="H70" s="43"/>
      <c r="I70" s="43"/>
      <c r="J70" s="59"/>
      <c r="K70" s="62">
        <f t="shared" si="22"/>
        <v>300</v>
      </c>
      <c r="L70" s="57">
        <f>D70*K70</f>
        <v>6027</v>
      </c>
      <c r="M70" s="64">
        <f t="shared" si="24"/>
        <v>0</v>
      </c>
      <c r="N70" s="243" t="e">
        <f t="shared" si="25"/>
        <v>#DIV/0!</v>
      </c>
    </row>
    <row r="71" spans="1:14" s="6" customFormat="1" ht="20.100000000000001" customHeight="1" x14ac:dyDescent="0.2">
      <c r="A71" s="68">
        <v>4365</v>
      </c>
      <c r="B71" s="45" t="s">
        <v>124</v>
      </c>
      <c r="C71" s="261"/>
      <c r="D71" s="118">
        <v>21.12</v>
      </c>
      <c r="E71" s="56">
        <f t="shared" si="21"/>
        <v>0</v>
      </c>
      <c r="F71" s="267">
        <v>711</v>
      </c>
      <c r="G71" s="42"/>
      <c r="H71" s="43">
        <v>308</v>
      </c>
      <c r="I71" s="43"/>
      <c r="J71" s="59">
        <v>403</v>
      </c>
      <c r="K71" s="316">
        <f>G71+H71+I71+J71</f>
        <v>711</v>
      </c>
      <c r="L71" s="57">
        <f>D71*K71</f>
        <v>15016.320000000002</v>
      </c>
      <c r="M71" s="64">
        <f t="shared" si="24"/>
        <v>0</v>
      </c>
      <c r="N71" s="243" t="e">
        <f t="shared" si="25"/>
        <v>#DIV/0!</v>
      </c>
    </row>
    <row r="72" spans="1:14" s="6" customFormat="1" ht="5.0999999999999996" customHeight="1" x14ac:dyDescent="0.2">
      <c r="A72" s="68"/>
      <c r="B72" s="45"/>
      <c r="C72" s="103"/>
      <c r="D72" s="96"/>
      <c r="E72" s="56"/>
      <c r="F72" s="41"/>
      <c r="G72" s="42"/>
      <c r="H72" s="43"/>
      <c r="I72" s="43"/>
      <c r="J72" s="59"/>
      <c r="K72" s="62"/>
      <c r="L72" s="57"/>
      <c r="M72" s="64"/>
      <c r="N72" s="243"/>
    </row>
    <row r="73" spans="1:14" s="6" customFormat="1" ht="20.100000000000001" customHeight="1" x14ac:dyDescent="0.2">
      <c r="A73" s="68">
        <v>4333</v>
      </c>
      <c r="B73" s="45" t="s">
        <v>87</v>
      </c>
      <c r="C73" s="103">
        <v>100</v>
      </c>
      <c r="D73" s="118">
        <v>382.85</v>
      </c>
      <c r="E73" s="56">
        <f>D73*C73</f>
        <v>38285</v>
      </c>
      <c r="F73" s="41">
        <v>104</v>
      </c>
      <c r="G73" s="42"/>
      <c r="H73" s="43"/>
      <c r="I73" s="43"/>
      <c r="J73" s="59">
        <v>104</v>
      </c>
      <c r="K73" s="62">
        <f>G73+H73+I73+J73</f>
        <v>104</v>
      </c>
      <c r="L73" s="57">
        <f>D73*K73</f>
        <v>39816.400000000001</v>
      </c>
      <c r="M73" s="64">
        <f>F73-K73</f>
        <v>0</v>
      </c>
      <c r="N73" s="243">
        <f>K73/C73</f>
        <v>1.04</v>
      </c>
    </row>
    <row r="74" spans="1:14" s="6" customFormat="1" ht="20.100000000000001" customHeight="1" x14ac:dyDescent="0.2">
      <c r="A74" s="68">
        <v>4334</v>
      </c>
      <c r="B74" s="38" t="s">
        <v>88</v>
      </c>
      <c r="C74" s="103">
        <v>100</v>
      </c>
      <c r="D74" s="90">
        <v>413.91</v>
      </c>
      <c r="E74" s="56">
        <f>D74*C74</f>
        <v>41391</v>
      </c>
      <c r="F74" s="41">
        <v>104</v>
      </c>
      <c r="G74" s="42"/>
      <c r="H74" s="43"/>
      <c r="I74" s="43"/>
      <c r="J74" s="59">
        <v>104</v>
      </c>
      <c r="K74" s="62">
        <f>G74+H74+I74+J74</f>
        <v>104</v>
      </c>
      <c r="L74" s="57">
        <f>D74*K74</f>
        <v>43046.64</v>
      </c>
      <c r="M74" s="64">
        <f>F74-K74</f>
        <v>0</v>
      </c>
      <c r="N74" s="243">
        <f>K74/C74</f>
        <v>1.04</v>
      </c>
    </row>
    <row r="75" spans="1:14" s="6" customFormat="1" ht="5.0999999999999996" customHeight="1" x14ac:dyDescent="0.2">
      <c r="A75" s="68"/>
      <c r="B75" s="45"/>
      <c r="C75" s="103"/>
      <c r="D75" s="96"/>
      <c r="E75" s="56"/>
      <c r="F75" s="41"/>
      <c r="G75" s="42"/>
      <c r="H75" s="43"/>
      <c r="I75" s="43"/>
      <c r="J75" s="59"/>
      <c r="K75" s="62"/>
      <c r="L75" s="57"/>
      <c r="M75" s="64"/>
      <c r="N75" s="243"/>
    </row>
    <row r="76" spans="1:14" s="6" customFormat="1" ht="20.100000000000001" customHeight="1" x14ac:dyDescent="0.2">
      <c r="A76" s="68">
        <v>4389</v>
      </c>
      <c r="B76" s="45" t="s">
        <v>135</v>
      </c>
      <c r="C76" s="103"/>
      <c r="D76" s="118">
        <v>328.06</v>
      </c>
      <c r="E76" s="56">
        <f t="shared" ref="E76:E96" si="26">D76*C76</f>
        <v>0</v>
      </c>
      <c r="F76" s="41">
        <v>30</v>
      </c>
      <c r="G76" s="42">
        <v>30</v>
      </c>
      <c r="H76" s="43"/>
      <c r="I76" s="43"/>
      <c r="J76" s="59"/>
      <c r="K76" s="62">
        <f t="shared" ref="K76:K96" si="27">G76+H76+I76+J76</f>
        <v>30</v>
      </c>
      <c r="L76" s="57">
        <f t="shared" ref="L76:L93" si="28">D76*K76</f>
        <v>9841.7999999999993</v>
      </c>
      <c r="M76" s="64">
        <f t="shared" ref="M76:M96" si="29">F76-K76</f>
        <v>0</v>
      </c>
      <c r="N76" s="243" t="e">
        <f t="shared" ref="N76:N96" si="30">K76/C76</f>
        <v>#DIV/0!</v>
      </c>
    </row>
    <row r="77" spans="1:14" s="6" customFormat="1" ht="20.100000000000001" customHeight="1" x14ac:dyDescent="0.2">
      <c r="A77" s="68">
        <v>4390</v>
      </c>
      <c r="B77" s="244" t="s">
        <v>137</v>
      </c>
      <c r="C77" s="46"/>
      <c r="D77" s="118">
        <v>358.96</v>
      </c>
      <c r="E77" s="56">
        <f t="shared" si="26"/>
        <v>0</v>
      </c>
      <c r="F77" s="41"/>
      <c r="G77" s="42"/>
      <c r="H77" s="43"/>
      <c r="I77" s="43"/>
      <c r="J77" s="59"/>
      <c r="K77" s="62">
        <f t="shared" si="27"/>
        <v>0</v>
      </c>
      <c r="L77" s="57">
        <f t="shared" si="28"/>
        <v>0</v>
      </c>
      <c r="M77" s="64">
        <f t="shared" si="29"/>
        <v>0</v>
      </c>
      <c r="N77" s="243" t="e">
        <f t="shared" si="30"/>
        <v>#DIV/0!</v>
      </c>
    </row>
    <row r="78" spans="1:14" s="6" customFormat="1" ht="20.100000000000001" customHeight="1" x14ac:dyDescent="0.2">
      <c r="A78" s="68" t="s">
        <v>346</v>
      </c>
      <c r="B78" s="362" t="s">
        <v>347</v>
      </c>
      <c r="C78" s="46"/>
      <c r="D78" s="118">
        <v>433</v>
      </c>
      <c r="E78" s="56">
        <f t="shared" si="26"/>
        <v>0</v>
      </c>
      <c r="F78" s="41"/>
      <c r="G78" s="42"/>
      <c r="H78" s="43"/>
      <c r="I78" s="43"/>
      <c r="J78" s="59">
        <v>5</v>
      </c>
      <c r="K78" s="62">
        <f t="shared" si="27"/>
        <v>5</v>
      </c>
      <c r="L78" s="57">
        <f t="shared" si="28"/>
        <v>2165</v>
      </c>
      <c r="M78" s="64">
        <f t="shared" si="29"/>
        <v>-5</v>
      </c>
      <c r="N78" s="243" t="e">
        <f t="shared" si="30"/>
        <v>#DIV/0!</v>
      </c>
    </row>
    <row r="79" spans="1:14" s="6" customFormat="1" ht="20.100000000000001" customHeight="1" x14ac:dyDescent="0.2">
      <c r="A79" s="68" t="s">
        <v>149</v>
      </c>
      <c r="B79" s="244" t="s">
        <v>348</v>
      </c>
      <c r="C79" s="46"/>
      <c r="D79" s="118">
        <v>55</v>
      </c>
      <c r="E79" s="56">
        <f t="shared" si="26"/>
        <v>0</v>
      </c>
      <c r="F79" s="41">
        <v>600</v>
      </c>
      <c r="G79" s="42"/>
      <c r="H79" s="43"/>
      <c r="I79" s="43"/>
      <c r="J79" s="59"/>
      <c r="K79" s="62">
        <f t="shared" si="27"/>
        <v>0</v>
      </c>
      <c r="L79" s="57">
        <f t="shared" si="28"/>
        <v>0</v>
      </c>
      <c r="M79" s="64">
        <f t="shared" si="29"/>
        <v>600</v>
      </c>
      <c r="N79" s="243" t="e">
        <f t="shared" si="30"/>
        <v>#DIV/0!</v>
      </c>
    </row>
    <row r="80" spans="1:14" s="6" customFormat="1" ht="20.100000000000001" customHeight="1" x14ac:dyDescent="0.2">
      <c r="A80" s="68"/>
      <c r="B80" s="244"/>
      <c r="C80" s="46"/>
      <c r="D80" s="118"/>
      <c r="E80" s="56">
        <f t="shared" si="26"/>
        <v>0</v>
      </c>
      <c r="F80" s="41"/>
      <c r="G80" s="42"/>
      <c r="H80" s="43"/>
      <c r="I80" s="43"/>
      <c r="J80" s="59"/>
      <c r="K80" s="62">
        <f t="shared" ref="K80" si="31">G80+H80+I80+J80</f>
        <v>0</v>
      </c>
      <c r="L80" s="57">
        <f t="shared" ref="L80" si="32">D80*K80</f>
        <v>0</v>
      </c>
      <c r="M80" s="64">
        <f t="shared" ref="M80" si="33">F80-K80</f>
        <v>0</v>
      </c>
      <c r="N80" s="243" t="e">
        <f t="shared" ref="N80" si="34">K80/C80</f>
        <v>#DIV/0!</v>
      </c>
    </row>
    <row r="81" spans="1:15" s="6" customFormat="1" ht="20.100000000000001" customHeight="1" x14ac:dyDescent="0.2">
      <c r="A81" s="68" t="s">
        <v>150</v>
      </c>
      <c r="B81" s="244" t="s">
        <v>151</v>
      </c>
      <c r="C81" s="265"/>
      <c r="D81" s="248">
        <v>99.5</v>
      </c>
      <c r="E81" s="56">
        <f t="shared" si="26"/>
        <v>0</v>
      </c>
      <c r="F81" s="267">
        <v>27</v>
      </c>
      <c r="G81" s="42"/>
      <c r="H81" s="43">
        <v>27</v>
      </c>
      <c r="I81" s="43"/>
      <c r="J81" s="59"/>
      <c r="K81" s="62">
        <f>G81+H81+I81+J81</f>
        <v>27</v>
      </c>
      <c r="L81" s="57">
        <f>D81*K81</f>
        <v>2686.5</v>
      </c>
      <c r="M81" s="64">
        <f>F81-K81</f>
        <v>0</v>
      </c>
      <c r="N81" s="243" t="e">
        <f>K81/C81</f>
        <v>#DIV/0!</v>
      </c>
    </row>
    <row r="82" spans="1:15" s="6" customFormat="1" ht="20.100000000000001" customHeight="1" x14ac:dyDescent="0.2">
      <c r="A82" s="68">
        <v>4656</v>
      </c>
      <c r="B82" s="244" t="s">
        <v>152</v>
      </c>
      <c r="C82" s="265"/>
      <c r="D82" s="118">
        <v>99.5</v>
      </c>
      <c r="E82" s="56">
        <f t="shared" si="26"/>
        <v>0</v>
      </c>
      <c r="F82" s="267">
        <v>42</v>
      </c>
      <c r="G82" s="42"/>
      <c r="H82" s="43">
        <v>42</v>
      </c>
      <c r="I82" s="43"/>
      <c r="J82" s="59"/>
      <c r="K82" s="62">
        <f t="shared" si="27"/>
        <v>42</v>
      </c>
      <c r="L82" s="57">
        <f t="shared" si="28"/>
        <v>4179</v>
      </c>
      <c r="M82" s="64">
        <f t="shared" si="29"/>
        <v>0</v>
      </c>
      <c r="N82" s="243" t="e">
        <f t="shared" si="30"/>
        <v>#DIV/0!</v>
      </c>
    </row>
    <row r="83" spans="1:15" s="6" customFormat="1" ht="20.100000000000001" customHeight="1" x14ac:dyDescent="0.2">
      <c r="A83" s="68"/>
      <c r="B83" s="247"/>
      <c r="C83" s="46"/>
      <c r="D83" s="96"/>
      <c r="E83" s="56">
        <f t="shared" si="26"/>
        <v>0</v>
      </c>
      <c r="F83" s="41"/>
      <c r="G83" s="42"/>
      <c r="H83" s="43"/>
      <c r="I83" s="43"/>
      <c r="J83" s="59"/>
      <c r="K83" s="62">
        <f t="shared" si="27"/>
        <v>0</v>
      </c>
      <c r="L83" s="57">
        <f t="shared" si="28"/>
        <v>0</v>
      </c>
      <c r="M83" s="64">
        <f t="shared" si="29"/>
        <v>0</v>
      </c>
      <c r="N83" s="243" t="e">
        <f t="shared" si="30"/>
        <v>#DIV/0!</v>
      </c>
    </row>
    <row r="84" spans="1:15" s="6" customFormat="1" ht="20.100000000000001" customHeight="1" x14ac:dyDescent="0.2">
      <c r="A84" s="270">
        <v>4717</v>
      </c>
      <c r="B84" s="269" t="s">
        <v>153</v>
      </c>
      <c r="C84" s="265"/>
      <c r="D84" s="271">
        <v>362</v>
      </c>
      <c r="E84" s="56">
        <f>D84*C84</f>
        <v>0</v>
      </c>
      <c r="F84" s="267"/>
      <c r="G84" s="42"/>
      <c r="H84" s="43"/>
      <c r="I84" s="43"/>
      <c r="J84" s="59"/>
      <c r="K84" s="62">
        <f>G84+H84+I84+J84</f>
        <v>0</v>
      </c>
      <c r="L84" s="57">
        <f>D84*K84</f>
        <v>0</v>
      </c>
      <c r="M84" s="64">
        <f>F84-K84</f>
        <v>0</v>
      </c>
      <c r="N84" s="243" t="e">
        <f>K84/C84</f>
        <v>#DIV/0!</v>
      </c>
    </row>
    <row r="85" spans="1:15" s="6" customFormat="1" ht="20.100000000000001" customHeight="1" x14ac:dyDescent="0.2">
      <c r="A85" s="275"/>
      <c r="B85" s="89"/>
      <c r="C85" s="46"/>
      <c r="D85" s="65"/>
      <c r="E85" s="56">
        <f t="shared" si="26"/>
        <v>0</v>
      </c>
      <c r="F85" s="41"/>
      <c r="G85" s="42"/>
      <c r="H85" s="43"/>
      <c r="I85" s="43"/>
      <c r="J85" s="59"/>
      <c r="K85" s="62">
        <f t="shared" si="27"/>
        <v>0</v>
      </c>
      <c r="L85" s="57">
        <f t="shared" si="28"/>
        <v>0</v>
      </c>
      <c r="M85" s="64">
        <f t="shared" si="29"/>
        <v>0</v>
      </c>
      <c r="N85" s="243" t="e">
        <f t="shared" si="30"/>
        <v>#DIV/0!</v>
      </c>
    </row>
    <row r="86" spans="1:15" s="6" customFormat="1" ht="20.100000000000001" customHeight="1" x14ac:dyDescent="0.2">
      <c r="A86" s="274" t="s">
        <v>154</v>
      </c>
      <c r="B86" s="244" t="s">
        <v>155</v>
      </c>
      <c r="C86" s="46"/>
      <c r="D86" s="248">
        <v>105.58</v>
      </c>
      <c r="E86" s="56">
        <f t="shared" ref="E86:E92" si="35">D86*C86</f>
        <v>0</v>
      </c>
      <c r="F86" s="41"/>
      <c r="G86" s="42"/>
      <c r="H86" s="43"/>
      <c r="I86" s="43"/>
      <c r="J86" s="59"/>
      <c r="K86" s="62">
        <f t="shared" ref="K86:K93" si="36">G86+H86+I86+J86</f>
        <v>0</v>
      </c>
      <c r="L86" s="57">
        <f>D86*K86</f>
        <v>0</v>
      </c>
      <c r="M86" s="64">
        <f>F86-K86</f>
        <v>0</v>
      </c>
      <c r="N86" s="243" t="e">
        <f>K86/C86</f>
        <v>#DIV/0!</v>
      </c>
    </row>
    <row r="87" spans="1:15" s="6" customFormat="1" ht="20.100000000000001" customHeight="1" x14ac:dyDescent="0.2">
      <c r="A87" s="276">
        <v>4376</v>
      </c>
      <c r="B87" s="244" t="s">
        <v>156</v>
      </c>
      <c r="C87" s="46"/>
      <c r="D87" s="248">
        <v>69.73</v>
      </c>
      <c r="E87" s="56">
        <f>D87*C87</f>
        <v>0</v>
      </c>
      <c r="F87" s="267"/>
      <c r="G87" s="42"/>
      <c r="H87" s="43"/>
      <c r="I87" s="43"/>
      <c r="J87" s="59"/>
      <c r="K87" s="62">
        <f>G87+H87+I87+J87</f>
        <v>0</v>
      </c>
      <c r="L87" s="57">
        <f t="shared" ref="L87:L92" si="37">D87*K87</f>
        <v>0</v>
      </c>
      <c r="M87" s="64">
        <f t="shared" ref="M87:M92" si="38">F87-K87</f>
        <v>0</v>
      </c>
      <c r="N87" s="243" t="e">
        <f t="shared" ref="N87:N92" si="39">K87/C87</f>
        <v>#DIV/0!</v>
      </c>
    </row>
    <row r="88" spans="1:15" s="6" customFormat="1" ht="20.100000000000001" customHeight="1" x14ac:dyDescent="0.2">
      <c r="A88" s="270">
        <v>4874</v>
      </c>
      <c r="B88" s="269" t="s">
        <v>280</v>
      </c>
      <c r="C88" s="46">
        <v>1</v>
      </c>
      <c r="D88" s="271">
        <v>1220</v>
      </c>
      <c r="E88" s="56">
        <f t="shared" si="35"/>
        <v>1220</v>
      </c>
      <c r="F88" s="267">
        <v>1</v>
      </c>
      <c r="G88" s="42"/>
      <c r="H88" s="43">
        <v>1</v>
      </c>
      <c r="I88" s="43"/>
      <c r="J88" s="59"/>
      <c r="K88" s="62">
        <f t="shared" si="36"/>
        <v>1</v>
      </c>
      <c r="L88" s="57">
        <f t="shared" si="37"/>
        <v>1220</v>
      </c>
      <c r="M88" s="64">
        <f t="shared" si="38"/>
        <v>0</v>
      </c>
      <c r="N88" s="243">
        <f t="shared" si="39"/>
        <v>1</v>
      </c>
    </row>
    <row r="89" spans="1:15" s="6" customFormat="1" ht="20.100000000000001" customHeight="1" x14ac:dyDescent="0.2">
      <c r="A89" s="276">
        <v>4864</v>
      </c>
      <c r="B89" s="244" t="s">
        <v>274</v>
      </c>
      <c r="C89" s="46">
        <v>1</v>
      </c>
      <c r="D89" s="248">
        <v>9200</v>
      </c>
      <c r="E89" s="56">
        <f>D89*C89</f>
        <v>9200</v>
      </c>
      <c r="F89" s="267">
        <v>1</v>
      </c>
      <c r="G89" s="42">
        <v>1</v>
      </c>
      <c r="H89" s="43"/>
      <c r="I89" s="43"/>
      <c r="J89" s="59"/>
      <c r="K89" s="62">
        <f>G89+H89+I89+J89</f>
        <v>1</v>
      </c>
      <c r="L89" s="57">
        <f>D89*K89</f>
        <v>9200</v>
      </c>
      <c r="M89" s="64">
        <f>F89-K89</f>
        <v>0</v>
      </c>
      <c r="N89" s="243">
        <f>K89/C89</f>
        <v>1</v>
      </c>
    </row>
    <row r="90" spans="1:15" s="6" customFormat="1" ht="20.100000000000001" customHeight="1" x14ac:dyDescent="0.2">
      <c r="A90" s="274"/>
      <c r="B90" s="247"/>
      <c r="C90" s="46"/>
      <c r="D90" s="272"/>
      <c r="E90" s="56">
        <f t="shared" si="35"/>
        <v>0</v>
      </c>
      <c r="F90" s="267"/>
      <c r="G90" s="42"/>
      <c r="H90" s="43"/>
      <c r="I90" s="43"/>
      <c r="J90" s="59"/>
      <c r="K90" s="62">
        <f t="shared" si="36"/>
        <v>0</v>
      </c>
      <c r="L90" s="57">
        <f t="shared" si="37"/>
        <v>0</v>
      </c>
      <c r="M90" s="64">
        <f t="shared" si="38"/>
        <v>0</v>
      </c>
      <c r="N90" s="243" t="e">
        <f t="shared" si="39"/>
        <v>#DIV/0!</v>
      </c>
    </row>
    <row r="91" spans="1:15" s="6" customFormat="1" ht="20.100000000000001" customHeight="1" x14ac:dyDescent="0.2">
      <c r="A91" s="274"/>
      <c r="B91" s="247"/>
      <c r="C91" s="46"/>
      <c r="D91" s="272"/>
      <c r="E91" s="56">
        <f t="shared" si="35"/>
        <v>0</v>
      </c>
      <c r="F91" s="267"/>
      <c r="G91" s="42"/>
      <c r="H91" s="43"/>
      <c r="I91" s="43"/>
      <c r="J91" s="59"/>
      <c r="K91" s="62">
        <f t="shared" si="36"/>
        <v>0</v>
      </c>
      <c r="L91" s="57">
        <f t="shared" si="37"/>
        <v>0</v>
      </c>
      <c r="M91" s="64">
        <f t="shared" si="38"/>
        <v>0</v>
      </c>
      <c r="N91" s="243" t="e">
        <f t="shared" si="39"/>
        <v>#DIV/0!</v>
      </c>
    </row>
    <row r="92" spans="1:15" s="6" customFormat="1" ht="20.100000000000001" customHeight="1" x14ac:dyDescent="0.3">
      <c r="A92" s="273"/>
      <c r="B92" s="88" t="s">
        <v>131</v>
      </c>
      <c r="C92" s="46"/>
      <c r="D92" s="65"/>
      <c r="E92" s="56">
        <f t="shared" si="35"/>
        <v>0</v>
      </c>
      <c r="F92" s="41"/>
      <c r="G92" s="42"/>
      <c r="H92" s="43"/>
      <c r="I92" s="43"/>
      <c r="J92" s="59"/>
      <c r="K92" s="62">
        <f t="shared" si="36"/>
        <v>0</v>
      </c>
      <c r="L92" s="57">
        <f t="shared" si="37"/>
        <v>0</v>
      </c>
      <c r="M92" s="64">
        <f t="shared" si="38"/>
        <v>0</v>
      </c>
      <c r="N92" s="243" t="e">
        <f t="shared" si="39"/>
        <v>#DIV/0!</v>
      </c>
    </row>
    <row r="93" spans="1:15" s="6" customFormat="1" ht="20.100000000000001" customHeight="1" x14ac:dyDescent="0.2">
      <c r="A93" s="68"/>
      <c r="B93" s="85" t="s">
        <v>31</v>
      </c>
      <c r="C93" s="103"/>
      <c r="D93" s="93">
        <v>1500</v>
      </c>
      <c r="E93" s="56">
        <f t="shared" si="26"/>
        <v>0</v>
      </c>
      <c r="F93" s="41">
        <v>31</v>
      </c>
      <c r="G93" s="42"/>
      <c r="H93" s="43">
        <v>6</v>
      </c>
      <c r="I93" s="43">
        <f>6+7+6</f>
        <v>19</v>
      </c>
      <c r="J93" s="59">
        <v>6</v>
      </c>
      <c r="K93" s="62">
        <f t="shared" si="36"/>
        <v>31</v>
      </c>
      <c r="L93" s="57">
        <f t="shared" si="28"/>
        <v>46500</v>
      </c>
      <c r="M93" s="64">
        <f t="shared" si="29"/>
        <v>0</v>
      </c>
      <c r="N93" s="243" t="e">
        <f t="shared" si="30"/>
        <v>#DIV/0!</v>
      </c>
    </row>
    <row r="94" spans="1:15" s="6" customFormat="1" ht="20.100000000000001" customHeight="1" x14ac:dyDescent="0.2">
      <c r="A94" s="68"/>
      <c r="B94" s="88" t="s">
        <v>29</v>
      </c>
      <c r="C94" s="106"/>
      <c r="D94" s="97">
        <v>600</v>
      </c>
      <c r="E94" s="56">
        <f t="shared" si="26"/>
        <v>0</v>
      </c>
      <c r="F94" s="41">
        <v>11</v>
      </c>
      <c r="G94" s="42"/>
      <c r="H94" s="43"/>
      <c r="I94" s="43">
        <v>5</v>
      </c>
      <c r="J94" s="59">
        <v>6</v>
      </c>
      <c r="K94" s="62">
        <f t="shared" si="27"/>
        <v>11</v>
      </c>
      <c r="L94" s="57">
        <f>D94*K94</f>
        <v>6600</v>
      </c>
      <c r="M94" s="64">
        <f t="shared" si="29"/>
        <v>0</v>
      </c>
      <c r="N94" s="243" t="e">
        <f>K94/C94</f>
        <v>#DIV/0!</v>
      </c>
      <c r="O94" s="86"/>
    </row>
    <row r="95" spans="1:15" s="6" customFormat="1" ht="19.5" customHeight="1" x14ac:dyDescent="0.2">
      <c r="A95" s="68"/>
      <c r="B95" s="89"/>
      <c r="C95" s="103"/>
      <c r="D95" s="98"/>
      <c r="E95" s="56">
        <f t="shared" si="26"/>
        <v>0</v>
      </c>
      <c r="F95" s="41"/>
      <c r="G95" s="42"/>
      <c r="H95" s="43"/>
      <c r="I95" s="43"/>
      <c r="J95" s="59"/>
      <c r="K95" s="62">
        <f t="shared" si="27"/>
        <v>0</v>
      </c>
      <c r="L95" s="57">
        <f>D95*K95</f>
        <v>0</v>
      </c>
      <c r="M95" s="64">
        <f t="shared" si="29"/>
        <v>0</v>
      </c>
      <c r="N95" s="243" t="e">
        <f>K95/C95</f>
        <v>#DIV/0!</v>
      </c>
      <c r="O95" s="86"/>
    </row>
    <row r="96" spans="1:15" s="6" customFormat="1" ht="20.100000000000001" customHeight="1" thickBot="1" x14ac:dyDescent="0.25">
      <c r="A96" s="68"/>
      <c r="B96" s="39" t="s">
        <v>18</v>
      </c>
      <c r="C96" s="104">
        <v>1</v>
      </c>
      <c r="D96" s="94">
        <v>1695</v>
      </c>
      <c r="E96" s="56">
        <f t="shared" si="26"/>
        <v>1695</v>
      </c>
      <c r="F96" s="41">
        <v>1</v>
      </c>
      <c r="G96" s="42"/>
      <c r="H96" s="43"/>
      <c r="I96" s="43"/>
      <c r="J96" s="59">
        <v>1</v>
      </c>
      <c r="K96" s="62">
        <f t="shared" si="27"/>
        <v>1</v>
      </c>
      <c r="L96" s="57">
        <f>D96*K96</f>
        <v>1695</v>
      </c>
      <c r="M96" s="64">
        <f t="shared" si="29"/>
        <v>0</v>
      </c>
      <c r="N96" s="243">
        <f t="shared" si="30"/>
        <v>1</v>
      </c>
    </row>
    <row r="97" spans="1:14" s="6" customFormat="1" ht="20.100000000000001" customHeight="1" thickBot="1" x14ac:dyDescent="0.25">
      <c r="A97" s="84"/>
      <c r="B97" s="84"/>
      <c r="C97" s="84"/>
      <c r="D97" s="84"/>
      <c r="E97" s="84">
        <f>D97*C97</f>
        <v>0</v>
      </c>
      <c r="F97" s="18">
        <f>G97+H97+I97+J97</f>
        <v>0</v>
      </c>
      <c r="G97" s="20"/>
      <c r="H97" s="20"/>
      <c r="I97" s="20"/>
      <c r="J97" s="20"/>
      <c r="K97" s="18">
        <f>D97*F97</f>
        <v>0</v>
      </c>
      <c r="L97" s="72"/>
      <c r="M97" s="73"/>
    </row>
    <row r="98" spans="1:14" s="6" customFormat="1" ht="20.100000000000001" customHeight="1" thickBot="1" x14ac:dyDescent="0.3">
      <c r="A98" s="12"/>
      <c r="B98" s="574" t="s">
        <v>19</v>
      </c>
      <c r="C98" s="575"/>
      <c r="D98" s="576"/>
      <c r="E98" s="66">
        <f>SUM(E7:E96)</f>
        <v>1786514.86</v>
      </c>
      <c r="F98" s="562" t="s">
        <v>28</v>
      </c>
      <c r="G98" s="563"/>
      <c r="H98" s="563"/>
      <c r="I98" s="563"/>
      <c r="J98" s="563"/>
      <c r="K98" s="564"/>
      <c r="L98" s="25">
        <f>SUM(L7:L97)</f>
        <v>2075328.1199999996</v>
      </c>
      <c r="M98" s="25"/>
      <c r="N98" s="119">
        <f>L98/E98</f>
        <v>1.1616629486082191</v>
      </c>
    </row>
    <row r="99" spans="1:14" s="6" customFormat="1" ht="20.100000000000001" customHeight="1" thickBot="1" x14ac:dyDescent="0.3">
      <c r="A99" s="13"/>
      <c r="B99" s="559" t="s">
        <v>20</v>
      </c>
      <c r="C99" s="560"/>
      <c r="D99" s="561"/>
      <c r="E99" s="66">
        <f>'январь 2019'!F189</f>
        <v>2975551.5</v>
      </c>
      <c r="F99" s="562" t="s">
        <v>28</v>
      </c>
      <c r="G99" s="563"/>
      <c r="H99" s="563"/>
      <c r="I99" s="563"/>
      <c r="J99" s="563"/>
      <c r="K99" s="564"/>
      <c r="L99" s="25">
        <f>'январь 2019'!L189</f>
        <v>2547709.9899999998</v>
      </c>
      <c r="M99" s="25"/>
      <c r="N99" s="119">
        <f>L99/E99</f>
        <v>0.85621438244305292</v>
      </c>
    </row>
    <row r="100" spans="1:14" s="6" customFormat="1" ht="20.100000000000001" customHeight="1" thickBot="1" x14ac:dyDescent="0.35">
      <c r="A100" s="10"/>
      <c r="B100" s="565" t="s">
        <v>21</v>
      </c>
      <c r="C100" s="566"/>
      <c r="D100" s="567"/>
      <c r="E100" s="67">
        <f>SUM(E98:E99)</f>
        <v>4762066.3600000003</v>
      </c>
      <c r="F100" s="562" t="s">
        <v>28</v>
      </c>
      <c r="G100" s="563"/>
      <c r="H100" s="563"/>
      <c r="I100" s="563"/>
      <c r="J100" s="563"/>
      <c r="K100" s="564"/>
      <c r="L100" s="71">
        <f>SUM(L98:L99)</f>
        <v>4623038.1099999994</v>
      </c>
      <c r="M100" s="53"/>
      <c r="N100" s="119">
        <f>L100/E100</f>
        <v>0.97080505824786512</v>
      </c>
    </row>
    <row r="101" spans="1:14" s="6" customFormat="1" ht="20.100000000000001" customHeight="1" x14ac:dyDescent="0.2">
      <c r="A101" s="10"/>
      <c r="B101" s="10"/>
      <c r="C101" s="10"/>
      <c r="D101" s="10"/>
      <c r="E101" s="10"/>
      <c r="F101" s="13"/>
      <c r="G101" s="13"/>
      <c r="H101" s="13"/>
      <c r="I101" s="13" t="s">
        <v>25</v>
      </c>
      <c r="J101" s="13"/>
      <c r="K101" s="13"/>
      <c r="L101" s="240"/>
      <c r="M101" s="51"/>
      <c r="N101" s="23"/>
    </row>
    <row r="102" spans="1:14" s="6" customFormat="1" ht="20.100000000000001" customHeight="1" thickBot="1" x14ac:dyDescent="0.25">
      <c r="A102" s="10"/>
      <c r="B102" s="10"/>
      <c r="C102" s="14"/>
      <c r="D102" s="10"/>
      <c r="E102" s="10"/>
      <c r="F102" s="14"/>
      <c r="G102" s="14"/>
      <c r="H102" s="14"/>
      <c r="I102" s="26" t="s">
        <v>27</v>
      </c>
      <c r="J102" s="14"/>
      <c r="K102" s="14"/>
      <c r="L102" s="87"/>
      <c r="M102" s="52"/>
      <c r="N102" s="23"/>
    </row>
    <row r="103" spans="1:14" s="6" customFormat="1" ht="20.100000000000001" customHeight="1" thickBot="1" x14ac:dyDescent="0.25">
      <c r="A103" s="10"/>
      <c r="B103" s="10"/>
      <c r="C103" s="10"/>
      <c r="D103" s="10"/>
      <c r="E103" s="10"/>
      <c r="F103" s="13"/>
      <c r="G103" s="13"/>
      <c r="H103" s="13"/>
      <c r="I103" s="31" t="s">
        <v>26</v>
      </c>
      <c r="J103" s="13"/>
      <c r="K103" s="13"/>
      <c r="L103" s="71">
        <f>L100+L101+L102</f>
        <v>4623038.1099999994</v>
      </c>
      <c r="M103" s="63"/>
      <c r="N103" s="23"/>
    </row>
    <row r="104" spans="1:14" s="6" customFormat="1" ht="20.100000000000001" customHeight="1" x14ac:dyDescent="0.2">
      <c r="A104" s="15"/>
      <c r="B104" s="11"/>
      <c r="C104" s="15"/>
      <c r="D104" s="236" t="s">
        <v>24</v>
      </c>
      <c r="E104" s="17"/>
      <c r="F104" s="19"/>
      <c r="G104" s="21"/>
      <c r="H104" s="13"/>
      <c r="I104" s="13"/>
      <c r="J104" s="13"/>
      <c r="K104" s="13"/>
      <c r="L104" s="23"/>
    </row>
    <row r="105" spans="1:14" s="6" customFormat="1" ht="20.100000000000001" customHeight="1" x14ac:dyDescent="0.2">
      <c r="A105" s="10"/>
      <c r="B105" s="10"/>
      <c r="C105" s="10"/>
      <c r="D105" s="10"/>
      <c r="E105" s="10"/>
      <c r="F105" s="13"/>
      <c r="G105" s="13"/>
      <c r="H105" s="13"/>
      <c r="I105" s="13"/>
      <c r="J105" s="13"/>
      <c r="K105" s="13"/>
    </row>
    <row r="106" spans="1:14" s="6" customFormat="1" ht="20.100000000000001" customHeight="1" x14ac:dyDescent="0.2">
      <c r="A106" s="10"/>
      <c r="B106" s="10"/>
      <c r="C106" s="255">
        <v>1000</v>
      </c>
      <c r="D106" s="254" t="s">
        <v>140</v>
      </c>
      <c r="E106" s="251"/>
      <c r="F106" s="13"/>
      <c r="G106" s="13"/>
      <c r="H106" s="13"/>
      <c r="I106" s="13"/>
      <c r="J106" s="13"/>
      <c r="K106" s="13"/>
    </row>
    <row r="107" spans="1:14" s="6" customFormat="1" ht="20.100000000000001" customHeight="1" x14ac:dyDescent="0.2">
      <c r="A107" s="10"/>
      <c r="B107" s="10"/>
      <c r="C107" s="10"/>
      <c r="D107" s="10"/>
      <c r="E107" s="10"/>
      <c r="F107" s="13"/>
      <c r="G107" s="13"/>
      <c r="H107" s="13"/>
      <c r="I107" s="13"/>
      <c r="K107" s="13"/>
      <c r="L107" s="24"/>
    </row>
    <row r="108" spans="1:14" s="6" customFormat="1" ht="20.100000000000001" customHeight="1" x14ac:dyDescent="0.2">
      <c r="A108" s="10"/>
      <c r="B108" s="10"/>
      <c r="C108" s="10"/>
      <c r="D108" s="10"/>
      <c r="E108" s="10"/>
      <c r="F108" s="13"/>
      <c r="G108" s="13"/>
      <c r="H108" s="13"/>
      <c r="I108" s="13"/>
      <c r="J108" s="13"/>
      <c r="K108" s="13"/>
      <c r="L108" s="23"/>
    </row>
    <row r="109" spans="1:14" s="6" customFormat="1" ht="20.100000000000001" customHeight="1" x14ac:dyDescent="0.2">
      <c r="A109" s="10"/>
      <c r="B109" s="10"/>
      <c r="C109" s="10"/>
      <c r="D109" s="10"/>
      <c r="E109" s="10"/>
      <c r="F109" s="13"/>
      <c r="G109" s="13"/>
      <c r="H109" s="13"/>
      <c r="I109" s="13"/>
      <c r="J109" s="13"/>
      <c r="K109" s="13"/>
      <c r="L109" s="23"/>
    </row>
    <row r="110" spans="1:14" s="6" customFormat="1" ht="20.100000000000001" customHeight="1" x14ac:dyDescent="0.2">
      <c r="A110" s="10"/>
      <c r="B110" s="10"/>
      <c r="C110" s="10"/>
      <c r="D110" s="10"/>
      <c r="E110" s="10"/>
      <c r="F110" s="13"/>
      <c r="G110" s="13"/>
      <c r="H110" s="13"/>
      <c r="I110" s="13"/>
      <c r="J110" s="13"/>
      <c r="K110" s="13"/>
      <c r="L110" s="23"/>
    </row>
    <row r="111" spans="1:14" s="6" customFormat="1" ht="15" customHeight="1" x14ac:dyDescent="0.2">
      <c r="A111" s="10"/>
      <c r="B111" s="10"/>
      <c r="C111" s="10"/>
      <c r="D111" s="10"/>
      <c r="E111" s="10"/>
      <c r="F111" s="13"/>
      <c r="G111" s="13"/>
      <c r="H111" s="13"/>
      <c r="I111" s="13"/>
      <c r="J111" s="13"/>
      <c r="K111" s="13"/>
      <c r="L111" s="23"/>
    </row>
    <row r="112" spans="1:14" s="6" customFormat="1" ht="15" customHeight="1" x14ac:dyDescent="0.2">
      <c r="A112" s="10"/>
      <c r="B112" s="10"/>
      <c r="C112" s="10"/>
      <c r="D112" s="10"/>
      <c r="E112" s="10"/>
      <c r="F112" s="13"/>
      <c r="G112" s="13"/>
      <c r="H112" s="13"/>
      <c r="I112" s="13"/>
      <c r="J112" s="13"/>
      <c r="K112" s="13"/>
      <c r="L112" s="13"/>
    </row>
    <row r="113" spans="1:16" s="7" customFormat="1" ht="15" customHeight="1" x14ac:dyDescent="0.2">
      <c r="A113" s="10"/>
      <c r="B113" s="10"/>
      <c r="C113" s="10"/>
      <c r="D113" s="10"/>
      <c r="E113" s="10"/>
      <c r="F113" s="13"/>
      <c r="G113" s="13"/>
      <c r="H113" s="13"/>
      <c r="I113" s="13"/>
      <c r="J113" s="13"/>
      <c r="K113" s="13"/>
      <c r="L113" s="10"/>
    </row>
    <row r="114" spans="1:16" s="8" customFormat="1" ht="15" customHeight="1" x14ac:dyDescent="0.2">
      <c r="A114" s="10"/>
      <c r="B114" s="10"/>
      <c r="C114" s="10"/>
      <c r="D114" s="10"/>
      <c r="E114" s="10"/>
      <c r="F114" s="13"/>
      <c r="G114" s="13"/>
      <c r="H114" s="13"/>
      <c r="I114" s="13"/>
      <c r="J114" s="13"/>
      <c r="K114" s="13"/>
      <c r="L114" s="10"/>
    </row>
    <row r="115" spans="1:16" s="8" customFormat="1" ht="15" customHeight="1" x14ac:dyDescent="0.2">
      <c r="A115" s="10"/>
      <c r="B115" s="10"/>
      <c r="C115" s="10"/>
      <c r="D115" s="10"/>
      <c r="E115" s="10"/>
      <c r="F115" s="13"/>
      <c r="G115" s="13"/>
      <c r="H115" s="13"/>
      <c r="I115" s="13"/>
      <c r="J115" s="13"/>
      <c r="K115" s="13"/>
      <c r="L115" s="9"/>
    </row>
    <row r="116" spans="1:16" ht="15" customHeight="1" x14ac:dyDescent="0.25">
      <c r="A116" s="10"/>
      <c r="B116" s="10"/>
      <c r="C116" s="10"/>
      <c r="D116" s="10"/>
      <c r="E116" s="10"/>
      <c r="F116" s="13"/>
      <c r="G116" s="13"/>
      <c r="H116" s="13"/>
      <c r="I116" s="13"/>
      <c r="J116" s="13"/>
      <c r="K116" s="13"/>
    </row>
    <row r="117" spans="1:16" s="9" customFormat="1" ht="15" customHeight="1" x14ac:dyDescent="0.25">
      <c r="A117" s="10"/>
      <c r="B117" s="10"/>
      <c r="C117" s="10"/>
      <c r="D117" s="10"/>
      <c r="E117" s="10"/>
      <c r="F117" s="13"/>
      <c r="G117" s="13"/>
      <c r="H117" s="13"/>
      <c r="I117" s="13"/>
      <c r="J117" s="13"/>
      <c r="K117" s="13"/>
      <c r="M117" s="4"/>
      <c r="N117" s="4"/>
      <c r="O117" s="5"/>
      <c r="P117" s="5"/>
    </row>
    <row r="118" spans="1:16" s="9" customFormat="1" ht="15" customHeight="1" x14ac:dyDescent="0.25">
      <c r="A118" s="10"/>
      <c r="B118" s="10"/>
      <c r="C118" s="10"/>
      <c r="D118" s="10"/>
      <c r="E118" s="10"/>
      <c r="F118" s="13"/>
      <c r="G118" s="13"/>
      <c r="H118" s="13"/>
      <c r="I118" s="13"/>
      <c r="J118" s="13"/>
      <c r="K118" s="13"/>
      <c r="M118" s="4"/>
      <c r="N118" s="4"/>
      <c r="O118" s="5"/>
      <c r="P118" s="5"/>
    </row>
    <row r="119" spans="1:16" s="9" customFormat="1" ht="15" customHeight="1" x14ac:dyDescent="0.25">
      <c r="A119" s="10"/>
      <c r="B119" s="10"/>
      <c r="C119" s="10"/>
      <c r="D119" s="10"/>
      <c r="E119" s="10"/>
      <c r="F119" s="13"/>
      <c r="G119" s="13"/>
      <c r="H119" s="13"/>
      <c r="I119" s="13"/>
      <c r="J119" s="13"/>
      <c r="K119" s="13"/>
      <c r="M119" s="4"/>
      <c r="N119" s="4"/>
      <c r="O119" s="5"/>
      <c r="P119" s="5"/>
    </row>
    <row r="120" spans="1:16" s="9" customFormat="1" ht="15" customHeight="1" x14ac:dyDescent="0.25">
      <c r="A120" s="10"/>
      <c r="B120" s="10"/>
      <c r="C120" s="10"/>
      <c r="D120" s="10"/>
      <c r="E120" s="10"/>
      <c r="F120" s="13"/>
      <c r="G120" s="13"/>
      <c r="H120" s="13"/>
      <c r="I120" s="13"/>
      <c r="J120" s="13"/>
      <c r="K120" s="13"/>
      <c r="M120" s="4"/>
      <c r="N120" s="4"/>
      <c r="O120" s="5"/>
      <c r="P120" s="5"/>
    </row>
    <row r="121" spans="1:16" s="9" customFormat="1" ht="15" customHeight="1" x14ac:dyDescent="0.25">
      <c r="A121" s="10"/>
      <c r="B121" s="10"/>
      <c r="C121" s="10"/>
      <c r="D121" s="10"/>
      <c r="E121" s="10"/>
      <c r="F121" s="13"/>
      <c r="G121" s="13"/>
      <c r="H121" s="13"/>
      <c r="I121" s="13"/>
      <c r="J121" s="13"/>
      <c r="K121" s="13"/>
      <c r="M121" s="4"/>
      <c r="N121" s="4"/>
      <c r="O121" s="5"/>
      <c r="P121" s="5"/>
    </row>
    <row r="122" spans="1:16" s="9" customFormat="1" ht="15" customHeight="1" x14ac:dyDescent="0.25">
      <c r="A122" s="10"/>
      <c r="B122" s="10"/>
      <c r="C122" s="10"/>
      <c r="D122" s="10"/>
      <c r="E122" s="10"/>
      <c r="F122" s="13"/>
      <c r="G122" s="13"/>
      <c r="H122" s="13"/>
      <c r="I122" s="13"/>
      <c r="J122" s="13"/>
      <c r="K122" s="13"/>
      <c r="M122" s="4"/>
      <c r="N122" s="4"/>
      <c r="O122" s="5"/>
      <c r="P122" s="5"/>
    </row>
    <row r="123" spans="1:16" s="9" customFormat="1" ht="15" customHeight="1" x14ac:dyDescent="0.25">
      <c r="A123" s="10"/>
      <c r="B123" s="10"/>
      <c r="C123" s="10"/>
      <c r="D123" s="10"/>
      <c r="E123" s="10"/>
      <c r="F123" s="13"/>
      <c r="G123" s="13"/>
      <c r="H123" s="13"/>
      <c r="I123" s="13"/>
      <c r="J123" s="13"/>
      <c r="K123" s="13"/>
      <c r="M123" s="4"/>
      <c r="N123" s="4"/>
      <c r="O123" s="5"/>
      <c r="P123" s="5"/>
    </row>
    <row r="124" spans="1:16" s="9" customFormat="1" ht="15" customHeight="1" x14ac:dyDescent="0.25">
      <c r="A124" s="10"/>
      <c r="B124" s="10"/>
      <c r="C124" s="10"/>
      <c r="D124" s="10"/>
      <c r="E124" s="10"/>
      <c r="F124" s="13"/>
      <c r="G124" s="13"/>
      <c r="H124" s="13"/>
      <c r="I124" s="13"/>
      <c r="J124" s="13"/>
      <c r="K124" s="13"/>
      <c r="M124" s="4"/>
      <c r="N124" s="4"/>
      <c r="O124" s="5"/>
      <c r="P124" s="5"/>
    </row>
    <row r="125" spans="1:16" s="9" customFormat="1" ht="15" customHeight="1" x14ac:dyDescent="0.25">
      <c r="A125" s="10"/>
      <c r="B125" s="10"/>
      <c r="C125" s="10"/>
      <c r="D125" s="10"/>
      <c r="E125" s="10"/>
      <c r="F125" s="13"/>
      <c r="G125" s="13"/>
      <c r="H125" s="13"/>
      <c r="I125" s="13"/>
      <c r="J125" s="13"/>
      <c r="K125" s="13"/>
      <c r="M125" s="4"/>
      <c r="N125" s="4"/>
      <c r="O125" s="5"/>
      <c r="P125" s="5"/>
    </row>
    <row r="126" spans="1:16" s="9" customFormat="1" ht="15" customHeight="1" x14ac:dyDescent="0.25">
      <c r="A126" s="10"/>
      <c r="B126" s="10"/>
      <c r="C126" s="10"/>
      <c r="D126" s="10"/>
      <c r="E126" s="10"/>
      <c r="F126" s="13"/>
      <c r="G126" s="13"/>
      <c r="H126" s="13"/>
      <c r="I126" s="13"/>
      <c r="J126" s="13"/>
      <c r="K126" s="13"/>
      <c r="M126" s="4"/>
      <c r="N126" s="4"/>
      <c r="O126" s="5"/>
      <c r="P126" s="5"/>
    </row>
    <row r="127" spans="1:16" s="9" customFormat="1" ht="15" customHeight="1" x14ac:dyDescent="0.25">
      <c r="A127" s="10"/>
      <c r="B127" s="10"/>
      <c r="C127" s="10"/>
      <c r="D127" s="10"/>
      <c r="E127" s="10"/>
      <c r="F127" s="13"/>
      <c r="G127" s="13"/>
      <c r="H127" s="13"/>
      <c r="I127" s="13"/>
      <c r="J127" s="13"/>
      <c r="K127" s="13"/>
      <c r="M127" s="4"/>
      <c r="N127" s="4"/>
      <c r="O127" s="5"/>
      <c r="P127" s="5"/>
    </row>
    <row r="128" spans="1:16" s="9" customFormat="1" ht="15" customHeight="1" x14ac:dyDescent="0.25">
      <c r="A128" s="10"/>
      <c r="B128" s="10"/>
      <c r="C128" s="10"/>
      <c r="D128" s="10"/>
      <c r="E128" s="10"/>
      <c r="F128" s="13"/>
      <c r="G128" s="13"/>
      <c r="H128" s="13"/>
      <c r="I128" s="13"/>
      <c r="J128" s="13"/>
      <c r="K128" s="13"/>
      <c r="M128" s="4"/>
      <c r="N128" s="4"/>
      <c r="O128" s="5"/>
      <c r="P128" s="5"/>
    </row>
    <row r="129" spans="1:16" s="9" customFormat="1" ht="15" customHeight="1" x14ac:dyDescent="0.25">
      <c r="A129" s="10"/>
      <c r="B129" s="10"/>
      <c r="C129" s="10"/>
      <c r="D129" s="10"/>
      <c r="E129" s="10"/>
      <c r="F129" s="13"/>
      <c r="G129" s="13"/>
      <c r="H129" s="13"/>
      <c r="I129" s="13"/>
      <c r="J129" s="13"/>
      <c r="K129" s="13"/>
      <c r="M129" s="4"/>
      <c r="N129" s="4"/>
      <c r="O129" s="5"/>
      <c r="P129" s="5"/>
    </row>
    <row r="130" spans="1:16" s="9" customFormat="1" ht="15" customHeight="1" x14ac:dyDescent="0.25">
      <c r="A130" s="10"/>
      <c r="B130" s="10"/>
      <c r="C130" s="10"/>
      <c r="D130" s="10"/>
      <c r="E130" s="10"/>
      <c r="F130" s="13"/>
      <c r="G130" s="13"/>
      <c r="H130" s="13"/>
      <c r="I130" s="13"/>
      <c r="J130" s="13"/>
      <c r="K130" s="13"/>
      <c r="M130" s="4"/>
      <c r="N130" s="4"/>
      <c r="O130" s="5"/>
      <c r="P130" s="5"/>
    </row>
    <row r="131" spans="1:16" s="9" customFormat="1" ht="15" customHeight="1" x14ac:dyDescent="0.25">
      <c r="A131" s="10"/>
      <c r="B131" s="10"/>
      <c r="C131" s="10"/>
      <c r="D131" s="10"/>
      <c r="E131" s="10"/>
      <c r="F131" s="13"/>
      <c r="G131" s="13"/>
      <c r="H131" s="13"/>
      <c r="I131" s="13"/>
      <c r="J131" s="13"/>
      <c r="K131" s="13"/>
      <c r="M131" s="4"/>
      <c r="N131" s="4"/>
      <c r="O131" s="5"/>
      <c r="P131" s="5"/>
    </row>
    <row r="132" spans="1:16" s="9" customFormat="1" ht="15" customHeight="1" x14ac:dyDescent="0.25">
      <c r="A132" s="10"/>
      <c r="B132" s="10"/>
      <c r="C132" s="10"/>
      <c r="D132" s="10"/>
      <c r="E132" s="10"/>
      <c r="F132" s="13"/>
      <c r="G132" s="13"/>
      <c r="H132" s="13"/>
      <c r="I132" s="13"/>
      <c r="J132" s="13"/>
      <c r="K132" s="13"/>
      <c r="M132" s="4"/>
      <c r="N132" s="4"/>
      <c r="O132" s="5"/>
      <c r="P132" s="5"/>
    </row>
    <row r="133" spans="1:16" s="9" customFormat="1" ht="15" customHeight="1" x14ac:dyDescent="0.25">
      <c r="A133" s="10"/>
      <c r="B133" s="10"/>
      <c r="C133" s="10"/>
      <c r="D133" s="10"/>
      <c r="E133" s="10"/>
      <c r="F133" s="13"/>
      <c r="G133" s="13"/>
      <c r="H133" s="13"/>
      <c r="I133" s="13"/>
      <c r="J133" s="13"/>
      <c r="K133" s="13"/>
      <c r="M133" s="4"/>
      <c r="N133" s="4"/>
      <c r="O133" s="5"/>
      <c r="P133" s="5"/>
    </row>
    <row r="134" spans="1:16" s="9" customFormat="1" ht="15" customHeight="1" x14ac:dyDescent="0.25">
      <c r="A134" s="10"/>
      <c r="B134" s="10"/>
      <c r="C134" s="10"/>
      <c r="D134" s="10"/>
      <c r="E134" s="10"/>
      <c r="F134" s="13"/>
      <c r="G134" s="13"/>
      <c r="H134" s="13"/>
      <c r="I134" s="13"/>
      <c r="J134" s="13"/>
      <c r="K134" s="13"/>
      <c r="M134" s="4"/>
      <c r="N134" s="4"/>
      <c r="O134" s="5"/>
      <c r="P134" s="5"/>
    </row>
    <row r="135" spans="1:16" s="9" customFormat="1" ht="15" customHeight="1" x14ac:dyDescent="0.25">
      <c r="A135" s="10"/>
      <c r="B135" s="10"/>
      <c r="C135" s="10"/>
      <c r="D135" s="10"/>
      <c r="E135" s="10"/>
      <c r="F135" s="13"/>
      <c r="G135" s="13"/>
      <c r="H135" s="13"/>
      <c r="I135" s="13"/>
      <c r="J135" s="13"/>
      <c r="K135" s="13"/>
      <c r="M135" s="4"/>
      <c r="N135" s="4"/>
      <c r="O135" s="5"/>
      <c r="P135" s="5"/>
    </row>
    <row r="136" spans="1:16" s="9" customFormat="1" ht="15" customHeight="1" x14ac:dyDescent="0.25">
      <c r="A136" s="10"/>
      <c r="B136" s="10"/>
      <c r="C136" s="10"/>
      <c r="D136" s="10"/>
      <c r="E136" s="10"/>
      <c r="F136" s="13"/>
      <c r="G136" s="13"/>
      <c r="H136" s="13"/>
      <c r="I136" s="13"/>
      <c r="J136" s="13"/>
      <c r="K136" s="13"/>
      <c r="M136" s="4"/>
      <c r="N136" s="4"/>
      <c r="O136" s="5"/>
      <c r="P136" s="5"/>
    </row>
    <row r="137" spans="1:16" s="9" customFormat="1" ht="15" customHeight="1" x14ac:dyDescent="0.25">
      <c r="A137" s="10"/>
      <c r="B137" s="10"/>
      <c r="C137" s="10"/>
      <c r="D137" s="10"/>
      <c r="E137" s="10"/>
      <c r="F137" s="13"/>
      <c r="G137" s="13"/>
      <c r="H137" s="13"/>
      <c r="I137" s="13"/>
      <c r="J137" s="13"/>
      <c r="K137" s="13"/>
      <c r="M137" s="4"/>
      <c r="N137" s="4"/>
      <c r="O137" s="5"/>
      <c r="P137" s="5"/>
    </row>
    <row r="138" spans="1:16" s="9" customFormat="1" ht="15" customHeight="1" x14ac:dyDescent="0.25">
      <c r="A138" s="10"/>
      <c r="B138" s="10"/>
      <c r="C138" s="10"/>
      <c r="D138" s="10"/>
      <c r="E138" s="10"/>
      <c r="F138" s="13"/>
      <c r="G138" s="13"/>
      <c r="H138" s="13"/>
      <c r="I138" s="13"/>
      <c r="J138" s="13"/>
      <c r="K138" s="13"/>
      <c r="M138" s="4"/>
      <c r="N138" s="4"/>
      <c r="O138" s="5"/>
      <c r="P138" s="5"/>
    </row>
    <row r="139" spans="1:16" s="9" customFormat="1" ht="15" customHeight="1" x14ac:dyDescent="0.25">
      <c r="A139" s="10"/>
      <c r="B139" s="10"/>
      <c r="C139" s="10"/>
      <c r="D139" s="10"/>
      <c r="E139" s="10"/>
      <c r="F139" s="13"/>
      <c r="G139" s="13"/>
      <c r="H139" s="13"/>
      <c r="I139" s="13"/>
      <c r="J139" s="13"/>
      <c r="K139" s="13"/>
      <c r="M139" s="4"/>
      <c r="N139" s="4"/>
      <c r="O139" s="5"/>
      <c r="P139" s="5"/>
    </row>
    <row r="140" spans="1:16" s="9" customFormat="1" ht="15" customHeight="1" x14ac:dyDescent="0.25">
      <c r="A140" s="10"/>
      <c r="B140" s="10"/>
      <c r="C140" s="10"/>
      <c r="D140" s="10"/>
      <c r="E140" s="10"/>
      <c r="F140" s="13"/>
      <c r="G140" s="13"/>
      <c r="H140" s="13"/>
      <c r="I140" s="13"/>
      <c r="J140" s="13"/>
      <c r="K140" s="13"/>
      <c r="M140" s="4"/>
      <c r="N140" s="4"/>
      <c r="O140" s="5"/>
      <c r="P140" s="5"/>
    </row>
    <row r="141" spans="1:16" s="9" customFormat="1" ht="15" customHeight="1" x14ac:dyDescent="0.25">
      <c r="A141" s="10"/>
      <c r="B141" s="10"/>
      <c r="C141" s="10"/>
      <c r="D141" s="10"/>
      <c r="E141" s="10"/>
      <c r="F141" s="13"/>
      <c r="G141" s="13"/>
      <c r="H141" s="13"/>
      <c r="I141" s="13"/>
      <c r="J141" s="13"/>
      <c r="K141" s="13"/>
      <c r="M141" s="4"/>
      <c r="N141" s="4"/>
      <c r="O141" s="5"/>
      <c r="P141" s="5"/>
    </row>
    <row r="142" spans="1:16" s="9" customFormat="1" ht="15" customHeight="1" x14ac:dyDescent="0.25">
      <c r="A142" s="10"/>
      <c r="B142" s="10"/>
      <c r="C142" s="10"/>
      <c r="D142" s="10"/>
      <c r="E142" s="10"/>
      <c r="F142" s="13"/>
      <c r="G142" s="13"/>
      <c r="H142" s="13"/>
      <c r="I142" s="13"/>
      <c r="J142" s="13"/>
      <c r="K142" s="13"/>
      <c r="M142" s="4"/>
      <c r="N142" s="4"/>
      <c r="O142" s="5"/>
      <c r="P142" s="5"/>
    </row>
    <row r="143" spans="1:16" s="9" customFormat="1" ht="15" customHeight="1" x14ac:dyDescent="0.25">
      <c r="A143" s="10"/>
      <c r="B143" s="10"/>
      <c r="C143" s="10"/>
      <c r="D143" s="10"/>
      <c r="E143" s="10"/>
      <c r="F143" s="13"/>
      <c r="G143" s="13"/>
      <c r="H143" s="13"/>
      <c r="I143" s="13"/>
      <c r="J143" s="13"/>
      <c r="K143" s="13"/>
      <c r="M143" s="4"/>
      <c r="N143" s="4"/>
      <c r="O143" s="5"/>
      <c r="P143" s="5"/>
    </row>
    <row r="144" spans="1:16" s="9" customFormat="1" ht="15" customHeight="1" x14ac:dyDescent="0.25">
      <c r="A144" s="10"/>
      <c r="B144" s="10"/>
      <c r="C144" s="10"/>
      <c r="D144" s="10"/>
      <c r="E144" s="10"/>
      <c r="F144" s="13"/>
      <c r="G144" s="13"/>
      <c r="H144" s="13"/>
      <c r="I144" s="13"/>
      <c r="J144" s="13"/>
      <c r="K144" s="13"/>
      <c r="M144" s="4"/>
      <c r="N144" s="4"/>
      <c r="O144" s="5"/>
      <c r="P144" s="5"/>
    </row>
    <row r="145" spans="1:16" s="9" customFormat="1" ht="15" customHeight="1" x14ac:dyDescent="0.25">
      <c r="A145" s="10"/>
      <c r="B145" s="10"/>
      <c r="C145" s="10"/>
      <c r="D145" s="10"/>
      <c r="E145" s="10"/>
      <c r="F145" s="13"/>
      <c r="G145" s="13"/>
      <c r="H145" s="13"/>
      <c r="I145" s="13"/>
      <c r="J145" s="13"/>
      <c r="K145" s="13"/>
      <c r="M145" s="4"/>
      <c r="N145" s="4"/>
      <c r="O145" s="5"/>
      <c r="P145" s="5"/>
    </row>
    <row r="146" spans="1:16" s="9" customFormat="1" ht="15" customHeight="1" x14ac:dyDescent="0.25">
      <c r="A146" s="10"/>
      <c r="B146" s="10"/>
      <c r="C146" s="10"/>
      <c r="D146" s="10"/>
      <c r="E146" s="10"/>
      <c r="F146" s="13"/>
      <c r="G146" s="13"/>
      <c r="H146" s="13"/>
      <c r="I146" s="13"/>
      <c r="J146" s="13"/>
      <c r="K146" s="13"/>
      <c r="M146" s="4"/>
      <c r="N146" s="4"/>
      <c r="O146" s="5"/>
      <c r="P146" s="5"/>
    </row>
    <row r="147" spans="1:16" s="9" customFormat="1" ht="15" customHeight="1" x14ac:dyDescent="0.25">
      <c r="A147" s="10"/>
      <c r="B147" s="10"/>
      <c r="C147" s="10"/>
      <c r="D147" s="10"/>
      <c r="E147" s="10"/>
      <c r="F147" s="13"/>
      <c r="G147" s="13"/>
      <c r="H147" s="13"/>
      <c r="I147" s="13"/>
      <c r="J147" s="13"/>
      <c r="K147" s="13"/>
      <c r="M147" s="4"/>
      <c r="N147" s="4"/>
      <c r="O147" s="5"/>
      <c r="P147" s="5"/>
    </row>
    <row r="148" spans="1:16" s="9" customFormat="1" ht="15" customHeight="1" x14ac:dyDescent="0.25">
      <c r="A148" s="10"/>
      <c r="B148" s="10"/>
      <c r="C148" s="10"/>
      <c r="D148" s="10"/>
      <c r="E148" s="10"/>
      <c r="F148" s="13"/>
      <c r="G148" s="13"/>
      <c r="H148" s="13"/>
      <c r="I148" s="13"/>
      <c r="J148" s="13"/>
      <c r="K148" s="13"/>
      <c r="M148" s="4"/>
      <c r="N148" s="4"/>
      <c r="O148" s="5"/>
      <c r="P148" s="5"/>
    </row>
    <row r="149" spans="1:16" s="9" customFormat="1" ht="15" customHeight="1" x14ac:dyDescent="0.25">
      <c r="A149" s="10"/>
      <c r="B149" s="10"/>
      <c r="C149" s="10"/>
      <c r="D149" s="10"/>
      <c r="E149" s="10"/>
      <c r="F149" s="13"/>
      <c r="G149" s="13"/>
      <c r="H149" s="13"/>
      <c r="I149" s="13"/>
      <c r="J149" s="13"/>
      <c r="K149" s="13"/>
      <c r="M149" s="4"/>
      <c r="N149" s="4"/>
      <c r="O149" s="5"/>
      <c r="P149" s="5"/>
    </row>
    <row r="150" spans="1:16" s="9" customFormat="1" ht="15" customHeight="1" x14ac:dyDescent="0.25">
      <c r="A150" s="10"/>
      <c r="B150" s="10"/>
      <c r="C150" s="10"/>
      <c r="D150" s="10"/>
      <c r="E150" s="10"/>
      <c r="F150" s="13"/>
      <c r="G150" s="13"/>
      <c r="H150" s="13"/>
      <c r="I150" s="13"/>
      <c r="J150" s="13"/>
      <c r="K150" s="13"/>
      <c r="M150" s="4"/>
      <c r="N150" s="4"/>
      <c r="O150" s="5"/>
      <c r="P150" s="5"/>
    </row>
    <row r="151" spans="1:16" s="9" customFormat="1" ht="15" customHeight="1" x14ac:dyDescent="0.25">
      <c r="A151" s="10"/>
      <c r="B151" s="10"/>
      <c r="C151" s="10"/>
      <c r="D151" s="10"/>
      <c r="E151" s="10"/>
      <c r="F151" s="13"/>
      <c r="G151" s="13"/>
      <c r="H151" s="13"/>
      <c r="I151" s="13"/>
      <c r="J151" s="13"/>
      <c r="K151" s="13"/>
      <c r="M151" s="4"/>
      <c r="N151" s="4"/>
      <c r="O151" s="5"/>
      <c r="P151" s="5"/>
    </row>
    <row r="152" spans="1:16" s="9" customFormat="1" ht="15" customHeight="1" x14ac:dyDescent="0.25">
      <c r="A152" s="10"/>
      <c r="B152" s="10"/>
      <c r="C152" s="10"/>
      <c r="D152" s="10"/>
      <c r="E152" s="10"/>
      <c r="F152" s="13"/>
      <c r="G152" s="13"/>
      <c r="H152" s="13"/>
      <c r="I152" s="13"/>
      <c r="J152" s="13"/>
      <c r="K152" s="13"/>
      <c r="M152" s="4"/>
      <c r="N152" s="4"/>
      <c r="O152" s="5"/>
      <c r="P152" s="5"/>
    </row>
    <row r="153" spans="1:16" s="9" customFormat="1" ht="15" customHeight="1" x14ac:dyDescent="0.25">
      <c r="A153" s="10"/>
      <c r="B153" s="10"/>
      <c r="C153" s="10"/>
      <c r="D153" s="10"/>
      <c r="E153" s="10"/>
      <c r="F153" s="13"/>
      <c r="G153" s="13"/>
      <c r="H153" s="13"/>
      <c r="I153" s="13"/>
      <c r="J153" s="13"/>
      <c r="K153" s="13"/>
      <c r="M153" s="4"/>
      <c r="N153" s="4"/>
      <c r="O153" s="5"/>
      <c r="P153" s="5"/>
    </row>
    <row r="154" spans="1:16" s="9" customFormat="1" ht="15" customHeight="1" x14ac:dyDescent="0.25">
      <c r="A154" s="10"/>
      <c r="B154" s="10"/>
      <c r="C154" s="10"/>
      <c r="D154" s="10"/>
      <c r="E154" s="10"/>
      <c r="F154" s="13"/>
      <c r="G154" s="13"/>
      <c r="H154" s="13"/>
      <c r="I154" s="13"/>
      <c r="J154" s="13"/>
      <c r="K154" s="13"/>
      <c r="M154" s="4"/>
      <c r="N154" s="4"/>
      <c r="O154" s="5"/>
      <c r="P154" s="5"/>
    </row>
    <row r="155" spans="1:16" s="9" customFormat="1" ht="15" customHeight="1" x14ac:dyDescent="0.25">
      <c r="A155" s="10"/>
      <c r="B155" s="10"/>
      <c r="C155" s="10"/>
      <c r="D155" s="10"/>
      <c r="E155" s="10"/>
      <c r="F155" s="13"/>
      <c r="G155" s="13"/>
      <c r="H155" s="13"/>
      <c r="I155" s="13"/>
      <c r="J155" s="13"/>
      <c r="K155" s="13"/>
      <c r="M155" s="4"/>
      <c r="N155" s="4"/>
      <c r="O155" s="5"/>
      <c r="P155" s="5"/>
    </row>
    <row r="156" spans="1:16" s="9" customFormat="1" ht="15" customHeight="1" x14ac:dyDescent="0.25">
      <c r="A156" s="10"/>
      <c r="B156" s="10"/>
      <c r="C156" s="10"/>
      <c r="D156" s="10"/>
      <c r="E156" s="10"/>
      <c r="F156" s="13"/>
      <c r="G156" s="13"/>
      <c r="H156" s="13"/>
      <c r="I156" s="13"/>
      <c r="J156" s="13"/>
      <c r="K156" s="13"/>
      <c r="M156" s="4"/>
      <c r="N156" s="4"/>
      <c r="O156" s="5"/>
      <c r="P156" s="5"/>
    </row>
    <row r="157" spans="1:16" s="9" customFormat="1" ht="15" customHeight="1" x14ac:dyDescent="0.25">
      <c r="A157" s="10"/>
      <c r="B157" s="10"/>
      <c r="C157" s="10"/>
      <c r="D157" s="10"/>
      <c r="E157" s="10"/>
      <c r="F157" s="13"/>
      <c r="G157" s="13"/>
      <c r="H157" s="13"/>
      <c r="I157" s="13"/>
      <c r="J157" s="13"/>
      <c r="K157" s="13"/>
      <c r="M157" s="4"/>
      <c r="N157" s="4"/>
      <c r="O157" s="5"/>
      <c r="P157" s="5"/>
    </row>
    <row r="158" spans="1:16" s="9" customFormat="1" ht="15" customHeight="1" x14ac:dyDescent="0.25">
      <c r="A158" s="10"/>
      <c r="B158" s="10"/>
      <c r="C158" s="10"/>
      <c r="D158" s="10"/>
      <c r="E158" s="10"/>
      <c r="F158" s="13"/>
      <c r="G158" s="13"/>
      <c r="H158" s="13"/>
      <c r="I158" s="13"/>
      <c r="J158" s="13"/>
      <c r="K158" s="13"/>
      <c r="M158" s="4"/>
      <c r="N158" s="4"/>
      <c r="O158" s="5"/>
      <c r="P158" s="5"/>
    </row>
    <row r="159" spans="1:16" s="9" customFormat="1" ht="15" customHeight="1" x14ac:dyDescent="0.25">
      <c r="A159" s="10"/>
      <c r="B159" s="10"/>
      <c r="C159" s="10"/>
      <c r="D159" s="10"/>
      <c r="E159" s="10"/>
      <c r="F159" s="13"/>
      <c r="G159" s="13"/>
      <c r="H159" s="13"/>
      <c r="I159" s="13"/>
      <c r="J159" s="13"/>
      <c r="K159" s="13"/>
      <c r="M159" s="4"/>
      <c r="N159" s="4"/>
      <c r="O159" s="5"/>
      <c r="P159" s="5"/>
    </row>
    <row r="160" spans="1:16" s="9" customFormat="1" ht="15" customHeight="1" x14ac:dyDescent="0.25">
      <c r="A160" s="10"/>
      <c r="B160" s="10"/>
      <c r="C160" s="10"/>
      <c r="D160" s="10"/>
      <c r="E160" s="10"/>
      <c r="F160" s="13"/>
      <c r="G160" s="13"/>
      <c r="H160" s="13"/>
      <c r="I160" s="13"/>
      <c r="J160" s="13"/>
      <c r="K160" s="13"/>
      <c r="M160" s="4"/>
      <c r="N160" s="4"/>
      <c r="O160" s="5"/>
      <c r="P160" s="5"/>
    </row>
    <row r="161" spans="1:16" s="9" customFormat="1" ht="15" customHeight="1" x14ac:dyDescent="0.25">
      <c r="A161" s="10"/>
      <c r="B161" s="10"/>
      <c r="C161" s="10"/>
      <c r="D161" s="10"/>
      <c r="E161" s="10"/>
      <c r="F161" s="13"/>
      <c r="G161" s="13"/>
      <c r="H161" s="13"/>
      <c r="I161" s="13"/>
      <c r="J161" s="13"/>
      <c r="K161" s="13"/>
      <c r="M161" s="4"/>
      <c r="N161" s="4"/>
      <c r="O161" s="5"/>
      <c r="P161" s="5"/>
    </row>
    <row r="162" spans="1:16" s="9" customFormat="1" ht="15" customHeight="1" x14ac:dyDescent="0.25">
      <c r="A162" s="10"/>
      <c r="B162" s="10"/>
      <c r="C162" s="10"/>
      <c r="D162" s="10"/>
      <c r="E162" s="10"/>
      <c r="F162" s="13"/>
      <c r="G162" s="13"/>
      <c r="H162" s="13"/>
      <c r="I162" s="13"/>
      <c r="J162" s="13"/>
      <c r="K162" s="13"/>
      <c r="M162" s="4"/>
      <c r="N162" s="4"/>
      <c r="O162" s="5"/>
      <c r="P162" s="5"/>
    </row>
    <row r="163" spans="1:16" s="9" customFormat="1" ht="15" customHeight="1" x14ac:dyDescent="0.25">
      <c r="A163" s="10"/>
      <c r="B163" s="10"/>
      <c r="C163" s="10"/>
      <c r="D163" s="10"/>
      <c r="E163" s="10"/>
      <c r="F163" s="13"/>
      <c r="G163" s="13"/>
      <c r="H163" s="13"/>
      <c r="I163" s="13"/>
      <c r="J163" s="13"/>
      <c r="K163" s="13"/>
      <c r="M163" s="4"/>
      <c r="N163" s="4"/>
      <c r="O163" s="5"/>
      <c r="P163" s="5"/>
    </row>
    <row r="164" spans="1:16" s="9" customFormat="1" ht="15" customHeight="1" x14ac:dyDescent="0.25">
      <c r="A164" s="10"/>
      <c r="B164" s="10"/>
      <c r="C164" s="10"/>
      <c r="D164" s="10"/>
      <c r="E164" s="10"/>
      <c r="F164" s="13"/>
      <c r="G164" s="13"/>
      <c r="H164" s="13"/>
      <c r="I164" s="13"/>
      <c r="J164" s="13"/>
      <c r="K164" s="13"/>
      <c r="M164" s="4"/>
      <c r="N164" s="4"/>
      <c r="O164" s="5"/>
      <c r="P164" s="5"/>
    </row>
    <row r="165" spans="1:16" s="9" customFormat="1" ht="15" customHeight="1" x14ac:dyDescent="0.25">
      <c r="A165" s="10"/>
      <c r="B165" s="10"/>
      <c r="C165" s="10"/>
      <c r="D165" s="10"/>
      <c r="E165" s="10"/>
      <c r="F165" s="13"/>
      <c r="G165" s="13"/>
      <c r="H165" s="13"/>
      <c r="I165" s="13"/>
      <c r="J165" s="13"/>
      <c r="K165" s="13"/>
      <c r="M165" s="4"/>
      <c r="N165" s="4"/>
      <c r="O165" s="5"/>
      <c r="P165" s="5"/>
    </row>
    <row r="166" spans="1:16" s="9" customFormat="1" ht="15" customHeight="1" x14ac:dyDescent="0.25">
      <c r="A166" s="10"/>
      <c r="B166" s="10"/>
      <c r="C166" s="10"/>
      <c r="D166" s="10"/>
      <c r="E166" s="10"/>
      <c r="F166" s="13"/>
      <c r="G166" s="13"/>
      <c r="H166" s="13"/>
      <c r="I166" s="13"/>
      <c r="J166" s="13"/>
      <c r="K166" s="13"/>
      <c r="M166" s="4"/>
      <c r="N166" s="4"/>
      <c r="O166" s="5"/>
      <c r="P166" s="5"/>
    </row>
    <row r="167" spans="1:16" s="9" customFormat="1" ht="15" customHeight="1" x14ac:dyDescent="0.25">
      <c r="A167" s="10"/>
      <c r="B167" s="10"/>
      <c r="C167" s="10"/>
      <c r="D167" s="10"/>
      <c r="E167" s="10"/>
      <c r="F167" s="10"/>
      <c r="G167" s="13"/>
      <c r="H167" s="13"/>
      <c r="I167" s="13"/>
      <c r="J167" s="13"/>
      <c r="K167" s="13"/>
      <c r="M167" s="4"/>
      <c r="N167" s="4"/>
      <c r="O167" s="5"/>
      <c r="P167" s="5"/>
    </row>
    <row r="168" spans="1:16" s="9" customFormat="1" ht="1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M168" s="4"/>
      <c r="N168" s="4"/>
      <c r="O168" s="5"/>
      <c r="P168" s="5"/>
    </row>
    <row r="169" spans="1:16" s="9" customFormat="1" ht="1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M169" s="4"/>
      <c r="N169" s="4"/>
      <c r="O169" s="5"/>
      <c r="P169" s="5"/>
    </row>
    <row r="170" spans="1:16" s="9" customFormat="1" ht="1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M170" s="4"/>
      <c r="N170" s="4"/>
      <c r="O170" s="5"/>
      <c r="P170" s="5"/>
    </row>
    <row r="171" spans="1:16" s="9" customFormat="1" ht="1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M171" s="4"/>
      <c r="N171" s="4"/>
      <c r="O171" s="5"/>
      <c r="P171" s="5"/>
    </row>
    <row r="172" spans="1:16" s="9" customFormat="1" ht="1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M172" s="4"/>
      <c r="N172" s="4"/>
      <c r="O172" s="5"/>
      <c r="P172" s="5"/>
    </row>
    <row r="173" spans="1:16" s="9" customFormat="1" ht="1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M173" s="4"/>
      <c r="N173" s="4"/>
      <c r="O173" s="5"/>
      <c r="P173" s="5"/>
    </row>
    <row r="174" spans="1:16" s="9" customFormat="1" ht="1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M174" s="4"/>
      <c r="N174" s="4"/>
      <c r="O174" s="5"/>
      <c r="P174" s="5"/>
    </row>
    <row r="175" spans="1:16" s="9" customFormat="1" ht="1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M175" s="4"/>
      <c r="N175" s="4"/>
      <c r="O175" s="5"/>
      <c r="P175" s="5"/>
    </row>
    <row r="176" spans="1:16" s="9" customFormat="1" ht="1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M176" s="4"/>
      <c r="N176" s="4"/>
      <c r="O176" s="5"/>
      <c r="P176" s="5"/>
    </row>
    <row r="177" spans="1:16" s="9" customFormat="1" ht="1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M177" s="4"/>
      <c r="N177" s="4"/>
      <c r="O177" s="5"/>
      <c r="P177" s="5"/>
    </row>
    <row r="178" spans="1:16" s="9" customFormat="1" ht="1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M178" s="4"/>
      <c r="N178" s="4"/>
      <c r="O178" s="5"/>
      <c r="P178" s="5"/>
    </row>
    <row r="179" spans="1:16" s="9" customFormat="1" ht="1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M179" s="4"/>
      <c r="N179" s="4"/>
      <c r="O179" s="5"/>
      <c r="P179" s="5"/>
    </row>
    <row r="180" spans="1:16" s="9" customFormat="1" ht="1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M180" s="4"/>
      <c r="N180" s="4"/>
      <c r="O180" s="5"/>
      <c r="P180" s="5"/>
    </row>
    <row r="181" spans="1:16" s="9" customFormat="1" ht="1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M181" s="4"/>
      <c r="N181" s="4"/>
      <c r="O181" s="5"/>
      <c r="P181" s="5"/>
    </row>
    <row r="182" spans="1:16" s="9" customFormat="1" ht="1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M182" s="4"/>
      <c r="N182" s="4"/>
      <c r="O182" s="5"/>
      <c r="P182" s="5"/>
    </row>
    <row r="183" spans="1:16" s="9" customFormat="1" ht="1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M183" s="4"/>
      <c r="N183" s="4"/>
      <c r="O183" s="5"/>
      <c r="P183" s="5"/>
    </row>
    <row r="184" spans="1:16" s="9" customFormat="1" ht="1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M184" s="4"/>
      <c r="N184" s="4"/>
      <c r="O184" s="5"/>
      <c r="P184" s="5"/>
    </row>
    <row r="185" spans="1:16" s="9" customFormat="1" ht="1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M185" s="4"/>
      <c r="N185" s="4"/>
      <c r="O185" s="5"/>
      <c r="P185" s="5"/>
    </row>
    <row r="186" spans="1:16" s="9" customFormat="1" ht="1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M186" s="4"/>
      <c r="N186" s="4"/>
      <c r="O186" s="5"/>
      <c r="P186" s="5"/>
    </row>
    <row r="187" spans="1:16" s="9" customFormat="1" ht="1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M187" s="4"/>
      <c r="N187" s="4"/>
      <c r="O187" s="5"/>
      <c r="P187" s="5"/>
    </row>
    <row r="188" spans="1:16" s="9" customFormat="1" ht="1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M188" s="4"/>
      <c r="N188" s="4"/>
      <c r="O188" s="5"/>
      <c r="P188" s="5"/>
    </row>
    <row r="189" spans="1:16" s="9" customFormat="1" ht="1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M189" s="4"/>
      <c r="N189" s="4"/>
      <c r="O189" s="5"/>
      <c r="P189" s="5"/>
    </row>
    <row r="190" spans="1:16" s="9" customFormat="1" ht="1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M190" s="4"/>
      <c r="N190" s="4"/>
      <c r="O190" s="5"/>
      <c r="P190" s="5"/>
    </row>
    <row r="191" spans="1:16" s="9" customFormat="1" ht="1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M191" s="4"/>
      <c r="N191" s="4"/>
      <c r="O191" s="5"/>
      <c r="P191" s="5"/>
    </row>
    <row r="192" spans="1:16" s="9" customFormat="1" ht="1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M192" s="4"/>
      <c r="N192" s="4"/>
      <c r="O192" s="5"/>
      <c r="P192" s="5"/>
    </row>
    <row r="193" spans="1:16" s="9" customFormat="1" ht="1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M193" s="4"/>
      <c r="N193" s="4"/>
      <c r="O193" s="5"/>
      <c r="P193" s="5"/>
    </row>
    <row r="194" spans="1:16" s="9" customFormat="1" ht="1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M194" s="4"/>
      <c r="N194" s="4"/>
      <c r="O194" s="5"/>
      <c r="P194" s="5"/>
    </row>
    <row r="195" spans="1:16" s="9" customFormat="1" ht="1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M195" s="4"/>
      <c r="N195" s="4"/>
      <c r="O195" s="5"/>
      <c r="P195" s="5"/>
    </row>
    <row r="196" spans="1:16" s="9" customFormat="1" ht="1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M196" s="4"/>
      <c r="N196" s="4"/>
      <c r="O196" s="5"/>
      <c r="P196" s="5"/>
    </row>
    <row r="197" spans="1:16" s="9" customFormat="1" ht="1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M197" s="4"/>
      <c r="N197" s="4"/>
      <c r="O197" s="5"/>
      <c r="P197" s="5"/>
    </row>
    <row r="198" spans="1:16" s="9" customFormat="1" ht="1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M198" s="4"/>
      <c r="N198" s="4"/>
      <c r="O198" s="5"/>
      <c r="P198" s="5"/>
    </row>
    <row r="199" spans="1:16" s="9" customFormat="1" ht="1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M199" s="4"/>
      <c r="N199" s="4"/>
      <c r="O199" s="5"/>
      <c r="P199" s="5"/>
    </row>
    <row r="200" spans="1:16" s="9" customFormat="1" ht="1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M200" s="4"/>
      <c r="N200" s="4"/>
      <c r="O200" s="5"/>
      <c r="P200" s="5"/>
    </row>
    <row r="201" spans="1:16" s="9" customFormat="1" ht="1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M201" s="4"/>
      <c r="N201" s="4"/>
      <c r="O201" s="5"/>
      <c r="P201" s="5"/>
    </row>
    <row r="202" spans="1:16" s="9" customFormat="1" ht="1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M202" s="4"/>
      <c r="N202" s="4"/>
      <c r="O202" s="5"/>
      <c r="P202" s="5"/>
    </row>
    <row r="203" spans="1:16" s="9" customFormat="1" ht="1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M203" s="4"/>
      <c r="N203" s="4"/>
      <c r="O203" s="5"/>
      <c r="P203" s="5"/>
    </row>
    <row r="204" spans="1:16" s="9" customFormat="1" ht="1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M204" s="4"/>
      <c r="N204" s="4"/>
      <c r="O204" s="5"/>
      <c r="P204" s="5"/>
    </row>
    <row r="205" spans="1:16" s="9" customFormat="1" ht="1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4"/>
      <c r="N205" s="4"/>
      <c r="O205" s="5"/>
      <c r="P205" s="5"/>
    </row>
    <row r="206" spans="1:16" s="9" customFormat="1" ht="1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M206" s="4"/>
      <c r="N206" s="4"/>
      <c r="O206" s="5"/>
      <c r="P206" s="5"/>
    </row>
    <row r="207" spans="1:16" s="9" customFormat="1" ht="1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M207" s="4"/>
      <c r="N207" s="4"/>
      <c r="O207" s="5"/>
      <c r="P207" s="5"/>
    </row>
    <row r="208" spans="1:16" s="9" customFormat="1" ht="1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M208" s="4"/>
      <c r="N208" s="4"/>
      <c r="O208" s="5"/>
      <c r="P208" s="5"/>
    </row>
    <row r="209" spans="1:16" s="9" customFormat="1" ht="1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M209" s="4"/>
      <c r="N209" s="4"/>
      <c r="O209" s="5"/>
      <c r="P209" s="5"/>
    </row>
    <row r="210" spans="1:16" s="9" customFormat="1" ht="1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M210" s="4"/>
      <c r="N210" s="4"/>
      <c r="O210" s="5"/>
      <c r="P210" s="5"/>
    </row>
    <row r="211" spans="1:16" s="9" customFormat="1" ht="1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M211" s="4"/>
      <c r="N211" s="4"/>
      <c r="O211" s="5"/>
      <c r="P211" s="5"/>
    </row>
    <row r="212" spans="1:16" s="9" customFormat="1" ht="1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M212" s="4"/>
      <c r="N212" s="4"/>
      <c r="O212" s="5"/>
      <c r="P212" s="5"/>
    </row>
    <row r="213" spans="1:16" s="9" customFormat="1" ht="1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M213" s="4"/>
      <c r="N213" s="4"/>
      <c r="O213" s="5"/>
      <c r="P213" s="5"/>
    </row>
    <row r="214" spans="1:16" s="9" customFormat="1" ht="1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M214" s="4"/>
      <c r="N214" s="4"/>
      <c r="O214" s="5"/>
      <c r="P214" s="5"/>
    </row>
    <row r="215" spans="1:16" s="9" customFormat="1" ht="1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M215" s="4"/>
      <c r="N215" s="4"/>
      <c r="O215" s="5"/>
      <c r="P215" s="5"/>
    </row>
    <row r="216" spans="1:16" s="9" customFormat="1" ht="1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M216" s="4"/>
      <c r="N216" s="4"/>
      <c r="O216" s="5"/>
      <c r="P216" s="5"/>
    </row>
    <row r="217" spans="1:16" s="9" customFormat="1" ht="1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M217" s="4"/>
      <c r="N217" s="4"/>
      <c r="O217" s="5"/>
      <c r="P217" s="5"/>
    </row>
    <row r="218" spans="1:16" s="9" customFormat="1" ht="1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M218" s="4"/>
      <c r="N218" s="4"/>
      <c r="O218" s="5"/>
      <c r="P218" s="5"/>
    </row>
    <row r="219" spans="1:16" s="9" customFormat="1" ht="1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M219" s="4"/>
      <c r="N219" s="4"/>
      <c r="O219" s="5"/>
      <c r="P219" s="5"/>
    </row>
    <row r="220" spans="1:16" s="9" customFormat="1" ht="1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M220" s="4"/>
      <c r="N220" s="4"/>
      <c r="O220" s="5"/>
      <c r="P220" s="5"/>
    </row>
    <row r="221" spans="1:16" s="9" customFormat="1" ht="1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M221" s="4"/>
      <c r="N221" s="4"/>
      <c r="O221" s="5"/>
      <c r="P221" s="5"/>
    </row>
    <row r="222" spans="1:16" s="9" customFormat="1" ht="1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M222" s="4"/>
      <c r="N222" s="4"/>
      <c r="O222" s="5"/>
      <c r="P222" s="5"/>
    </row>
    <row r="223" spans="1:16" s="9" customFormat="1" ht="1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M223" s="4"/>
      <c r="N223" s="4"/>
      <c r="O223" s="5"/>
      <c r="P223" s="5"/>
    </row>
    <row r="224" spans="1:16" s="9" customFormat="1" ht="1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M224" s="4"/>
      <c r="N224" s="4"/>
      <c r="O224" s="5"/>
      <c r="P224" s="5"/>
    </row>
    <row r="225" spans="1:16" s="9" customFormat="1" ht="1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M225" s="4"/>
      <c r="N225" s="4"/>
      <c r="O225" s="5"/>
      <c r="P225" s="5"/>
    </row>
    <row r="226" spans="1:16" s="9" customFormat="1" ht="1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M226" s="4"/>
      <c r="N226" s="4"/>
      <c r="O226" s="5"/>
      <c r="P226" s="5"/>
    </row>
    <row r="227" spans="1:16" s="9" customFormat="1" ht="1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M227" s="4"/>
      <c r="N227" s="4"/>
      <c r="O227" s="5"/>
      <c r="P227" s="5"/>
    </row>
    <row r="228" spans="1:16" s="9" customFormat="1" ht="1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M228" s="4"/>
      <c r="N228" s="4"/>
      <c r="O228" s="5"/>
      <c r="P228" s="5"/>
    </row>
    <row r="229" spans="1:16" s="9" customFormat="1" ht="1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M229" s="4"/>
      <c r="N229" s="4"/>
      <c r="O229" s="5"/>
      <c r="P229" s="5"/>
    </row>
    <row r="230" spans="1:16" s="9" customFormat="1" ht="1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M230" s="4"/>
      <c r="N230" s="4"/>
      <c r="O230" s="5"/>
      <c r="P230" s="5"/>
    </row>
    <row r="231" spans="1:16" s="9" customFormat="1" ht="1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M231" s="4"/>
      <c r="N231" s="4"/>
      <c r="O231" s="5"/>
      <c r="P231" s="5"/>
    </row>
    <row r="232" spans="1:16" s="9" customFormat="1" ht="1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M232" s="4"/>
      <c r="N232" s="4"/>
      <c r="O232" s="5"/>
      <c r="P232" s="5"/>
    </row>
    <row r="233" spans="1:16" s="9" customFormat="1" ht="1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M233" s="4"/>
      <c r="N233" s="4"/>
      <c r="O233" s="5"/>
      <c r="P233" s="5"/>
    </row>
    <row r="234" spans="1:16" s="9" customFormat="1" ht="1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M234" s="4"/>
      <c r="N234" s="4"/>
      <c r="O234" s="5"/>
      <c r="P234" s="5"/>
    </row>
    <row r="235" spans="1:16" s="9" customFormat="1" ht="1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M235" s="4"/>
      <c r="N235" s="4"/>
      <c r="O235" s="5"/>
      <c r="P235" s="5"/>
    </row>
    <row r="236" spans="1:16" s="9" customFormat="1" ht="1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M236" s="4"/>
      <c r="N236" s="4"/>
      <c r="O236" s="5"/>
      <c r="P236" s="5"/>
    </row>
    <row r="237" spans="1:16" s="9" customFormat="1" ht="1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M237" s="4"/>
      <c r="N237" s="4"/>
      <c r="O237" s="5"/>
      <c r="P237" s="5"/>
    </row>
    <row r="238" spans="1:16" s="9" customForma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M238" s="4"/>
      <c r="N238" s="4"/>
      <c r="O238" s="5"/>
      <c r="P238" s="5"/>
    </row>
    <row r="239" spans="1:16" s="9" customForma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M239" s="4"/>
      <c r="N239" s="4"/>
      <c r="O239" s="5"/>
      <c r="P239" s="5"/>
    </row>
    <row r="240" spans="1:16" s="9" customForma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M240" s="4"/>
      <c r="N240" s="4"/>
      <c r="O240" s="5"/>
      <c r="P240" s="5"/>
    </row>
    <row r="241" spans="1:16" s="9" customForma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M241" s="4"/>
      <c r="N241" s="4"/>
      <c r="O241" s="5"/>
      <c r="P241" s="5"/>
    </row>
    <row r="242" spans="1:16" s="9" customForma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M242" s="4"/>
      <c r="N242" s="4"/>
      <c r="O242" s="5"/>
      <c r="P242" s="5"/>
    </row>
    <row r="243" spans="1:16" s="9" customForma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M243" s="4"/>
      <c r="N243" s="4"/>
      <c r="O243" s="5"/>
      <c r="P243" s="5"/>
    </row>
    <row r="244" spans="1:16" s="9" customForma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M244" s="4"/>
      <c r="N244" s="4"/>
      <c r="O244" s="5"/>
      <c r="P244" s="5"/>
    </row>
    <row r="245" spans="1:16" s="9" customForma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M245" s="4"/>
      <c r="N245" s="4"/>
      <c r="O245" s="5"/>
      <c r="P245" s="5"/>
    </row>
    <row r="246" spans="1:16" s="9" customForma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M246" s="4"/>
      <c r="N246" s="4"/>
      <c r="O246" s="5"/>
      <c r="P246" s="5"/>
    </row>
    <row r="247" spans="1:16" s="9" customForma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M247" s="4"/>
      <c r="N247" s="4"/>
      <c r="O247" s="5"/>
      <c r="P247" s="5"/>
    </row>
    <row r="248" spans="1:16" s="9" customForma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M248" s="4"/>
      <c r="N248" s="4"/>
      <c r="O248" s="5"/>
      <c r="P248" s="5"/>
    </row>
    <row r="249" spans="1:16" s="9" customForma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M249" s="4"/>
      <c r="N249" s="4"/>
      <c r="O249" s="5"/>
      <c r="P249" s="5"/>
    </row>
    <row r="250" spans="1:16" s="9" customForma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M250" s="4"/>
      <c r="N250" s="4"/>
      <c r="O250" s="5"/>
      <c r="P250" s="5"/>
    </row>
    <row r="251" spans="1:16" s="9" customForma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M251" s="4"/>
      <c r="N251" s="4"/>
      <c r="O251" s="5"/>
      <c r="P251" s="5"/>
    </row>
    <row r="252" spans="1:16" s="9" customForma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M252" s="4"/>
      <c r="N252" s="4"/>
      <c r="O252" s="5"/>
      <c r="P252" s="5"/>
    </row>
    <row r="253" spans="1:16" s="9" customForma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M253" s="4"/>
      <c r="N253" s="4"/>
      <c r="O253" s="5"/>
      <c r="P253" s="5"/>
    </row>
    <row r="254" spans="1:16" s="9" customForma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M254" s="4"/>
      <c r="N254" s="4"/>
      <c r="O254" s="5"/>
      <c r="P254" s="5"/>
    </row>
    <row r="255" spans="1:16" s="9" customForma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M255" s="4"/>
      <c r="N255" s="4"/>
      <c r="O255" s="5"/>
      <c r="P255" s="5"/>
    </row>
    <row r="256" spans="1:16" s="9" customForma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M256" s="4"/>
      <c r="N256" s="4"/>
      <c r="O256" s="5"/>
      <c r="P256" s="5"/>
    </row>
    <row r="257" spans="1:16" s="9" customForma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M257" s="4"/>
      <c r="N257" s="4"/>
      <c r="O257" s="5"/>
      <c r="P257" s="5"/>
    </row>
    <row r="258" spans="1:16" s="9" customForma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M258" s="4"/>
      <c r="N258" s="4"/>
      <c r="O258" s="5"/>
      <c r="P258" s="5"/>
    </row>
    <row r="259" spans="1:16" s="9" customForma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M259" s="4"/>
      <c r="N259" s="4"/>
      <c r="O259" s="5"/>
      <c r="P259" s="5"/>
    </row>
    <row r="260" spans="1:16" s="9" customForma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M260" s="4"/>
      <c r="N260" s="4"/>
      <c r="O260" s="5"/>
      <c r="P260" s="5"/>
    </row>
    <row r="261" spans="1:16" s="9" customForma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M261" s="4"/>
      <c r="N261" s="4"/>
      <c r="O261" s="5"/>
      <c r="P261" s="5"/>
    </row>
    <row r="262" spans="1:16" s="9" customForma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M262" s="4"/>
      <c r="N262" s="4"/>
      <c r="O262" s="5"/>
      <c r="P262" s="5"/>
    </row>
    <row r="263" spans="1:16" s="9" customForma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M263" s="4"/>
      <c r="N263" s="4"/>
      <c r="O263" s="5"/>
      <c r="P263" s="5"/>
    </row>
    <row r="264" spans="1:16" s="9" customForma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M264" s="4"/>
      <c r="N264" s="4"/>
      <c r="O264" s="5"/>
      <c r="P264" s="5"/>
    </row>
    <row r="265" spans="1:16" s="9" customForma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M265" s="4"/>
      <c r="N265" s="4"/>
      <c r="O265" s="5"/>
      <c r="P265" s="5"/>
    </row>
    <row r="266" spans="1:16" s="9" customForma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M266" s="4"/>
      <c r="N266" s="4"/>
      <c r="O266" s="5"/>
      <c r="P266" s="5"/>
    </row>
    <row r="267" spans="1:16" s="9" customForma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M267" s="4"/>
      <c r="N267" s="4"/>
      <c r="O267" s="5"/>
      <c r="P267" s="5"/>
    </row>
    <row r="268" spans="1:16" s="9" customForma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M268" s="4"/>
      <c r="N268" s="4"/>
      <c r="O268" s="5"/>
      <c r="P268" s="5"/>
    </row>
    <row r="269" spans="1:16" s="9" customForma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M269" s="4"/>
      <c r="N269" s="4"/>
      <c r="O269" s="5"/>
      <c r="P269" s="5"/>
    </row>
    <row r="270" spans="1:16" s="9" customForma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M270" s="4"/>
      <c r="N270" s="4"/>
      <c r="O270" s="5"/>
      <c r="P270" s="5"/>
    </row>
    <row r="271" spans="1:16" s="9" customForma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M271" s="4"/>
      <c r="N271" s="4"/>
      <c r="O271" s="5"/>
      <c r="P271" s="5"/>
    </row>
    <row r="272" spans="1:16" s="9" customForma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M272" s="4"/>
      <c r="N272" s="4"/>
      <c r="O272" s="5"/>
      <c r="P272" s="5"/>
    </row>
    <row r="273" spans="1:16" s="9" customForma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M273" s="4"/>
      <c r="N273" s="4"/>
      <c r="O273" s="5"/>
      <c r="P273" s="5"/>
    </row>
    <row r="274" spans="1:16" s="9" customFormat="1" x14ac:dyDescent="0.25">
      <c r="A274" s="10"/>
      <c r="B274" s="10"/>
      <c r="D274" s="10"/>
      <c r="F274" s="10"/>
      <c r="G274" s="10"/>
      <c r="H274" s="10"/>
      <c r="I274" s="10"/>
      <c r="J274" s="10"/>
      <c r="K274" s="10"/>
      <c r="M274" s="4"/>
      <c r="N274" s="4"/>
      <c r="O274" s="5"/>
      <c r="P274" s="5"/>
    </row>
    <row r="275" spans="1:16" s="9" customFormat="1" x14ac:dyDescent="0.25">
      <c r="A275" s="10"/>
      <c r="B275" s="10"/>
      <c r="D275" s="10"/>
      <c r="F275" s="10"/>
      <c r="G275" s="10"/>
      <c r="H275" s="10"/>
      <c r="I275" s="10"/>
      <c r="J275" s="10"/>
      <c r="K275" s="10"/>
      <c r="M275" s="4"/>
      <c r="N275" s="4"/>
      <c r="O275" s="5"/>
      <c r="P275" s="5"/>
    </row>
    <row r="276" spans="1:16" s="9" customFormat="1" x14ac:dyDescent="0.25">
      <c r="A276" s="10"/>
      <c r="B276" s="10"/>
      <c r="D276" s="10"/>
      <c r="F276" s="10"/>
      <c r="G276" s="10"/>
      <c r="H276" s="10"/>
      <c r="I276" s="10"/>
      <c r="J276" s="10"/>
      <c r="K276" s="10"/>
      <c r="M276" s="4"/>
      <c r="N276" s="4"/>
      <c r="O276" s="5"/>
      <c r="P276" s="5"/>
    </row>
    <row r="277" spans="1:16" s="9" customFormat="1" x14ac:dyDescent="0.25">
      <c r="A277" s="10"/>
      <c r="D277" s="10"/>
      <c r="F277" s="10"/>
      <c r="G277" s="10"/>
      <c r="H277" s="10"/>
      <c r="I277" s="10"/>
      <c r="J277" s="10"/>
      <c r="K277" s="10"/>
      <c r="M277" s="4"/>
      <c r="N277" s="4"/>
      <c r="O277" s="5"/>
      <c r="P277" s="5"/>
    </row>
    <row r="278" spans="1:16" s="9" customFormat="1" x14ac:dyDescent="0.25">
      <c r="A278" s="10"/>
      <c r="F278" s="10"/>
      <c r="G278" s="10"/>
      <c r="H278" s="10"/>
      <c r="I278" s="10"/>
      <c r="J278" s="10"/>
      <c r="K278" s="10"/>
      <c r="M278" s="4"/>
      <c r="N278" s="4"/>
      <c r="O278" s="5"/>
      <c r="P278" s="5"/>
    </row>
    <row r="279" spans="1:16" s="9" customFormat="1" x14ac:dyDescent="0.25">
      <c r="A279" s="10"/>
      <c r="F279" s="10"/>
      <c r="G279" s="10"/>
      <c r="H279" s="10"/>
      <c r="I279" s="10"/>
      <c r="J279" s="10"/>
      <c r="K279" s="10"/>
      <c r="M279" s="4"/>
      <c r="N279" s="4"/>
      <c r="O279" s="5"/>
      <c r="P279" s="5"/>
    </row>
    <row r="280" spans="1:16" s="9" customFormat="1" x14ac:dyDescent="0.25">
      <c r="A280" s="10"/>
      <c r="F280" s="10"/>
      <c r="G280" s="10"/>
      <c r="H280" s="10"/>
      <c r="I280" s="10"/>
      <c r="J280" s="10"/>
      <c r="K280" s="10"/>
      <c r="M280" s="4"/>
      <c r="N280" s="4"/>
      <c r="O280" s="5"/>
      <c r="P280" s="5"/>
    </row>
    <row r="281" spans="1:16" s="9" customFormat="1" x14ac:dyDescent="0.25">
      <c r="A281" s="10"/>
      <c r="F281" s="10"/>
      <c r="G281" s="10"/>
      <c r="H281" s="10"/>
      <c r="I281" s="10"/>
      <c r="J281" s="10"/>
      <c r="K281" s="10"/>
      <c r="M281" s="4"/>
      <c r="N281" s="4"/>
      <c r="O281" s="5"/>
      <c r="P281" s="5"/>
    </row>
    <row r="282" spans="1:16" s="9" customFormat="1" x14ac:dyDescent="0.25">
      <c r="A282" s="10"/>
      <c r="F282" s="10"/>
      <c r="G282" s="10"/>
      <c r="H282" s="10"/>
      <c r="I282" s="10"/>
      <c r="J282" s="10"/>
      <c r="K282" s="10"/>
      <c r="M282" s="4"/>
      <c r="N282" s="4"/>
      <c r="O282" s="5"/>
      <c r="P282" s="5"/>
    </row>
    <row r="283" spans="1:16" s="9" customFormat="1" x14ac:dyDescent="0.25">
      <c r="A283" s="10"/>
      <c r="F283" s="10"/>
      <c r="G283" s="10"/>
      <c r="H283" s="10"/>
      <c r="I283" s="10"/>
      <c r="J283" s="10"/>
      <c r="K283" s="10"/>
      <c r="M283" s="4"/>
      <c r="N283" s="4"/>
      <c r="O283" s="5"/>
      <c r="P283" s="5"/>
    </row>
    <row r="284" spans="1:16" s="9" customFormat="1" x14ac:dyDescent="0.25">
      <c r="A284" s="10"/>
      <c r="F284" s="10"/>
      <c r="G284" s="10"/>
      <c r="H284" s="10"/>
      <c r="I284" s="10"/>
      <c r="J284" s="10"/>
      <c r="K284" s="10"/>
      <c r="M284" s="4"/>
      <c r="N284" s="4"/>
      <c r="O284" s="5"/>
      <c r="P284" s="5"/>
    </row>
    <row r="285" spans="1:16" s="9" customFormat="1" x14ac:dyDescent="0.25">
      <c r="A285" s="10"/>
      <c r="F285" s="10"/>
      <c r="G285" s="10"/>
      <c r="H285" s="10"/>
      <c r="I285" s="10"/>
      <c r="J285" s="10"/>
      <c r="K285" s="10"/>
      <c r="M285" s="4"/>
      <c r="N285" s="4"/>
      <c r="O285" s="5"/>
      <c r="P285" s="5"/>
    </row>
    <row r="286" spans="1:16" s="9" customFormat="1" x14ac:dyDescent="0.25">
      <c r="F286" s="10"/>
      <c r="G286" s="10"/>
      <c r="H286" s="10"/>
      <c r="I286" s="10"/>
      <c r="J286" s="10"/>
      <c r="K286" s="10"/>
      <c r="M286" s="4"/>
      <c r="N286" s="4"/>
      <c r="O286" s="5"/>
      <c r="P286" s="5"/>
    </row>
    <row r="287" spans="1:16" s="9" customFormat="1" x14ac:dyDescent="0.25">
      <c r="G287" s="10"/>
      <c r="H287" s="10"/>
      <c r="I287" s="10"/>
      <c r="J287" s="10"/>
      <c r="K287" s="10"/>
      <c r="M287" s="4"/>
      <c r="N287" s="4"/>
      <c r="O287" s="5"/>
      <c r="P287" s="5"/>
    </row>
    <row r="20072" spans="10:16" s="9" customFormat="1" x14ac:dyDescent="0.25">
      <c r="J20072" s="9">
        <v>0</v>
      </c>
      <c r="M20072" s="4"/>
      <c r="N20072" s="4"/>
      <c r="O20072" s="5"/>
      <c r="P20072" s="5"/>
    </row>
  </sheetData>
  <sheetProtection formatColumns="0"/>
  <customSheetViews>
    <customSheetView guid="{06317133-151B-4DBC-8EB3-9345BA061F91}" scale="60" fitToPage="1">
      <pane ySplit="6" topLeftCell="A7" activePane="bottomLeft" state="frozen"/>
      <selection pane="bottomLeft" activeCell="F27" sqref="F27"/>
      <pageMargins left="0.11811023622047245" right="0" top="0.11811023622047245" bottom="0.11811023622047245" header="0" footer="0"/>
      <printOptions horizontalCentered="1"/>
      <pageSetup paperSize="9" scale="10" orientation="portrait" r:id="rId1"/>
      <headerFooter>
        <oddFooter>&amp;L&amp;A&amp;Rлист &amp;P    листов &amp;N</oddFooter>
      </headerFooter>
    </customSheetView>
    <customSheetView guid="{375BA386-B398-4A0E-AF86-4319F1FDDF11}" scale="90" fitToPage="1">
      <pane ySplit="6" topLeftCell="A70" activePane="bottomLeft" state="frozen"/>
      <selection pane="bottomLeft" activeCell="H12" sqref="H12"/>
      <pageMargins left="0.11811023622047245" right="0" top="0.11811023622047245" bottom="0.11811023622047245" header="0" footer="0"/>
      <printOptions horizontalCentered="1"/>
      <pageSetup paperSize="9" scale="10" orientation="portrait" r:id="rId2"/>
      <headerFooter>
        <oddFooter>&amp;L&amp;A&amp;Rлист &amp;P    листов &amp;N</oddFooter>
      </headerFooter>
    </customSheetView>
    <customSheetView guid="{45C31AC1-6FB2-488C-94EA-BCF9E79D0043}" scale="90" fitToPage="1">
      <pane ySplit="6" topLeftCell="A79" activePane="bottomLeft" state="frozen"/>
      <selection pane="bottomLeft" activeCell="B91" sqref="B91"/>
      <pageMargins left="0.11811023622047245" right="0" top="0.11811023622047245" bottom="0.11811023622047245" header="0" footer="0"/>
      <printOptions horizontalCentered="1"/>
      <pageSetup paperSize="9" scale="10" orientation="portrait" r:id="rId3"/>
      <headerFooter>
        <oddFooter>&amp;L&amp;A&amp;Rлист &amp;P    листов &amp;N</oddFooter>
      </headerFooter>
    </customSheetView>
    <customSheetView guid="{368B64E8-7AD6-4BC7-A731-9903B52ABB0C}" scale="80" fitToPage="1">
      <pane ySplit="6" topLeftCell="A85" activePane="bottomLeft" state="frozen"/>
      <selection pane="bottomLeft" activeCell="J94" sqref="J94"/>
      <pageMargins left="0.11811023622047245" right="0" top="0.11811023622047245" bottom="0.11811023622047245" header="0" footer="0"/>
      <printOptions horizontalCentered="1"/>
      <pageSetup paperSize="9" scale="10" orientation="portrait" r:id="rId4"/>
      <headerFooter>
        <oddFooter>&amp;L&amp;A&amp;Rлист &amp;P    листов &amp;N</oddFooter>
      </headerFooter>
    </customSheetView>
    <customSheetView guid="{1168776E-3CE1-4C5E-BCD8-35079C55D78E}" scale="90" fitToPage="1">
      <pane ySplit="6" topLeftCell="A79" activePane="bottomLeft" state="frozen"/>
      <selection pane="bottomLeft" activeCell="B91" sqref="B91"/>
      <pageMargins left="0.11811023622047245" right="0" top="0.11811023622047245" bottom="0.11811023622047245" header="0" footer="0"/>
      <printOptions horizontalCentered="1"/>
      <pageSetup paperSize="9" scale="10" orientation="portrait" r:id="rId5"/>
      <headerFooter>
        <oddFooter>&amp;L&amp;A&amp;Rлист &amp;P    листов &amp;N</oddFooter>
      </headerFooter>
    </customSheetView>
    <customSheetView guid="{845EA106-2CB5-4F86-BBCF-D0DE18153B1C}" scale="80" fitToPage="1">
      <pane ySplit="6" topLeftCell="A43" activePane="bottomLeft" state="frozen"/>
      <selection pane="bottomLeft" activeCell="B69" sqref="B69"/>
      <pageMargins left="0.11811023622047245" right="0" top="0.11811023622047245" bottom="0.11811023622047245" header="0" footer="0"/>
      <printOptions horizontalCentered="1"/>
      <pageSetup paperSize="9" scale="10" orientation="portrait" r:id="rId6"/>
      <headerFooter>
        <oddFooter>&amp;L&amp;A&amp;Rлист &amp;P    листов &amp;N</oddFooter>
      </headerFooter>
    </customSheetView>
    <customSheetView guid="{C29DA669-F4F9-44CD-9569-E796ADF74A86}" scale="90" fitToPage="1">
      <pane ySplit="6" topLeftCell="A61" activePane="bottomLeft" state="frozen"/>
      <selection pane="bottomLeft" activeCell="F97" sqref="F97"/>
      <pageMargins left="0.11811023622047245" right="0" top="0.11811023622047245" bottom="0.11811023622047245" header="0" footer="0"/>
      <printOptions horizontalCentered="1"/>
      <pageSetup paperSize="9" scale="10" orientation="portrait" r:id="rId7"/>
      <headerFooter>
        <oddFooter>&amp;L&amp;A&amp;Rлист &amp;P    листов &amp;N</oddFooter>
      </headerFooter>
    </customSheetView>
    <customSheetView guid="{A1BD6C0C-B1B9-4F48-A6B1-3BFD273F4CD7}" scale="90" fitToPage="1">
      <pane ySplit="6" topLeftCell="A70" activePane="bottomLeft" state="frozen"/>
      <selection pane="bottomLeft" activeCell="H12" sqref="H12"/>
      <pageMargins left="0.11811023622047245" right="0" top="0.11811023622047245" bottom="0.11811023622047245" header="0" footer="0"/>
      <printOptions horizontalCentered="1"/>
      <pageSetup paperSize="9" scale="10" orientation="portrait" r:id="rId8"/>
      <headerFooter>
        <oddFooter>&amp;L&amp;A&amp;Rлист &amp;P    листов &amp;N</oddFooter>
      </headerFooter>
    </customSheetView>
    <customSheetView guid="{D42288F7-1871-4EF6-BC87-1B9EF747C744}" scale="60" fitToPage="1">
      <pane ySplit="6" topLeftCell="A7" activePane="bottomLeft" state="frozen"/>
      <selection pane="bottomLeft" activeCell="F27" sqref="F27"/>
      <pageMargins left="0.11811023622047245" right="0" top="0.11811023622047245" bottom="0.11811023622047245" header="0" footer="0"/>
      <printOptions horizontalCentered="1"/>
      <pageSetup paperSize="9" scale="10" orientation="portrait" r:id="rId9"/>
      <headerFooter>
        <oddFooter>&amp;L&amp;A&amp;Rлист &amp;P    листов &amp;N</oddFooter>
      </headerFooter>
    </customSheetView>
    <customSheetView guid="{8C638750-2D78-446E-B8DA-A6202AF1ED31}" scale="80" fitToPage="1">
      <pane ySplit="6" topLeftCell="A85" activePane="bottomLeft" state="frozen"/>
      <selection pane="bottomLeft" activeCell="J94" sqref="J94"/>
      <pageMargins left="0.11811023622047245" right="0" top="0.11811023622047245" bottom="0.11811023622047245" header="0" footer="0"/>
      <printOptions horizontalCentered="1"/>
      <pageSetup paperSize="9" scale="10" orientation="portrait" r:id="rId10"/>
      <headerFooter>
        <oddFooter>&amp;L&amp;A&amp;Rлист &amp;P    листов &amp;N</oddFooter>
      </headerFooter>
    </customSheetView>
  </customSheetViews>
  <mergeCells count="24">
    <mergeCell ref="A1:B1"/>
    <mergeCell ref="I1:K1"/>
    <mergeCell ref="A2:B2"/>
    <mergeCell ref="I2:K2"/>
    <mergeCell ref="A3:B3"/>
    <mergeCell ref="C3:E3"/>
    <mergeCell ref="I3:K3"/>
    <mergeCell ref="A5:A6"/>
    <mergeCell ref="B5:B6"/>
    <mergeCell ref="C5:C6"/>
    <mergeCell ref="D5:D6"/>
    <mergeCell ref="E5:E6"/>
    <mergeCell ref="L5:L6"/>
    <mergeCell ref="M5:M6"/>
    <mergeCell ref="N5:N6"/>
    <mergeCell ref="B98:D98"/>
    <mergeCell ref="F98:K98"/>
    <mergeCell ref="F5:F6"/>
    <mergeCell ref="B99:D99"/>
    <mergeCell ref="F99:K99"/>
    <mergeCell ref="B100:D100"/>
    <mergeCell ref="F100:K100"/>
    <mergeCell ref="G5:J5"/>
    <mergeCell ref="K5:K6"/>
  </mergeCells>
  <printOptions horizontalCentered="1"/>
  <pageMargins left="0.11811023622047245" right="0" top="0.11811023622047245" bottom="0.11811023622047245" header="0" footer="0"/>
  <pageSetup paperSize="9" scale="10" orientation="portrait" r:id="rId11"/>
  <headerFooter>
    <oddFooter>&amp;L&amp;A&amp;Rлист &amp;P    листов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4"/>
  <sheetViews>
    <sheetView zoomScale="80" zoomScaleNormal="90" zoomScaleSheetLayoutView="90" workbookViewId="0">
      <pane ySplit="7" topLeftCell="A41" activePane="bottomLeft" state="frozen"/>
      <selection pane="bottomLeft" activeCell="B65" sqref="B65"/>
    </sheetView>
  </sheetViews>
  <sheetFormatPr defaultColWidth="8.85546875" defaultRowHeight="12.75" x14ac:dyDescent="0.2"/>
  <cols>
    <col min="1" max="1" width="7.28515625" style="280" customWidth="1"/>
    <col min="2" max="2" width="27.85546875" style="280" customWidth="1"/>
    <col min="3" max="3" width="53.28515625" style="280" customWidth="1"/>
    <col min="4" max="4" width="7" style="279" customWidth="1"/>
    <col min="5" max="5" width="14" style="280" customWidth="1"/>
    <col min="6" max="6" width="15.7109375" style="280" customWidth="1"/>
    <col min="7" max="11" width="7.7109375" style="280" customWidth="1"/>
    <col min="12" max="12" width="16.7109375" style="280" customWidth="1"/>
    <col min="13" max="13" width="14.7109375" style="280" customWidth="1"/>
    <col min="14" max="14" width="14.140625" style="280" customWidth="1"/>
    <col min="15" max="15" width="23.5703125" style="282" customWidth="1"/>
    <col min="16" max="17" width="9.140625" style="282" customWidth="1"/>
    <col min="18" max="16384" width="8.85546875" style="280"/>
  </cols>
  <sheetData>
    <row r="1" spans="1:16" ht="12" customHeight="1" x14ac:dyDescent="0.2">
      <c r="A1" s="581" t="s">
        <v>0</v>
      </c>
      <c r="B1" s="581"/>
      <c r="C1" s="278"/>
      <c r="I1" s="279"/>
      <c r="J1" s="582" t="s">
        <v>1</v>
      </c>
      <c r="K1" s="582"/>
      <c r="L1" s="582"/>
      <c r="M1" s="582"/>
      <c r="N1" s="281"/>
    </row>
    <row r="2" spans="1:16" ht="12" customHeight="1" x14ac:dyDescent="0.2">
      <c r="A2" s="581" t="s">
        <v>2</v>
      </c>
      <c r="B2" s="581"/>
      <c r="C2" s="278"/>
      <c r="J2" s="583" t="s">
        <v>3</v>
      </c>
      <c r="K2" s="583"/>
      <c r="L2" s="583"/>
      <c r="M2" s="583"/>
    </row>
    <row r="3" spans="1:16" ht="12" customHeight="1" x14ac:dyDescent="0.2">
      <c r="A3" s="581" t="s">
        <v>4</v>
      </c>
      <c r="B3" s="581"/>
      <c r="C3" s="278"/>
      <c r="J3" s="583" t="s">
        <v>127</v>
      </c>
      <c r="K3" s="583"/>
      <c r="L3" s="583"/>
      <c r="M3" s="583"/>
    </row>
    <row r="4" spans="1:16" ht="19.899999999999999" customHeight="1" x14ac:dyDescent="0.3">
      <c r="C4" s="592" t="s">
        <v>159</v>
      </c>
      <c r="D4" s="592"/>
      <c r="E4" s="593" t="s">
        <v>265</v>
      </c>
      <c r="F4" s="593"/>
      <c r="G4" s="593"/>
    </row>
    <row r="5" spans="1:16" ht="3" customHeight="1" thickBot="1" x14ac:dyDescent="0.25">
      <c r="E5" s="280" t="s">
        <v>160</v>
      </c>
    </row>
    <row r="6" spans="1:16" ht="12.75" customHeight="1" thickBot="1" x14ac:dyDescent="0.25">
      <c r="A6" s="584" t="s">
        <v>5</v>
      </c>
      <c r="B6" s="585" t="s">
        <v>161</v>
      </c>
      <c r="C6" s="584" t="s">
        <v>6</v>
      </c>
      <c r="D6" s="585" t="s">
        <v>162</v>
      </c>
      <c r="E6" s="587" t="s">
        <v>8</v>
      </c>
      <c r="F6" s="585" t="s">
        <v>163</v>
      </c>
      <c r="G6" s="587" t="s">
        <v>164</v>
      </c>
      <c r="H6" s="589" t="s">
        <v>11</v>
      </c>
      <c r="I6" s="590"/>
      <c r="J6" s="590"/>
      <c r="K6" s="590"/>
      <c r="L6" s="584" t="s">
        <v>12</v>
      </c>
      <c r="M6" s="591" t="s">
        <v>165</v>
      </c>
      <c r="N6" s="283"/>
      <c r="O6" s="284" t="s">
        <v>166</v>
      </c>
    </row>
    <row r="7" spans="1:16" ht="39.6" customHeight="1" thickBot="1" x14ac:dyDescent="0.25">
      <c r="A7" s="584"/>
      <c r="B7" s="586"/>
      <c r="C7" s="584"/>
      <c r="D7" s="586"/>
      <c r="E7" s="588"/>
      <c r="F7" s="586"/>
      <c r="G7" s="588"/>
      <c r="H7" s="285" t="s">
        <v>167</v>
      </c>
      <c r="I7" s="286" t="s">
        <v>168</v>
      </c>
      <c r="J7" s="286" t="s">
        <v>169</v>
      </c>
      <c r="K7" s="286" t="s">
        <v>170</v>
      </c>
      <c r="L7" s="584"/>
      <c r="M7" s="591"/>
      <c r="N7" s="287" t="s">
        <v>171</v>
      </c>
      <c r="O7" s="288" t="s">
        <v>172</v>
      </c>
      <c r="P7" s="289" t="s">
        <v>173</v>
      </c>
    </row>
    <row r="8" spans="1:16" s="301" customFormat="1" x14ac:dyDescent="0.2">
      <c r="A8" s="290" t="s">
        <v>174</v>
      </c>
      <c r="B8" s="291" t="s">
        <v>175</v>
      </c>
      <c r="C8" s="292" t="s">
        <v>176</v>
      </c>
      <c r="D8" s="293"/>
      <c r="E8" s="294">
        <v>8.5</v>
      </c>
      <c r="F8" s="295">
        <f t="shared" ref="F8:F21" si="0">E8*D8</f>
        <v>0</v>
      </c>
      <c r="G8" s="296"/>
      <c r="H8" s="317"/>
      <c r="I8" s="296"/>
      <c r="J8" s="296"/>
      <c r="K8" s="318"/>
      <c r="L8" s="297">
        <f t="shared" ref="L8:L56" si="1">E8*(H8+I8+J8+K8)</f>
        <v>0</v>
      </c>
      <c r="M8" s="298"/>
      <c r="N8" s="298"/>
      <c r="O8" s="299"/>
      <c r="P8" s="300"/>
    </row>
    <row r="9" spans="1:16" s="301" customFormat="1" x14ac:dyDescent="0.2">
      <c r="A9" s="290" t="s">
        <v>177</v>
      </c>
      <c r="B9" s="291" t="s">
        <v>175</v>
      </c>
      <c r="C9" s="292" t="s">
        <v>178</v>
      </c>
      <c r="D9" s="293">
        <v>3000</v>
      </c>
      <c r="E9" s="313">
        <v>9</v>
      </c>
      <c r="F9" s="314">
        <f>E9*D9</f>
        <v>27000</v>
      </c>
      <c r="G9" s="296">
        <v>3300</v>
      </c>
      <c r="H9" s="296"/>
      <c r="I9" s="296"/>
      <c r="J9" s="296"/>
      <c r="K9" s="357">
        <v>3300</v>
      </c>
      <c r="L9" s="297">
        <f>E9*(H9+I9+J9+K9)</f>
        <v>29700</v>
      </c>
      <c r="M9" s="298"/>
      <c r="N9" s="298">
        <v>43495</v>
      </c>
      <c r="O9" s="315"/>
      <c r="P9" s="300"/>
    </row>
    <row r="10" spans="1:16" s="301" customFormat="1" x14ac:dyDescent="0.2">
      <c r="A10" s="290" t="s">
        <v>179</v>
      </c>
      <c r="B10" s="291" t="s">
        <v>175</v>
      </c>
      <c r="C10" s="292" t="s">
        <v>180</v>
      </c>
      <c r="D10" s="293">
        <v>2000</v>
      </c>
      <c r="E10" s="313">
        <v>13.45</v>
      </c>
      <c r="F10" s="314">
        <f t="shared" si="0"/>
        <v>26900</v>
      </c>
      <c r="G10" s="296">
        <v>2040</v>
      </c>
      <c r="H10" s="296"/>
      <c r="I10" s="296"/>
      <c r="J10" s="296"/>
      <c r="K10" s="357">
        <v>2040</v>
      </c>
      <c r="L10" s="297">
        <f t="shared" si="1"/>
        <v>27438</v>
      </c>
      <c r="M10" s="298"/>
      <c r="N10" s="298">
        <v>43495</v>
      </c>
      <c r="O10" s="315"/>
      <c r="P10" s="300"/>
    </row>
    <row r="11" spans="1:16" s="301" customFormat="1" x14ac:dyDescent="0.2">
      <c r="A11" s="290" t="s">
        <v>181</v>
      </c>
      <c r="B11" s="291" t="s">
        <v>175</v>
      </c>
      <c r="C11" s="292" t="s">
        <v>182</v>
      </c>
      <c r="D11" s="293">
        <v>1000</v>
      </c>
      <c r="E11" s="313">
        <v>7.8</v>
      </c>
      <c r="F11" s="314">
        <f t="shared" si="0"/>
        <v>7800</v>
      </c>
      <c r="G11" s="296">
        <v>1000</v>
      </c>
      <c r="H11" s="296"/>
      <c r="I11" s="296"/>
      <c r="J11" s="296"/>
      <c r="K11" s="357">
        <v>1000</v>
      </c>
      <c r="L11" s="297">
        <f t="shared" si="1"/>
        <v>7800</v>
      </c>
      <c r="M11" s="298"/>
      <c r="N11" s="298">
        <v>43495</v>
      </c>
      <c r="O11" s="315"/>
      <c r="P11" s="300"/>
    </row>
    <row r="12" spans="1:16" s="301" customFormat="1" x14ac:dyDescent="0.2">
      <c r="A12" s="290" t="s">
        <v>183</v>
      </c>
      <c r="B12" s="291" t="s">
        <v>175</v>
      </c>
      <c r="C12" s="292" t="s">
        <v>184</v>
      </c>
      <c r="D12" s="293"/>
      <c r="E12" s="313">
        <v>58.3</v>
      </c>
      <c r="F12" s="314">
        <f t="shared" si="0"/>
        <v>0</v>
      </c>
      <c r="G12" s="296"/>
      <c r="H12" s="296"/>
      <c r="I12" s="296"/>
      <c r="J12" s="296"/>
      <c r="K12" s="296"/>
      <c r="L12" s="297">
        <f t="shared" si="1"/>
        <v>0</v>
      </c>
      <c r="M12" s="298"/>
      <c r="N12" s="298"/>
      <c r="O12" s="315"/>
      <c r="P12" s="300"/>
    </row>
    <row r="13" spans="1:16" s="301" customFormat="1" x14ac:dyDescent="0.2">
      <c r="A13" s="290">
        <v>2771</v>
      </c>
      <c r="B13" s="291" t="s">
        <v>175</v>
      </c>
      <c r="C13" s="292" t="s">
        <v>185</v>
      </c>
      <c r="D13" s="293"/>
      <c r="E13" s="313">
        <v>3.16</v>
      </c>
      <c r="F13" s="314">
        <f>E13*D13</f>
        <v>0</v>
      </c>
      <c r="G13" s="296">
        <v>300</v>
      </c>
      <c r="H13" s="296"/>
      <c r="I13" s="352">
        <v>300</v>
      </c>
      <c r="J13" s="296"/>
      <c r="K13" s="296"/>
      <c r="L13" s="297">
        <f t="shared" si="1"/>
        <v>948</v>
      </c>
      <c r="M13" s="298"/>
      <c r="N13" s="298"/>
      <c r="O13" s="315"/>
      <c r="P13" s="300"/>
    </row>
    <row r="14" spans="1:16" s="301" customFormat="1" x14ac:dyDescent="0.2">
      <c r="A14" s="290">
        <v>2772</v>
      </c>
      <c r="B14" s="291" t="s">
        <v>175</v>
      </c>
      <c r="C14" s="292" t="s">
        <v>186</v>
      </c>
      <c r="D14" s="293"/>
      <c r="E14" s="313">
        <v>3.16</v>
      </c>
      <c r="F14" s="314">
        <f t="shared" si="0"/>
        <v>0</v>
      </c>
      <c r="G14" s="296"/>
      <c r="H14" s="296"/>
      <c r="I14" s="296"/>
      <c r="J14" s="296"/>
      <c r="K14" s="296"/>
      <c r="L14" s="297">
        <f t="shared" si="1"/>
        <v>0</v>
      </c>
      <c r="M14" s="298"/>
      <c r="N14" s="298"/>
      <c r="O14" s="315"/>
      <c r="P14" s="300"/>
    </row>
    <row r="15" spans="1:16" s="301" customFormat="1" x14ac:dyDescent="0.2">
      <c r="A15" s="290">
        <v>2773</v>
      </c>
      <c r="B15" s="291" t="s">
        <v>175</v>
      </c>
      <c r="C15" s="292" t="s">
        <v>187</v>
      </c>
      <c r="D15" s="293"/>
      <c r="E15" s="313">
        <v>3.16</v>
      </c>
      <c r="F15" s="314">
        <f t="shared" si="0"/>
        <v>0</v>
      </c>
      <c r="G15" s="296"/>
      <c r="H15" s="296"/>
      <c r="I15" s="296"/>
      <c r="J15" s="296"/>
      <c r="K15" s="296"/>
      <c r="L15" s="297">
        <f t="shared" si="1"/>
        <v>0</v>
      </c>
      <c r="M15" s="298"/>
      <c r="N15" s="298"/>
      <c r="O15" s="315"/>
      <c r="P15" s="300"/>
    </row>
    <row r="16" spans="1:16" s="301" customFormat="1" x14ac:dyDescent="0.2">
      <c r="A16" s="290" t="s">
        <v>188</v>
      </c>
      <c r="B16" s="291" t="s">
        <v>175</v>
      </c>
      <c r="C16" s="292" t="s">
        <v>189</v>
      </c>
      <c r="D16" s="293"/>
      <c r="E16" s="313">
        <v>3.16</v>
      </c>
      <c r="F16" s="314">
        <f t="shared" si="0"/>
        <v>0</v>
      </c>
      <c r="G16" s="296">
        <v>100</v>
      </c>
      <c r="H16" s="296"/>
      <c r="I16" s="352">
        <v>100</v>
      </c>
      <c r="J16" s="296"/>
      <c r="K16" s="296"/>
      <c r="L16" s="297">
        <f t="shared" si="1"/>
        <v>316</v>
      </c>
      <c r="M16" s="298"/>
      <c r="N16" s="298"/>
      <c r="O16" s="315"/>
      <c r="P16" s="300"/>
    </row>
    <row r="17" spans="1:16" s="301" customFormat="1" x14ac:dyDescent="0.2">
      <c r="A17" s="290">
        <v>3558</v>
      </c>
      <c r="B17" s="291" t="s">
        <v>175</v>
      </c>
      <c r="C17" s="292" t="s">
        <v>190</v>
      </c>
      <c r="D17" s="293"/>
      <c r="E17" s="313">
        <v>3.16</v>
      </c>
      <c r="F17" s="314">
        <f>E17*D17</f>
        <v>0</v>
      </c>
      <c r="G17" s="296"/>
      <c r="H17" s="296"/>
      <c r="I17" s="296"/>
      <c r="J17" s="296"/>
      <c r="K17" s="296"/>
      <c r="L17" s="297">
        <f t="shared" si="1"/>
        <v>0</v>
      </c>
      <c r="M17" s="298"/>
      <c r="N17" s="298"/>
      <c r="O17" s="315"/>
      <c r="P17" s="300"/>
    </row>
    <row r="18" spans="1:16" s="301" customFormat="1" x14ac:dyDescent="0.2">
      <c r="A18" s="290">
        <v>3238</v>
      </c>
      <c r="B18" s="291" t="s">
        <v>175</v>
      </c>
      <c r="C18" s="292" t="s">
        <v>191</v>
      </c>
      <c r="D18" s="293">
        <v>2000</v>
      </c>
      <c r="E18" s="313">
        <v>6.32</v>
      </c>
      <c r="F18" s="314">
        <f t="shared" si="0"/>
        <v>12640</v>
      </c>
      <c r="G18" s="296">
        <v>2500</v>
      </c>
      <c r="H18" s="296"/>
      <c r="I18" s="296"/>
      <c r="J18" s="296"/>
      <c r="K18" s="357">
        <v>2500</v>
      </c>
      <c r="L18" s="297">
        <f t="shared" si="1"/>
        <v>15800</v>
      </c>
      <c r="M18" s="298"/>
      <c r="N18" s="298">
        <v>43495</v>
      </c>
      <c r="O18" s="315"/>
      <c r="P18" s="300"/>
    </row>
    <row r="19" spans="1:16" s="301" customFormat="1" x14ac:dyDescent="0.2">
      <c r="A19" s="290">
        <v>3239</v>
      </c>
      <c r="B19" s="291" t="s">
        <v>175</v>
      </c>
      <c r="C19" s="292" t="s">
        <v>192</v>
      </c>
      <c r="D19" s="293"/>
      <c r="E19" s="313">
        <v>9.1999999999999993</v>
      </c>
      <c r="F19" s="314">
        <f t="shared" si="0"/>
        <v>0</v>
      </c>
      <c r="G19" s="296"/>
      <c r="H19" s="296"/>
      <c r="I19" s="296"/>
      <c r="J19" s="296"/>
      <c r="K19" s="296"/>
      <c r="L19" s="297">
        <f t="shared" si="1"/>
        <v>0</v>
      </c>
      <c r="M19" s="298"/>
      <c r="N19" s="298"/>
      <c r="O19" s="315"/>
      <c r="P19" s="300"/>
    </row>
    <row r="20" spans="1:16" s="301" customFormat="1" x14ac:dyDescent="0.2">
      <c r="A20" s="290">
        <v>3515</v>
      </c>
      <c r="B20" s="291" t="s">
        <v>175</v>
      </c>
      <c r="C20" s="292" t="s">
        <v>193</v>
      </c>
      <c r="D20" s="293">
        <v>3000</v>
      </c>
      <c r="E20" s="313">
        <v>13.22</v>
      </c>
      <c r="F20" s="314">
        <f t="shared" si="0"/>
        <v>39660</v>
      </c>
      <c r="G20" s="296">
        <v>3020</v>
      </c>
      <c r="H20" s="296"/>
      <c r="I20" s="296"/>
      <c r="J20" s="296"/>
      <c r="K20" s="357">
        <v>3020</v>
      </c>
      <c r="L20" s="297">
        <f t="shared" si="1"/>
        <v>39924.400000000001</v>
      </c>
      <c r="M20" s="298"/>
      <c r="N20" s="298">
        <v>43495</v>
      </c>
      <c r="O20" s="315"/>
      <c r="P20" s="300"/>
    </row>
    <row r="21" spans="1:16" s="301" customFormat="1" x14ac:dyDescent="0.2">
      <c r="A21" s="290">
        <v>3240</v>
      </c>
      <c r="B21" s="291" t="s">
        <v>175</v>
      </c>
      <c r="C21" s="292" t="s">
        <v>194</v>
      </c>
      <c r="D21" s="293">
        <v>2000</v>
      </c>
      <c r="E21" s="313">
        <v>11.05</v>
      </c>
      <c r="F21" s="314">
        <f t="shared" si="0"/>
        <v>22100</v>
      </c>
      <c r="G21" s="296">
        <v>2350</v>
      </c>
      <c r="H21" s="296"/>
      <c r="I21" s="296"/>
      <c r="J21" s="296"/>
      <c r="K21" s="357">
        <v>2350</v>
      </c>
      <c r="L21" s="297">
        <f t="shared" si="1"/>
        <v>25967.5</v>
      </c>
      <c r="M21" s="298"/>
      <c r="N21" s="298">
        <v>43495</v>
      </c>
      <c r="O21" s="315"/>
      <c r="P21" s="300"/>
    </row>
    <row r="22" spans="1:16" s="301" customFormat="1" x14ac:dyDescent="0.2">
      <c r="A22" s="290">
        <v>4291</v>
      </c>
      <c r="B22" s="291" t="s">
        <v>175</v>
      </c>
      <c r="C22" s="292" t="s">
        <v>195</v>
      </c>
      <c r="D22" s="293"/>
      <c r="E22" s="313">
        <v>23996.5</v>
      </c>
      <c r="F22" s="314">
        <f>E22*D22</f>
        <v>0</v>
      </c>
      <c r="G22" s="296"/>
      <c r="H22" s="296"/>
      <c r="I22" s="296"/>
      <c r="J22" s="296"/>
      <c r="K22" s="296"/>
      <c r="L22" s="297">
        <f t="shared" si="1"/>
        <v>0</v>
      </c>
      <c r="M22" s="298"/>
      <c r="N22" s="298"/>
      <c r="O22" s="315"/>
      <c r="P22" s="300"/>
    </row>
    <row r="23" spans="1:16" s="301" customFormat="1" x14ac:dyDescent="0.2">
      <c r="A23" s="290">
        <v>1690</v>
      </c>
      <c r="B23" s="291" t="s">
        <v>175</v>
      </c>
      <c r="C23" s="292" t="s">
        <v>196</v>
      </c>
      <c r="D23" s="293">
        <v>285</v>
      </c>
      <c r="E23" s="313">
        <v>52</v>
      </c>
      <c r="F23" s="314">
        <f>E23*D23</f>
        <v>14820</v>
      </c>
      <c r="G23" s="296">
        <v>285</v>
      </c>
      <c r="H23" s="296"/>
      <c r="I23" s="296"/>
      <c r="J23" s="357">
        <v>285</v>
      </c>
      <c r="K23" s="296"/>
      <c r="L23" s="297">
        <f t="shared" si="1"/>
        <v>14820</v>
      </c>
      <c r="M23" s="298"/>
      <c r="N23" s="298"/>
      <c r="O23" s="315"/>
      <c r="P23" s="300"/>
    </row>
    <row r="24" spans="1:16" s="301" customFormat="1" x14ac:dyDescent="0.2">
      <c r="A24" s="290" t="s">
        <v>278</v>
      </c>
      <c r="B24" s="291" t="s">
        <v>175</v>
      </c>
      <c r="C24" s="292" t="s">
        <v>197</v>
      </c>
      <c r="D24" s="293">
        <v>1</v>
      </c>
      <c r="E24" s="313">
        <v>5280</v>
      </c>
      <c r="F24" s="314">
        <f>E24*D24</f>
        <v>5280</v>
      </c>
      <c r="G24" s="296">
        <v>1</v>
      </c>
      <c r="H24" s="296"/>
      <c r="I24" s="296"/>
      <c r="J24" s="352">
        <v>1</v>
      </c>
      <c r="K24" s="296"/>
      <c r="L24" s="297">
        <f t="shared" si="1"/>
        <v>5280</v>
      </c>
      <c r="M24" s="298">
        <v>43482</v>
      </c>
      <c r="N24" s="298">
        <v>43489</v>
      </c>
      <c r="O24" s="315"/>
      <c r="P24" s="300"/>
    </row>
    <row r="25" spans="1:16" s="301" customFormat="1" x14ac:dyDescent="0.2">
      <c r="A25" s="290">
        <v>4847</v>
      </c>
      <c r="B25" s="291" t="s">
        <v>175</v>
      </c>
      <c r="C25" s="292" t="s">
        <v>198</v>
      </c>
      <c r="D25" s="293">
        <v>2</v>
      </c>
      <c r="E25" s="313">
        <v>1680</v>
      </c>
      <c r="F25" s="314">
        <f>E25*D25</f>
        <v>3360</v>
      </c>
      <c r="G25" s="296">
        <v>2</v>
      </c>
      <c r="H25" s="357">
        <v>2</v>
      </c>
      <c r="I25" s="296"/>
      <c r="J25" s="296"/>
      <c r="K25" s="296"/>
      <c r="L25" s="297">
        <f t="shared" si="1"/>
        <v>3360</v>
      </c>
      <c r="M25" s="298"/>
      <c r="N25" s="298"/>
      <c r="O25" s="315"/>
      <c r="P25" s="300"/>
    </row>
    <row r="26" spans="1:16" s="301" customFormat="1" x14ac:dyDescent="0.2">
      <c r="A26" s="290"/>
      <c r="B26" s="291"/>
      <c r="C26" s="292"/>
      <c r="D26" s="293"/>
      <c r="E26" s="313"/>
      <c r="F26" s="314"/>
      <c r="G26" s="296"/>
      <c r="H26" s="296"/>
      <c r="I26" s="296"/>
      <c r="J26" s="296"/>
      <c r="K26" s="296"/>
      <c r="L26" s="297">
        <f t="shared" si="1"/>
        <v>0</v>
      </c>
      <c r="M26" s="298"/>
      <c r="N26" s="298"/>
      <c r="O26" s="315"/>
      <c r="P26" s="300"/>
    </row>
    <row r="27" spans="1:16" s="301" customFormat="1" x14ac:dyDescent="0.2">
      <c r="A27" s="290"/>
      <c r="B27" s="291"/>
      <c r="C27" s="292"/>
      <c r="D27" s="293"/>
      <c r="E27" s="313"/>
      <c r="F27" s="314"/>
      <c r="G27" s="296"/>
      <c r="H27" s="296"/>
      <c r="I27" s="296"/>
      <c r="J27" s="296"/>
      <c r="K27" s="296"/>
      <c r="L27" s="297">
        <f t="shared" si="1"/>
        <v>0</v>
      </c>
      <c r="M27" s="298"/>
      <c r="N27" s="298"/>
      <c r="O27" s="315"/>
      <c r="P27" s="300"/>
    </row>
    <row r="28" spans="1:16" s="301" customFormat="1" x14ac:dyDescent="0.2">
      <c r="A28" s="290"/>
      <c r="B28" s="291"/>
      <c r="C28" s="292"/>
      <c r="D28" s="293"/>
      <c r="E28" s="313"/>
      <c r="F28" s="314"/>
      <c r="G28" s="296"/>
      <c r="H28" s="296"/>
      <c r="I28" s="296"/>
      <c r="J28" s="296"/>
      <c r="K28" s="296"/>
      <c r="L28" s="297">
        <f t="shared" si="1"/>
        <v>0</v>
      </c>
      <c r="M28" s="298"/>
      <c r="N28" s="298"/>
      <c r="O28" s="315"/>
      <c r="P28" s="300"/>
    </row>
    <row r="29" spans="1:16" s="301" customFormat="1" x14ac:dyDescent="0.2">
      <c r="A29" s="290">
        <v>4635</v>
      </c>
      <c r="B29" s="291" t="s">
        <v>199</v>
      </c>
      <c r="C29" s="292" t="s">
        <v>200</v>
      </c>
      <c r="D29" s="372">
        <v>1</v>
      </c>
      <c r="E29" s="313">
        <v>15300</v>
      </c>
      <c r="F29" s="314">
        <f t="shared" ref="F29:F48" si="2">E29*D29</f>
        <v>15300</v>
      </c>
      <c r="G29" s="296" t="s">
        <v>160</v>
      </c>
      <c r="H29" s="296"/>
      <c r="I29" s="296"/>
      <c r="J29" s="296"/>
      <c r="K29" s="296"/>
      <c r="L29" s="297">
        <f t="shared" si="1"/>
        <v>0</v>
      </c>
      <c r="M29" s="298"/>
      <c r="N29" s="298"/>
      <c r="O29" s="315"/>
      <c r="P29" s="300"/>
    </row>
    <row r="30" spans="1:16" s="301" customFormat="1" x14ac:dyDescent="0.2">
      <c r="A30" s="290">
        <v>4722</v>
      </c>
      <c r="B30" s="291" t="s">
        <v>199</v>
      </c>
      <c r="C30" s="292" t="s">
        <v>201</v>
      </c>
      <c r="D30" s="372">
        <v>1</v>
      </c>
      <c r="E30" s="313">
        <v>17900</v>
      </c>
      <c r="F30" s="314">
        <f t="shared" si="2"/>
        <v>17900</v>
      </c>
      <c r="G30" s="296"/>
      <c r="H30" s="296"/>
      <c r="I30" s="296"/>
      <c r="J30" s="296"/>
      <c r="K30" s="296"/>
      <c r="L30" s="297">
        <f t="shared" si="1"/>
        <v>0</v>
      </c>
      <c r="M30" s="298"/>
      <c r="N30" s="298"/>
      <c r="O30" s="315"/>
      <c r="P30" s="300"/>
    </row>
    <row r="31" spans="1:16" s="301" customFormat="1" x14ac:dyDescent="0.2">
      <c r="A31" s="290">
        <v>4723</v>
      </c>
      <c r="B31" s="291" t="s">
        <v>199</v>
      </c>
      <c r="C31" s="292" t="s">
        <v>202</v>
      </c>
      <c r="D31" s="372">
        <v>2</v>
      </c>
      <c r="E31" s="313">
        <v>18500</v>
      </c>
      <c r="F31" s="314">
        <f t="shared" si="2"/>
        <v>37000</v>
      </c>
      <c r="G31" s="296"/>
      <c r="H31" s="296"/>
      <c r="I31" s="296"/>
      <c r="J31" s="296"/>
      <c r="K31" s="296"/>
      <c r="L31" s="297">
        <f t="shared" ref="L31:L35" si="3">E31*(H31+I31+J31+K31)</f>
        <v>0</v>
      </c>
      <c r="M31" s="298"/>
      <c r="N31" s="298"/>
      <c r="O31" s="315"/>
      <c r="P31" s="300"/>
    </row>
    <row r="32" spans="1:16" s="301" customFormat="1" x14ac:dyDescent="0.2">
      <c r="A32" s="290">
        <v>4724</v>
      </c>
      <c r="B32" s="291" t="s">
        <v>199</v>
      </c>
      <c r="C32" s="292" t="s">
        <v>203</v>
      </c>
      <c r="D32" s="372">
        <v>3</v>
      </c>
      <c r="E32" s="313">
        <v>1350</v>
      </c>
      <c r="F32" s="314">
        <f t="shared" ref="F32:F35" si="4">E32*D32</f>
        <v>4050</v>
      </c>
      <c r="G32" s="296"/>
      <c r="H32" s="296"/>
      <c r="I32" s="296"/>
      <c r="J32" s="296"/>
      <c r="K32" s="296"/>
      <c r="L32" s="297">
        <f t="shared" si="3"/>
        <v>0</v>
      </c>
      <c r="M32" s="298"/>
      <c r="N32" s="298"/>
      <c r="O32" s="315"/>
      <c r="P32" s="300"/>
    </row>
    <row r="33" spans="1:16" s="301" customFormat="1" x14ac:dyDescent="0.2">
      <c r="A33" s="290">
        <v>4728</v>
      </c>
      <c r="B33" s="291" t="s">
        <v>199</v>
      </c>
      <c r="C33" s="292" t="s">
        <v>204</v>
      </c>
      <c r="D33" s="293">
        <v>2</v>
      </c>
      <c r="E33" s="313">
        <v>2600</v>
      </c>
      <c r="F33" s="314">
        <f t="shared" si="4"/>
        <v>5200</v>
      </c>
      <c r="G33" s="296">
        <v>2</v>
      </c>
      <c r="H33" s="296"/>
      <c r="I33" s="296"/>
      <c r="J33" s="296"/>
      <c r="K33" s="357">
        <v>2</v>
      </c>
      <c r="L33" s="297">
        <f t="shared" si="3"/>
        <v>5200</v>
      </c>
      <c r="M33" s="298"/>
      <c r="N33" s="298"/>
      <c r="O33" s="315"/>
      <c r="P33" s="300"/>
    </row>
    <row r="34" spans="1:16" s="301" customFormat="1" x14ac:dyDescent="0.2">
      <c r="A34" s="290">
        <v>4853</v>
      </c>
      <c r="B34" s="291" t="s">
        <v>199</v>
      </c>
      <c r="C34" s="292" t="s">
        <v>275</v>
      </c>
      <c r="D34" s="293">
        <v>1</v>
      </c>
      <c r="E34" s="313">
        <v>4600</v>
      </c>
      <c r="F34" s="314">
        <f t="shared" si="4"/>
        <v>4600</v>
      </c>
      <c r="G34" s="296">
        <v>1</v>
      </c>
      <c r="H34" s="296"/>
      <c r="I34" s="296"/>
      <c r="J34" s="296"/>
      <c r="K34" s="357">
        <v>1</v>
      </c>
      <c r="L34" s="297">
        <f t="shared" si="3"/>
        <v>4600</v>
      </c>
      <c r="M34" s="298">
        <v>43480</v>
      </c>
      <c r="N34" s="298">
        <v>43483</v>
      </c>
      <c r="O34" s="315"/>
      <c r="P34" s="300"/>
    </row>
    <row r="35" spans="1:16" s="301" customFormat="1" x14ac:dyDescent="0.2">
      <c r="A35" s="290">
        <v>4872</v>
      </c>
      <c r="B35" s="291" t="s">
        <v>199</v>
      </c>
      <c r="C35" s="292" t="s">
        <v>279</v>
      </c>
      <c r="D35" s="293">
        <v>1</v>
      </c>
      <c r="E35" s="313">
        <v>1850</v>
      </c>
      <c r="F35" s="314">
        <f t="shared" si="4"/>
        <v>1850</v>
      </c>
      <c r="G35" s="296">
        <v>1</v>
      </c>
      <c r="H35" s="296"/>
      <c r="I35" s="296"/>
      <c r="J35" s="296"/>
      <c r="K35" s="352">
        <v>1</v>
      </c>
      <c r="L35" s="297">
        <f t="shared" si="3"/>
        <v>1850</v>
      </c>
      <c r="M35" s="298">
        <v>43482</v>
      </c>
      <c r="N35" s="298">
        <v>43483</v>
      </c>
      <c r="O35" s="315"/>
      <c r="P35" s="300"/>
    </row>
    <row r="36" spans="1:16" s="301" customFormat="1" x14ac:dyDescent="0.2">
      <c r="A36" s="319">
        <v>4873</v>
      </c>
      <c r="B36" s="320" t="s">
        <v>199</v>
      </c>
      <c r="C36" s="321" t="s">
        <v>288</v>
      </c>
      <c r="D36" s="322">
        <v>1</v>
      </c>
      <c r="E36" s="323">
        <v>350</v>
      </c>
      <c r="F36" s="314">
        <f>E36*D36</f>
        <v>350</v>
      </c>
      <c r="G36" s="296">
        <v>1</v>
      </c>
      <c r="H36" s="296"/>
      <c r="I36" s="296"/>
      <c r="J36" s="296"/>
      <c r="K36" s="352">
        <v>1</v>
      </c>
      <c r="L36" s="297">
        <f>E36*(H36+I36+J36+K36)</f>
        <v>350</v>
      </c>
      <c r="M36" s="298">
        <v>43482</v>
      </c>
      <c r="N36" s="298">
        <v>43483</v>
      </c>
      <c r="O36" s="315"/>
      <c r="P36" s="300"/>
    </row>
    <row r="37" spans="1:16" s="301" customFormat="1" x14ac:dyDescent="0.2">
      <c r="A37" s="350" t="s">
        <v>322</v>
      </c>
      <c r="B37" s="348" t="s">
        <v>199</v>
      </c>
      <c r="C37" s="348" t="s">
        <v>296</v>
      </c>
      <c r="D37" s="351">
        <v>8</v>
      </c>
      <c r="E37" s="349">
        <v>50</v>
      </c>
      <c r="F37" s="314">
        <f>E37*D37</f>
        <v>400</v>
      </c>
      <c r="G37" s="296">
        <v>8</v>
      </c>
      <c r="H37" s="296"/>
      <c r="I37" s="296"/>
      <c r="J37" s="296"/>
      <c r="K37" s="357">
        <v>8</v>
      </c>
      <c r="L37" s="297">
        <f>E37*(H37+I37+J37+K37)</f>
        <v>400</v>
      </c>
      <c r="M37" s="298"/>
      <c r="N37" s="298"/>
      <c r="O37" s="315"/>
      <c r="P37" s="300"/>
    </row>
    <row r="38" spans="1:16" s="301" customFormat="1" x14ac:dyDescent="0.2">
      <c r="A38" s="290">
        <v>4910</v>
      </c>
      <c r="B38" s="291" t="s">
        <v>199</v>
      </c>
      <c r="C38" s="292" t="s">
        <v>279</v>
      </c>
      <c r="D38" s="293">
        <v>1</v>
      </c>
      <c r="E38" s="313">
        <v>1850</v>
      </c>
      <c r="F38" s="314">
        <f>E38*D38</f>
        <v>1850</v>
      </c>
      <c r="G38" s="296">
        <v>1</v>
      </c>
      <c r="H38" s="296"/>
      <c r="I38" s="296"/>
      <c r="J38" s="296"/>
      <c r="K38" s="352">
        <v>1</v>
      </c>
      <c r="L38" s="297">
        <f>E38*(H38+I38+J38+K38)</f>
        <v>1850</v>
      </c>
      <c r="M38" s="298"/>
      <c r="N38" s="298"/>
      <c r="O38" s="315"/>
      <c r="P38" s="300"/>
    </row>
    <row r="39" spans="1:16" s="301" customFormat="1" x14ac:dyDescent="0.2">
      <c r="A39" s="290">
        <v>4911</v>
      </c>
      <c r="B39" s="291" t="s">
        <v>199</v>
      </c>
      <c r="C39" s="292" t="s">
        <v>321</v>
      </c>
      <c r="D39" s="293">
        <v>1</v>
      </c>
      <c r="E39" s="313">
        <v>350</v>
      </c>
      <c r="F39" s="314">
        <f>E39*D39</f>
        <v>350</v>
      </c>
      <c r="G39" s="296">
        <v>1</v>
      </c>
      <c r="H39" s="296"/>
      <c r="I39" s="296"/>
      <c r="J39" s="296"/>
      <c r="K39" s="352">
        <v>1</v>
      </c>
      <c r="L39" s="297">
        <f>E39*(H39+I39+J39+K39)</f>
        <v>350</v>
      </c>
      <c r="M39" s="298"/>
      <c r="N39" s="298"/>
      <c r="O39" s="315"/>
      <c r="P39" s="300"/>
    </row>
    <row r="40" spans="1:16" s="301" customFormat="1" x14ac:dyDescent="0.2">
      <c r="A40" s="290"/>
      <c r="B40" s="291"/>
      <c r="C40" s="292"/>
      <c r="D40" s="293"/>
      <c r="E40" s="313"/>
      <c r="F40" s="314"/>
      <c r="G40" s="296"/>
      <c r="H40" s="296"/>
      <c r="I40" s="296"/>
      <c r="J40" s="296"/>
      <c r="K40" s="296"/>
      <c r="L40" s="297"/>
      <c r="M40" s="298"/>
      <c r="N40" s="298"/>
      <c r="O40" s="315"/>
      <c r="P40" s="300"/>
    </row>
    <row r="41" spans="1:16" s="301" customFormat="1" x14ac:dyDescent="0.2">
      <c r="A41" s="290"/>
      <c r="B41" s="291"/>
      <c r="C41" s="292"/>
      <c r="D41" s="293"/>
      <c r="E41" s="313"/>
      <c r="F41" s="314"/>
      <c r="G41" s="296"/>
      <c r="H41" s="296"/>
      <c r="I41" s="296"/>
      <c r="J41" s="296"/>
      <c r="K41" s="296"/>
      <c r="L41" s="297"/>
      <c r="M41" s="298"/>
      <c r="N41" s="298"/>
      <c r="O41" s="315"/>
      <c r="P41" s="300"/>
    </row>
    <row r="42" spans="1:16" s="301" customFormat="1" x14ac:dyDescent="0.2">
      <c r="A42" s="290"/>
      <c r="B42" s="291"/>
      <c r="C42" s="292"/>
      <c r="D42" s="293"/>
      <c r="E42" s="313"/>
      <c r="F42" s="314"/>
      <c r="G42" s="296"/>
      <c r="H42" s="296"/>
      <c r="I42" s="296"/>
      <c r="J42" s="296"/>
      <c r="K42" s="296"/>
      <c r="L42" s="297"/>
      <c r="M42" s="298"/>
      <c r="N42" s="298"/>
      <c r="O42" s="315"/>
      <c r="P42" s="300"/>
    </row>
    <row r="43" spans="1:16" s="301" customFormat="1" x14ac:dyDescent="0.2">
      <c r="A43" s="290" t="s">
        <v>205</v>
      </c>
      <c r="B43" s="291"/>
      <c r="C43" s="292" t="s">
        <v>206</v>
      </c>
      <c r="D43" s="293"/>
      <c r="E43" s="313">
        <v>1610.17</v>
      </c>
      <c r="F43" s="314">
        <f t="shared" si="2"/>
        <v>0</v>
      </c>
      <c r="G43" s="296"/>
      <c r="H43" s="296"/>
      <c r="I43" s="296"/>
      <c r="J43" s="296"/>
      <c r="K43" s="296"/>
      <c r="L43" s="297">
        <f t="shared" ref="L43:L45" si="5">E43*(H43+I43+J43+K43)</f>
        <v>0</v>
      </c>
      <c r="M43" s="298"/>
      <c r="N43" s="298"/>
      <c r="O43" s="315"/>
      <c r="P43" s="300"/>
    </row>
    <row r="44" spans="1:16" s="301" customFormat="1" x14ac:dyDescent="0.2">
      <c r="A44" s="290" t="s">
        <v>207</v>
      </c>
      <c r="B44" s="291"/>
      <c r="C44" s="292" t="s">
        <v>206</v>
      </c>
      <c r="D44" s="293"/>
      <c r="E44" s="313">
        <v>1686.44</v>
      </c>
      <c r="F44" s="314">
        <f t="shared" si="2"/>
        <v>0</v>
      </c>
      <c r="G44" s="296">
        <v>25</v>
      </c>
      <c r="H44" s="296"/>
      <c r="I44" s="296"/>
      <c r="J44" s="296"/>
      <c r="K44" s="296"/>
      <c r="L44" s="297">
        <f t="shared" si="5"/>
        <v>0</v>
      </c>
      <c r="M44" s="298"/>
      <c r="N44" s="298"/>
      <c r="O44" s="315"/>
      <c r="P44" s="300"/>
    </row>
    <row r="45" spans="1:16" s="301" customFormat="1" x14ac:dyDescent="0.2">
      <c r="A45" s="290"/>
      <c r="B45" s="291"/>
      <c r="C45" s="292"/>
      <c r="D45" s="293"/>
      <c r="E45" s="313"/>
      <c r="F45" s="314">
        <f t="shared" si="2"/>
        <v>0</v>
      </c>
      <c r="G45" s="296"/>
      <c r="H45" s="296"/>
      <c r="I45" s="296"/>
      <c r="J45" s="296"/>
      <c r="K45" s="296"/>
      <c r="L45" s="297">
        <f t="shared" si="5"/>
        <v>0</v>
      </c>
      <c r="M45" s="298"/>
      <c r="N45" s="298"/>
      <c r="O45" s="315"/>
      <c r="P45" s="300"/>
    </row>
    <row r="46" spans="1:16" s="301" customFormat="1" x14ac:dyDescent="0.2">
      <c r="A46" s="290">
        <v>4588</v>
      </c>
      <c r="B46" s="291" t="s">
        <v>208</v>
      </c>
      <c r="C46" s="292" t="s">
        <v>209</v>
      </c>
      <c r="D46" s="372">
        <v>4</v>
      </c>
      <c r="E46" s="313">
        <v>67920</v>
      </c>
      <c r="F46" s="314">
        <f t="shared" si="2"/>
        <v>271680</v>
      </c>
      <c r="G46" s="296">
        <v>1</v>
      </c>
      <c r="H46" s="296"/>
      <c r="I46" s="296"/>
      <c r="J46" s="296"/>
      <c r="K46" s="296"/>
      <c r="L46" s="297">
        <f t="shared" si="1"/>
        <v>0</v>
      </c>
      <c r="M46" s="298">
        <v>43383</v>
      </c>
      <c r="N46" s="298">
        <v>43418</v>
      </c>
      <c r="O46" s="315" t="s">
        <v>210</v>
      </c>
      <c r="P46" s="300"/>
    </row>
    <row r="47" spans="1:16" s="301" customFormat="1" x14ac:dyDescent="0.2">
      <c r="A47" s="290">
        <v>4734</v>
      </c>
      <c r="B47" s="291" t="s">
        <v>211</v>
      </c>
      <c r="C47" s="292" t="s">
        <v>212</v>
      </c>
      <c r="D47" s="293">
        <v>4</v>
      </c>
      <c r="E47" s="313">
        <v>29700</v>
      </c>
      <c r="F47" s="314">
        <f t="shared" si="2"/>
        <v>118800</v>
      </c>
      <c r="G47" s="296">
        <v>4</v>
      </c>
      <c r="H47" s="296"/>
      <c r="I47" s="296"/>
      <c r="J47" s="296"/>
      <c r="K47" s="357">
        <v>4</v>
      </c>
      <c r="L47" s="297">
        <f t="shared" si="1"/>
        <v>118800</v>
      </c>
      <c r="M47" s="298">
        <v>43437</v>
      </c>
      <c r="N47" s="298">
        <v>43459</v>
      </c>
      <c r="O47" s="315" t="s">
        <v>213</v>
      </c>
      <c r="P47" s="300"/>
    </row>
    <row r="48" spans="1:16" s="301" customFormat="1" x14ac:dyDescent="0.2">
      <c r="A48" s="290">
        <v>4740</v>
      </c>
      <c r="B48" s="291" t="s">
        <v>214</v>
      </c>
      <c r="C48" s="292" t="s">
        <v>215</v>
      </c>
      <c r="D48" s="293">
        <v>3</v>
      </c>
      <c r="E48" s="313">
        <v>44000</v>
      </c>
      <c r="F48" s="314">
        <f t="shared" si="2"/>
        <v>132000</v>
      </c>
      <c r="G48" s="296">
        <v>3</v>
      </c>
      <c r="H48" s="296"/>
      <c r="I48" s="357">
        <v>3</v>
      </c>
      <c r="J48" s="296"/>
      <c r="K48" s="296"/>
      <c r="L48" s="297">
        <f t="shared" si="1"/>
        <v>132000</v>
      </c>
      <c r="M48" s="298">
        <v>43437</v>
      </c>
      <c r="N48" s="298">
        <v>43459</v>
      </c>
      <c r="O48" s="315" t="s">
        <v>216</v>
      </c>
      <c r="P48" s="300"/>
    </row>
    <row r="49" spans="1:16" s="301" customFormat="1" x14ac:dyDescent="0.2">
      <c r="A49" s="290">
        <v>4829</v>
      </c>
      <c r="B49" s="291" t="s">
        <v>217</v>
      </c>
      <c r="C49" s="292" t="s">
        <v>218</v>
      </c>
      <c r="D49" s="293">
        <v>20</v>
      </c>
      <c r="E49" s="313">
        <v>20000</v>
      </c>
      <c r="F49" s="314">
        <f t="shared" ref="F49:F102" si="6">E49*D49</f>
        <v>400000</v>
      </c>
      <c r="G49" s="296">
        <v>20</v>
      </c>
      <c r="H49" s="296"/>
      <c r="I49" s="357">
        <v>20</v>
      </c>
      <c r="J49" s="296"/>
      <c r="K49" s="296"/>
      <c r="L49" s="297">
        <f t="shared" si="1"/>
        <v>400000</v>
      </c>
      <c r="M49" s="298">
        <v>43446</v>
      </c>
      <c r="N49" s="298">
        <v>43456</v>
      </c>
      <c r="O49" s="315" t="s">
        <v>219</v>
      </c>
      <c r="P49" s="300"/>
    </row>
    <row r="50" spans="1:16" s="301" customFormat="1" x14ac:dyDescent="0.2">
      <c r="A50" s="290">
        <v>4799</v>
      </c>
      <c r="B50" s="291" t="s">
        <v>220</v>
      </c>
      <c r="C50" s="292" t="s">
        <v>221</v>
      </c>
      <c r="D50" s="293">
        <v>12</v>
      </c>
      <c r="E50" s="313">
        <v>6050</v>
      </c>
      <c r="F50" s="314">
        <f t="shared" si="6"/>
        <v>72600</v>
      </c>
      <c r="G50" s="296">
        <v>12</v>
      </c>
      <c r="H50" s="296"/>
      <c r="I50" s="296"/>
      <c r="J50" s="296"/>
      <c r="K50" s="357">
        <v>12</v>
      </c>
      <c r="L50" s="297">
        <f t="shared" si="1"/>
        <v>72600</v>
      </c>
      <c r="M50" s="298">
        <v>43447</v>
      </c>
      <c r="N50" s="298">
        <v>43460</v>
      </c>
      <c r="O50" s="315" t="s">
        <v>222</v>
      </c>
      <c r="P50" s="300"/>
    </row>
    <row r="51" spans="1:16" s="301" customFormat="1" x14ac:dyDescent="0.2">
      <c r="A51" s="290">
        <v>4836</v>
      </c>
      <c r="B51" s="291" t="s">
        <v>223</v>
      </c>
      <c r="C51" s="292" t="s">
        <v>224</v>
      </c>
      <c r="D51" s="293"/>
      <c r="E51" s="313">
        <v>840</v>
      </c>
      <c r="F51" s="314">
        <f>E51*D51</f>
        <v>0</v>
      </c>
      <c r="G51" s="296"/>
      <c r="H51" s="296"/>
      <c r="I51" s="296"/>
      <c r="J51" s="296"/>
      <c r="K51" s="296"/>
      <c r="L51" s="297">
        <f>E51*(H51+I51+J51+K51)</f>
        <v>0</v>
      </c>
      <c r="M51" s="298"/>
      <c r="N51" s="298"/>
      <c r="O51" s="315" t="s">
        <v>225</v>
      </c>
      <c r="P51" s="300"/>
    </row>
    <row r="52" spans="1:16" s="301" customFormat="1" x14ac:dyDescent="0.2">
      <c r="A52" s="290">
        <v>4840</v>
      </c>
      <c r="B52" s="291" t="s">
        <v>226</v>
      </c>
      <c r="C52" s="292" t="s">
        <v>227</v>
      </c>
      <c r="D52" s="293">
        <v>1</v>
      </c>
      <c r="E52" s="313"/>
      <c r="F52" s="314">
        <f>E52*D52</f>
        <v>0</v>
      </c>
      <c r="G52" s="296">
        <v>1</v>
      </c>
      <c r="H52" s="296"/>
      <c r="I52" s="296"/>
      <c r="J52" s="296"/>
      <c r="K52" s="296"/>
      <c r="L52" s="297">
        <f>E52*(H52+I52+J52+K52)</f>
        <v>0</v>
      </c>
      <c r="M52" s="298">
        <v>43458</v>
      </c>
      <c r="N52" s="298" t="s">
        <v>228</v>
      </c>
      <c r="O52" s="315" t="s">
        <v>229</v>
      </c>
      <c r="P52" s="300"/>
    </row>
    <row r="53" spans="1:16" s="301" customFormat="1" x14ac:dyDescent="0.2">
      <c r="A53" s="290">
        <v>4844</v>
      </c>
      <c r="B53" s="291" t="s">
        <v>230</v>
      </c>
      <c r="C53" s="292" t="s">
        <v>231</v>
      </c>
      <c r="D53" s="293">
        <v>10</v>
      </c>
      <c r="E53" s="313">
        <v>11770</v>
      </c>
      <c r="F53" s="314">
        <f>E53*D53</f>
        <v>117700</v>
      </c>
      <c r="G53" s="296">
        <v>10</v>
      </c>
      <c r="H53" s="296"/>
      <c r="I53" s="296"/>
      <c r="J53" s="296"/>
      <c r="K53" s="357">
        <v>10</v>
      </c>
      <c r="L53" s="297">
        <f>E53*(H53+I53+J53+K53)</f>
        <v>117700</v>
      </c>
      <c r="M53" s="298"/>
      <c r="N53" s="298"/>
      <c r="O53" s="315" t="s">
        <v>232</v>
      </c>
      <c r="P53" s="300"/>
    </row>
    <row r="54" spans="1:16" s="301" customFormat="1" x14ac:dyDescent="0.2">
      <c r="A54" s="290">
        <v>4845</v>
      </c>
      <c r="B54" s="291" t="s">
        <v>230</v>
      </c>
      <c r="C54" s="292" t="s">
        <v>233</v>
      </c>
      <c r="D54" s="293">
        <v>10</v>
      </c>
      <c r="E54" s="313">
        <v>16087.5</v>
      </c>
      <c r="F54" s="314">
        <f t="shared" si="6"/>
        <v>160875</v>
      </c>
      <c r="G54" s="296">
        <v>10</v>
      </c>
      <c r="H54" s="296"/>
      <c r="I54" s="296"/>
      <c r="J54" s="296"/>
      <c r="K54" s="357">
        <v>10</v>
      </c>
      <c r="L54" s="297">
        <f t="shared" si="1"/>
        <v>160875</v>
      </c>
      <c r="M54" s="298"/>
      <c r="N54" s="298"/>
      <c r="O54" s="315" t="s">
        <v>232</v>
      </c>
      <c r="P54" s="300"/>
    </row>
    <row r="55" spans="1:16" s="301" customFormat="1" x14ac:dyDescent="0.2">
      <c r="A55" s="290">
        <v>4846</v>
      </c>
      <c r="B55" s="291" t="s">
        <v>230</v>
      </c>
      <c r="C55" s="292" t="s">
        <v>234</v>
      </c>
      <c r="D55" s="293">
        <v>10</v>
      </c>
      <c r="E55" s="313">
        <v>10296</v>
      </c>
      <c r="F55" s="314">
        <f t="shared" ref="F55:F68" si="7">E55*D55</f>
        <v>102960</v>
      </c>
      <c r="G55" s="296">
        <v>10</v>
      </c>
      <c r="H55" s="296"/>
      <c r="I55" s="296"/>
      <c r="J55" s="296"/>
      <c r="K55" s="357">
        <v>10</v>
      </c>
      <c r="L55" s="297">
        <f t="shared" si="1"/>
        <v>102960</v>
      </c>
      <c r="M55" s="298"/>
      <c r="N55" s="298"/>
      <c r="O55" s="315" t="s">
        <v>232</v>
      </c>
      <c r="P55" s="300"/>
    </row>
    <row r="56" spans="1:16" s="301" customFormat="1" x14ac:dyDescent="0.2">
      <c r="A56" s="290">
        <v>4823</v>
      </c>
      <c r="B56" s="291" t="s">
        <v>259</v>
      </c>
      <c r="C56" s="292" t="s">
        <v>257</v>
      </c>
      <c r="D56" s="372">
        <v>1</v>
      </c>
      <c r="E56" s="313">
        <v>67210</v>
      </c>
      <c r="F56" s="314">
        <f t="shared" si="7"/>
        <v>67210</v>
      </c>
      <c r="G56" s="296"/>
      <c r="H56" s="296"/>
      <c r="I56" s="296"/>
      <c r="J56" s="296"/>
      <c r="K56" s="296"/>
      <c r="L56" s="297">
        <f t="shared" si="1"/>
        <v>0</v>
      </c>
      <c r="M56" s="298">
        <v>43474</v>
      </c>
      <c r="N56" s="298">
        <v>43493</v>
      </c>
      <c r="O56" s="315" t="s">
        <v>258</v>
      </c>
      <c r="P56" s="300"/>
    </row>
    <row r="57" spans="1:16" s="301" customFormat="1" x14ac:dyDescent="0.2">
      <c r="A57" s="290">
        <v>4828</v>
      </c>
      <c r="B57" s="291" t="s">
        <v>262</v>
      </c>
      <c r="C57" s="292" t="s">
        <v>260</v>
      </c>
      <c r="D57" s="293">
        <v>2</v>
      </c>
      <c r="E57" s="313">
        <v>64000</v>
      </c>
      <c r="F57" s="314">
        <f t="shared" si="7"/>
        <v>128000</v>
      </c>
      <c r="G57" s="296">
        <v>2</v>
      </c>
      <c r="H57" s="296"/>
      <c r="I57" s="296"/>
      <c r="J57" s="296"/>
      <c r="K57" s="357">
        <v>2</v>
      </c>
      <c r="L57" s="297">
        <f t="shared" ref="L57:L67" si="8">E57*(H57+I57+J57+K57)</f>
        <v>128000</v>
      </c>
      <c r="M57" s="298">
        <v>43474</v>
      </c>
      <c r="N57" s="298">
        <v>43493</v>
      </c>
      <c r="O57" s="315" t="s">
        <v>261</v>
      </c>
      <c r="P57" s="300"/>
    </row>
    <row r="58" spans="1:16" s="301" customFormat="1" x14ac:dyDescent="0.2">
      <c r="A58" s="290">
        <v>4833</v>
      </c>
      <c r="B58" s="353" t="s">
        <v>359</v>
      </c>
      <c r="C58" s="354" t="s">
        <v>315</v>
      </c>
      <c r="D58" s="373">
        <v>4</v>
      </c>
      <c r="E58" s="356">
        <v>8910</v>
      </c>
      <c r="F58" s="314">
        <f>E58*D58</f>
        <v>35640</v>
      </c>
      <c r="G58" s="296"/>
      <c r="H58" s="296"/>
      <c r="I58" s="296"/>
      <c r="J58" s="296"/>
      <c r="K58" s="296"/>
      <c r="L58" s="297">
        <f>E58*(H58+I58+J58+K58)</f>
        <v>0</v>
      </c>
      <c r="M58" s="298">
        <v>43488</v>
      </c>
      <c r="N58" s="298">
        <v>43495</v>
      </c>
      <c r="O58" s="370" t="s">
        <v>360</v>
      </c>
      <c r="P58" s="300"/>
    </row>
    <row r="59" spans="1:16" s="301" customFormat="1" x14ac:dyDescent="0.2">
      <c r="A59" s="290">
        <v>4904</v>
      </c>
      <c r="B59" s="291" t="s">
        <v>361</v>
      </c>
      <c r="C59" s="292" t="s">
        <v>353</v>
      </c>
      <c r="D59" s="293">
        <v>1</v>
      </c>
      <c r="E59" s="313">
        <v>31200</v>
      </c>
      <c r="F59" s="314"/>
      <c r="G59" s="296"/>
      <c r="H59" s="296"/>
      <c r="I59" s="296"/>
      <c r="J59" s="296"/>
      <c r="K59" s="296"/>
      <c r="L59" s="297">
        <f t="shared" ref="L59:L64" si="9">E59*(H59+I59+J59+K59)</f>
        <v>0</v>
      </c>
      <c r="M59" s="298">
        <v>43496</v>
      </c>
      <c r="N59" s="298">
        <v>43516</v>
      </c>
      <c r="O59" s="315" t="s">
        <v>362</v>
      </c>
      <c r="P59" s="300"/>
    </row>
    <row r="60" spans="1:16" s="301" customFormat="1" x14ac:dyDescent="0.2">
      <c r="A60" s="290">
        <v>4905</v>
      </c>
      <c r="B60" s="291" t="s">
        <v>361</v>
      </c>
      <c r="C60" s="292" t="s">
        <v>354</v>
      </c>
      <c r="D60" s="293">
        <v>1</v>
      </c>
      <c r="E60" s="313">
        <v>12400</v>
      </c>
      <c r="F60" s="314"/>
      <c r="G60" s="296"/>
      <c r="H60" s="296"/>
      <c r="I60" s="296"/>
      <c r="J60" s="296"/>
      <c r="K60" s="296"/>
      <c r="L60" s="297">
        <f t="shared" si="9"/>
        <v>0</v>
      </c>
      <c r="M60" s="298">
        <v>43496</v>
      </c>
      <c r="N60" s="298">
        <v>43516</v>
      </c>
      <c r="O60" s="315" t="s">
        <v>362</v>
      </c>
      <c r="P60" s="300"/>
    </row>
    <row r="61" spans="1:16" s="301" customFormat="1" x14ac:dyDescent="0.2">
      <c r="A61" s="290">
        <v>4906</v>
      </c>
      <c r="B61" s="291" t="s">
        <v>361</v>
      </c>
      <c r="C61" s="292" t="s">
        <v>355</v>
      </c>
      <c r="D61" s="293">
        <v>1</v>
      </c>
      <c r="E61" s="313">
        <v>9600</v>
      </c>
      <c r="F61" s="314"/>
      <c r="G61" s="296"/>
      <c r="H61" s="296"/>
      <c r="I61" s="296"/>
      <c r="J61" s="296"/>
      <c r="K61" s="296"/>
      <c r="L61" s="297">
        <f t="shared" si="9"/>
        <v>0</v>
      </c>
      <c r="M61" s="298">
        <v>43496</v>
      </c>
      <c r="N61" s="298">
        <v>43516</v>
      </c>
      <c r="O61" s="315" t="s">
        <v>362</v>
      </c>
      <c r="P61" s="300"/>
    </row>
    <row r="62" spans="1:16" s="301" customFormat="1" x14ac:dyDescent="0.2">
      <c r="A62" s="290">
        <v>4863</v>
      </c>
      <c r="B62" s="291" t="s">
        <v>358</v>
      </c>
      <c r="C62" s="292" t="s">
        <v>356</v>
      </c>
      <c r="D62" s="293">
        <v>1</v>
      </c>
      <c r="E62" s="313">
        <v>4650</v>
      </c>
      <c r="F62" s="314"/>
      <c r="G62" s="296"/>
      <c r="H62" s="296"/>
      <c r="I62" s="296"/>
      <c r="J62" s="296"/>
      <c r="K62" s="296"/>
      <c r="L62" s="297">
        <f t="shared" si="9"/>
        <v>0</v>
      </c>
      <c r="M62" s="298">
        <v>43496</v>
      </c>
      <c r="N62" s="298">
        <v>43511</v>
      </c>
      <c r="O62" s="315" t="s">
        <v>357</v>
      </c>
      <c r="P62" s="300"/>
    </row>
    <row r="63" spans="1:16" s="301" customFormat="1" x14ac:dyDescent="0.2">
      <c r="A63" s="290"/>
      <c r="B63" s="291"/>
      <c r="C63" s="292"/>
      <c r="D63" s="293"/>
      <c r="E63" s="313"/>
      <c r="F63" s="314">
        <f t="shared" si="7"/>
        <v>0</v>
      </c>
      <c r="G63" s="296"/>
      <c r="H63" s="296"/>
      <c r="I63" s="296"/>
      <c r="J63" s="296"/>
      <c r="K63" s="296"/>
      <c r="L63" s="297">
        <f t="shared" si="9"/>
        <v>0</v>
      </c>
      <c r="M63" s="298"/>
      <c r="N63" s="298"/>
      <c r="O63" s="315"/>
      <c r="P63" s="300"/>
    </row>
    <row r="64" spans="1:16" s="301" customFormat="1" x14ac:dyDescent="0.2">
      <c r="A64" s="290"/>
      <c r="B64" s="291"/>
      <c r="C64" s="292"/>
      <c r="D64" s="293"/>
      <c r="E64" s="313"/>
      <c r="F64" s="314">
        <f t="shared" si="7"/>
        <v>0</v>
      </c>
      <c r="G64" s="296"/>
      <c r="H64" s="296"/>
      <c r="I64" s="296"/>
      <c r="J64" s="296"/>
      <c r="K64" s="296"/>
      <c r="L64" s="297">
        <f t="shared" si="9"/>
        <v>0</v>
      </c>
      <c r="M64" s="298"/>
      <c r="N64" s="298"/>
      <c r="O64" s="315"/>
      <c r="P64" s="300"/>
    </row>
    <row r="65" spans="1:16" s="301" customFormat="1" x14ac:dyDescent="0.2">
      <c r="A65" s="290">
        <v>4570</v>
      </c>
      <c r="B65" s="291" t="s">
        <v>235</v>
      </c>
      <c r="C65" s="292" t="s">
        <v>236</v>
      </c>
      <c r="D65" s="293">
        <v>1</v>
      </c>
      <c r="E65" s="313"/>
      <c r="F65" s="314">
        <f t="shared" si="7"/>
        <v>0</v>
      </c>
      <c r="G65" s="296"/>
      <c r="H65" s="296"/>
      <c r="I65" s="296"/>
      <c r="J65" s="296"/>
      <c r="K65" s="296"/>
      <c r="L65" s="297">
        <f t="shared" si="8"/>
        <v>0</v>
      </c>
      <c r="M65" s="298">
        <v>43434</v>
      </c>
      <c r="N65" s="298">
        <v>43448</v>
      </c>
      <c r="O65" s="315"/>
      <c r="P65" s="300"/>
    </row>
    <row r="66" spans="1:16" s="301" customFormat="1" x14ac:dyDescent="0.2">
      <c r="A66" s="290">
        <v>4571</v>
      </c>
      <c r="B66" s="291" t="s">
        <v>235</v>
      </c>
      <c r="C66" s="292" t="s">
        <v>237</v>
      </c>
      <c r="D66" s="293">
        <v>1</v>
      </c>
      <c r="E66" s="313"/>
      <c r="F66" s="314">
        <f t="shared" si="7"/>
        <v>0</v>
      </c>
      <c r="G66" s="296"/>
      <c r="H66" s="296"/>
      <c r="I66" s="296"/>
      <c r="J66" s="296"/>
      <c r="K66" s="296"/>
      <c r="L66" s="297">
        <f t="shared" si="8"/>
        <v>0</v>
      </c>
      <c r="M66" s="298"/>
      <c r="N66" s="298"/>
      <c r="O66" s="315"/>
      <c r="P66" s="300"/>
    </row>
    <row r="67" spans="1:16" s="301" customFormat="1" x14ac:dyDescent="0.2">
      <c r="A67" s="290">
        <v>4572</v>
      </c>
      <c r="B67" s="291" t="s">
        <v>235</v>
      </c>
      <c r="C67" s="292" t="s">
        <v>238</v>
      </c>
      <c r="D67" s="293"/>
      <c r="E67" s="313">
        <v>105000</v>
      </c>
      <c r="F67" s="314">
        <f t="shared" si="7"/>
        <v>0</v>
      </c>
      <c r="G67" s="296"/>
      <c r="H67" s="296"/>
      <c r="I67" s="296"/>
      <c r="J67" s="296"/>
      <c r="K67" s="296"/>
      <c r="L67" s="297">
        <f t="shared" si="8"/>
        <v>0</v>
      </c>
      <c r="M67" s="298"/>
      <c r="N67" s="298"/>
      <c r="O67" s="315"/>
      <c r="P67" s="300"/>
    </row>
    <row r="68" spans="1:16" s="301" customFormat="1" x14ac:dyDescent="0.2">
      <c r="A68" s="290">
        <v>4681</v>
      </c>
      <c r="B68" s="291" t="s">
        <v>235</v>
      </c>
      <c r="C68" s="292" t="s">
        <v>239</v>
      </c>
      <c r="D68" s="293">
        <v>1580</v>
      </c>
      <c r="E68" s="313">
        <v>12.5</v>
      </c>
      <c r="F68" s="314">
        <f t="shared" si="7"/>
        <v>19750</v>
      </c>
      <c r="G68" s="296">
        <v>1580</v>
      </c>
      <c r="H68" s="296"/>
      <c r="I68" s="352">
        <v>1580</v>
      </c>
      <c r="J68" s="296"/>
      <c r="K68" s="296"/>
      <c r="L68" s="297">
        <f t="shared" ref="L68:L77" si="10">E68*(H68+I68+J68+K68)</f>
        <v>19750</v>
      </c>
      <c r="M68" s="298">
        <v>43437</v>
      </c>
      <c r="N68" s="298">
        <v>43459</v>
      </c>
      <c r="O68" s="315"/>
      <c r="P68" s="300"/>
    </row>
    <row r="69" spans="1:16" s="301" customFormat="1" x14ac:dyDescent="0.2">
      <c r="A69" s="290">
        <v>4530</v>
      </c>
      <c r="B69" s="291" t="s">
        <v>235</v>
      </c>
      <c r="C69" s="292" t="s">
        <v>240</v>
      </c>
      <c r="D69" s="293"/>
      <c r="E69" s="313">
        <v>55</v>
      </c>
      <c r="F69" s="314">
        <f t="shared" ref="F69:F77" si="11">E69*D69</f>
        <v>0</v>
      </c>
      <c r="G69" s="296"/>
      <c r="H69" s="296"/>
      <c r="I69" s="296"/>
      <c r="J69" s="296"/>
      <c r="K69" s="296"/>
      <c r="L69" s="297">
        <f t="shared" si="10"/>
        <v>0</v>
      </c>
      <c r="M69" s="298">
        <v>43437</v>
      </c>
      <c r="N69" s="298">
        <v>43459</v>
      </c>
      <c r="O69" s="315"/>
      <c r="P69" s="300"/>
    </row>
    <row r="70" spans="1:16" s="301" customFormat="1" x14ac:dyDescent="0.2">
      <c r="A70" s="290">
        <v>4682</v>
      </c>
      <c r="B70" s="291" t="s">
        <v>235</v>
      </c>
      <c r="C70" s="292" t="s">
        <v>273</v>
      </c>
      <c r="D70" s="293">
        <v>225</v>
      </c>
      <c r="E70" s="313">
        <v>12.5</v>
      </c>
      <c r="F70" s="314">
        <f t="shared" si="11"/>
        <v>2812.5</v>
      </c>
      <c r="G70" s="296">
        <v>393</v>
      </c>
      <c r="H70" s="296"/>
      <c r="I70" s="352">
        <v>225</v>
      </c>
      <c r="J70" s="296"/>
      <c r="K70" s="296"/>
      <c r="L70" s="297">
        <f t="shared" si="10"/>
        <v>2812.5</v>
      </c>
      <c r="M70" s="298"/>
      <c r="N70" s="298"/>
      <c r="O70" s="315"/>
      <c r="P70" s="300"/>
    </row>
    <row r="71" spans="1:16" s="301" customFormat="1" x14ac:dyDescent="0.2">
      <c r="A71" s="290"/>
      <c r="B71" s="291"/>
      <c r="C71" s="292"/>
      <c r="D71" s="293"/>
      <c r="E71" s="313"/>
      <c r="F71" s="314">
        <f t="shared" si="11"/>
        <v>0</v>
      </c>
      <c r="G71" s="296"/>
      <c r="H71" s="296"/>
      <c r="I71" s="296"/>
      <c r="J71" s="296"/>
      <c r="K71" s="296"/>
      <c r="L71" s="297">
        <f t="shared" si="10"/>
        <v>0</v>
      </c>
      <c r="M71" s="298"/>
      <c r="N71" s="298"/>
      <c r="O71" s="315"/>
      <c r="P71" s="300"/>
    </row>
    <row r="72" spans="1:16" s="301" customFormat="1" x14ac:dyDescent="0.2">
      <c r="A72" s="290"/>
      <c r="B72" s="291"/>
      <c r="C72" s="292"/>
      <c r="D72" s="293"/>
      <c r="E72" s="313"/>
      <c r="F72" s="314">
        <f t="shared" si="11"/>
        <v>0</v>
      </c>
      <c r="G72" s="296"/>
      <c r="H72" s="296"/>
      <c r="I72" s="296"/>
      <c r="J72" s="296"/>
      <c r="K72" s="296"/>
      <c r="L72" s="297">
        <f t="shared" si="10"/>
        <v>0</v>
      </c>
      <c r="M72" s="298"/>
      <c r="N72" s="298"/>
      <c r="O72" s="315"/>
      <c r="P72" s="300"/>
    </row>
    <row r="73" spans="1:16" s="301" customFormat="1" x14ac:dyDescent="0.2">
      <c r="A73" s="290">
        <v>4832</v>
      </c>
      <c r="B73" s="291" t="s">
        <v>241</v>
      </c>
      <c r="C73" s="292" t="s">
        <v>242</v>
      </c>
      <c r="D73" s="293">
        <v>50</v>
      </c>
      <c r="E73" s="313">
        <v>4640</v>
      </c>
      <c r="F73" s="314">
        <f t="shared" si="11"/>
        <v>232000</v>
      </c>
      <c r="G73" s="296">
        <v>50</v>
      </c>
      <c r="H73" s="296"/>
      <c r="I73" s="296"/>
      <c r="J73" s="296"/>
      <c r="K73" s="296">
        <v>50</v>
      </c>
      <c r="L73" s="297">
        <f t="shared" si="10"/>
        <v>232000</v>
      </c>
      <c r="M73" s="298"/>
      <c r="N73" s="298"/>
      <c r="O73" s="315"/>
      <c r="P73" s="300"/>
    </row>
    <row r="74" spans="1:16" s="301" customFormat="1" x14ac:dyDescent="0.2">
      <c r="A74" s="290">
        <v>4866</v>
      </c>
      <c r="B74" s="291" t="s">
        <v>241</v>
      </c>
      <c r="C74" s="292" t="s">
        <v>276</v>
      </c>
      <c r="D74" s="293">
        <v>1</v>
      </c>
      <c r="E74" s="313">
        <v>1860</v>
      </c>
      <c r="F74" s="314">
        <f t="shared" si="11"/>
        <v>1860</v>
      </c>
      <c r="G74" s="296">
        <v>1</v>
      </c>
      <c r="H74" s="296"/>
      <c r="I74" s="296"/>
      <c r="J74" s="352">
        <v>1</v>
      </c>
      <c r="K74" s="296"/>
      <c r="L74" s="297">
        <f t="shared" si="10"/>
        <v>1860</v>
      </c>
      <c r="M74" s="298">
        <v>43480</v>
      </c>
      <c r="N74" s="298">
        <v>43482</v>
      </c>
      <c r="O74" s="315"/>
      <c r="P74" s="300"/>
    </row>
    <row r="75" spans="1:16" s="301" customFormat="1" x14ac:dyDescent="0.2">
      <c r="A75" s="290">
        <v>4877</v>
      </c>
      <c r="B75" s="291" t="s">
        <v>241</v>
      </c>
      <c r="C75" s="292" t="s">
        <v>292</v>
      </c>
      <c r="D75" s="293">
        <v>100</v>
      </c>
      <c r="E75" s="313">
        <v>30</v>
      </c>
      <c r="F75" s="314">
        <f t="shared" si="11"/>
        <v>3000</v>
      </c>
      <c r="G75" s="296">
        <v>100</v>
      </c>
      <c r="H75" s="296"/>
      <c r="I75" s="296"/>
      <c r="J75" s="296"/>
      <c r="K75" s="352">
        <v>100</v>
      </c>
      <c r="L75" s="297">
        <f t="shared" si="10"/>
        <v>3000</v>
      </c>
      <c r="M75" s="298">
        <v>43483</v>
      </c>
      <c r="N75" s="298">
        <v>43488</v>
      </c>
      <c r="O75" s="315"/>
      <c r="P75" s="300"/>
    </row>
    <row r="76" spans="1:16" s="301" customFormat="1" x14ac:dyDescent="0.2">
      <c r="A76" s="290">
        <v>4878</v>
      </c>
      <c r="B76" s="291" t="s">
        <v>241</v>
      </c>
      <c r="C76" s="292" t="s">
        <v>293</v>
      </c>
      <c r="D76" s="293">
        <v>200</v>
      </c>
      <c r="E76" s="313">
        <v>25</v>
      </c>
      <c r="F76" s="314">
        <f t="shared" si="11"/>
        <v>5000</v>
      </c>
      <c r="G76" s="296">
        <v>200</v>
      </c>
      <c r="H76" s="296"/>
      <c r="I76" s="296"/>
      <c r="J76" s="296"/>
      <c r="K76" s="352">
        <v>200</v>
      </c>
      <c r="L76" s="297">
        <f t="shared" si="10"/>
        <v>5000</v>
      </c>
      <c r="M76" s="298">
        <v>43483</v>
      </c>
      <c r="N76" s="298">
        <v>43488</v>
      </c>
      <c r="O76" s="315"/>
      <c r="P76" s="300"/>
    </row>
    <row r="77" spans="1:16" s="301" customFormat="1" x14ac:dyDescent="0.2">
      <c r="A77" s="290">
        <v>4879</v>
      </c>
      <c r="B77" s="291" t="s">
        <v>241</v>
      </c>
      <c r="C77" s="292" t="s">
        <v>294</v>
      </c>
      <c r="D77" s="293">
        <v>1</v>
      </c>
      <c r="E77" s="313">
        <v>1650</v>
      </c>
      <c r="F77" s="314">
        <f t="shared" si="11"/>
        <v>1650</v>
      </c>
      <c r="G77" s="296">
        <v>1</v>
      </c>
      <c r="H77" s="296"/>
      <c r="I77" s="296"/>
      <c r="J77" s="352">
        <v>1</v>
      </c>
      <c r="K77" s="296"/>
      <c r="L77" s="297">
        <f t="shared" si="10"/>
        <v>1650</v>
      </c>
      <c r="M77" s="298">
        <v>43483</v>
      </c>
      <c r="N77" s="298">
        <v>43488</v>
      </c>
      <c r="O77" s="315"/>
      <c r="P77" s="300"/>
    </row>
    <row r="78" spans="1:16" s="301" customFormat="1" x14ac:dyDescent="0.2">
      <c r="A78" s="290">
        <v>4895</v>
      </c>
      <c r="B78" s="291" t="s">
        <v>241</v>
      </c>
      <c r="C78" s="292" t="s">
        <v>295</v>
      </c>
      <c r="D78" s="293">
        <v>20</v>
      </c>
      <c r="E78" s="313">
        <v>970</v>
      </c>
      <c r="F78" s="314">
        <f t="shared" ref="F78:F93" si="12">E78*D78</f>
        <v>19400</v>
      </c>
      <c r="G78" s="296">
        <v>20</v>
      </c>
      <c r="H78" s="296"/>
      <c r="I78" s="296"/>
      <c r="J78" s="352">
        <v>20</v>
      </c>
      <c r="K78" s="296"/>
      <c r="L78" s="297">
        <f t="shared" ref="L78:L93" si="13">E78*(H78+I78+J78+K78)</f>
        <v>19400</v>
      </c>
      <c r="M78" s="298">
        <v>43483</v>
      </c>
      <c r="N78" s="298">
        <v>43488</v>
      </c>
      <c r="O78" s="315"/>
      <c r="P78" s="300"/>
    </row>
    <row r="79" spans="1:16" s="301" customFormat="1" x14ac:dyDescent="0.2">
      <c r="A79" s="290">
        <v>4839</v>
      </c>
      <c r="B79" s="353" t="s">
        <v>241</v>
      </c>
      <c r="C79" s="354" t="s">
        <v>242</v>
      </c>
      <c r="D79" s="355">
        <v>60</v>
      </c>
      <c r="E79" s="356"/>
      <c r="F79" s="314">
        <f t="shared" si="12"/>
        <v>0</v>
      </c>
      <c r="G79" s="296"/>
      <c r="H79" s="296"/>
      <c r="I79" s="296"/>
      <c r="J79" s="296"/>
      <c r="K79" s="296"/>
      <c r="L79" s="297">
        <f t="shared" si="13"/>
        <v>0</v>
      </c>
      <c r="M79" s="298">
        <v>43488</v>
      </c>
      <c r="N79" s="298">
        <v>43511</v>
      </c>
      <c r="O79" s="315"/>
      <c r="P79" s="300"/>
    </row>
    <row r="80" spans="1:16" s="301" customFormat="1" x14ac:dyDescent="0.2">
      <c r="A80" s="290">
        <v>4909</v>
      </c>
      <c r="B80" s="353" t="s">
        <v>241</v>
      </c>
      <c r="C80" s="354" t="s">
        <v>242</v>
      </c>
      <c r="D80" s="355">
        <v>48</v>
      </c>
      <c r="E80" s="323"/>
      <c r="F80" s="314">
        <f>E80*D80</f>
        <v>0</v>
      </c>
      <c r="G80" s="296"/>
      <c r="H80" s="296"/>
      <c r="I80" s="296"/>
      <c r="J80" s="296"/>
      <c r="K80" s="296"/>
      <c r="L80" s="297">
        <f>E80*(H80+I80+J80+K80)</f>
        <v>0</v>
      </c>
      <c r="M80" s="298">
        <v>43490</v>
      </c>
      <c r="N80" s="298">
        <v>43524</v>
      </c>
      <c r="O80" s="315"/>
      <c r="P80" s="300"/>
    </row>
    <row r="81" spans="1:16" s="301" customFormat="1" ht="15" x14ac:dyDescent="0.25">
      <c r="A81" s="371"/>
      <c r="B81" s="353"/>
      <c r="C81" s="354"/>
      <c r="D81" s="355"/>
      <c r="E81" s="323"/>
      <c r="F81" s="314">
        <f t="shared" si="12"/>
        <v>0</v>
      </c>
      <c r="G81" s="296"/>
      <c r="H81" s="296"/>
      <c r="I81" s="296"/>
      <c r="J81" s="296"/>
      <c r="K81" s="296"/>
      <c r="L81" s="297">
        <f t="shared" si="13"/>
        <v>0</v>
      </c>
      <c r="M81" s="298"/>
      <c r="N81" s="298"/>
      <c r="O81" s="315"/>
      <c r="P81" s="300"/>
    </row>
    <row r="82" spans="1:16" s="301" customFormat="1" ht="15" x14ac:dyDescent="0.25">
      <c r="A82" s="371"/>
      <c r="B82" s="353"/>
      <c r="C82" s="354"/>
      <c r="D82" s="355"/>
      <c r="E82" s="323"/>
      <c r="F82" s="314">
        <f t="shared" si="12"/>
        <v>0</v>
      </c>
      <c r="G82" s="296"/>
      <c r="H82" s="296"/>
      <c r="I82" s="296"/>
      <c r="J82" s="296"/>
      <c r="K82" s="296"/>
      <c r="L82" s="297">
        <f t="shared" si="13"/>
        <v>0</v>
      </c>
      <c r="M82" s="298"/>
      <c r="N82" s="298"/>
      <c r="O82" s="315"/>
      <c r="P82" s="300"/>
    </row>
    <row r="83" spans="1:16" s="301" customFormat="1" x14ac:dyDescent="0.2">
      <c r="A83" s="290">
        <v>4841</v>
      </c>
      <c r="B83" s="291" t="s">
        <v>352</v>
      </c>
      <c r="C83" s="292" t="s">
        <v>244</v>
      </c>
      <c r="D83" s="293"/>
      <c r="E83" s="313">
        <v>55</v>
      </c>
      <c r="F83" s="314">
        <f t="shared" si="12"/>
        <v>0</v>
      </c>
      <c r="G83" s="296">
        <f>153+711</f>
        <v>864</v>
      </c>
      <c r="H83" s="296"/>
      <c r="I83" s="296"/>
      <c r="J83" s="296"/>
      <c r="K83" s="357">
        <f>150+714</f>
        <v>864</v>
      </c>
      <c r="L83" s="297">
        <f t="shared" si="13"/>
        <v>47520</v>
      </c>
      <c r="M83" s="298"/>
      <c r="N83" s="298"/>
      <c r="O83" s="315"/>
      <c r="P83" s="300"/>
    </row>
    <row r="84" spans="1:16" s="301" customFormat="1" x14ac:dyDescent="0.2">
      <c r="A84" s="290">
        <v>4842</v>
      </c>
      <c r="B84" s="291" t="s">
        <v>352</v>
      </c>
      <c r="C84" s="292" t="s">
        <v>245</v>
      </c>
      <c r="D84" s="293"/>
      <c r="E84" s="313">
        <v>55</v>
      </c>
      <c r="F84" s="314">
        <f t="shared" si="12"/>
        <v>0</v>
      </c>
      <c r="G84" s="296">
        <f>120+148</f>
        <v>268</v>
      </c>
      <c r="H84" s="296"/>
      <c r="I84" s="296"/>
      <c r="J84" s="296"/>
      <c r="K84" s="357">
        <v>268</v>
      </c>
      <c r="L84" s="297">
        <f t="shared" si="13"/>
        <v>14740</v>
      </c>
      <c r="M84" s="298"/>
      <c r="N84" s="298"/>
      <c r="O84" s="315"/>
      <c r="P84" s="300"/>
    </row>
    <row r="85" spans="1:16" s="301" customFormat="1" x14ac:dyDescent="0.2">
      <c r="A85" s="290">
        <v>4843</v>
      </c>
      <c r="B85" s="291" t="s">
        <v>352</v>
      </c>
      <c r="C85" s="292" t="s">
        <v>246</v>
      </c>
      <c r="D85" s="293"/>
      <c r="E85" s="313">
        <v>55</v>
      </c>
      <c r="F85" s="314">
        <f t="shared" si="12"/>
        <v>0</v>
      </c>
      <c r="G85" s="296">
        <f>257+75</f>
        <v>332</v>
      </c>
      <c r="H85" s="296"/>
      <c r="I85" s="296"/>
      <c r="J85" s="296"/>
      <c r="K85" s="357">
        <v>332</v>
      </c>
      <c r="L85" s="297">
        <f t="shared" si="13"/>
        <v>18260</v>
      </c>
      <c r="M85" s="298"/>
      <c r="N85" s="298"/>
      <c r="O85" s="315"/>
      <c r="P85" s="300"/>
    </row>
    <row r="86" spans="1:16" s="301" customFormat="1" x14ac:dyDescent="0.2">
      <c r="A86" s="290">
        <v>4623</v>
      </c>
      <c r="B86" s="291" t="s">
        <v>243</v>
      </c>
      <c r="C86" s="292" t="s">
        <v>247</v>
      </c>
      <c r="D86" s="293"/>
      <c r="E86" s="313">
        <v>70000</v>
      </c>
      <c r="F86" s="314">
        <f t="shared" si="12"/>
        <v>0</v>
      </c>
      <c r="G86" s="296"/>
      <c r="H86" s="296"/>
      <c r="I86" s="296"/>
      <c r="J86" s="296"/>
      <c r="K86" s="296"/>
      <c r="L86" s="297">
        <f t="shared" si="13"/>
        <v>0</v>
      </c>
      <c r="M86" s="298"/>
      <c r="N86" s="298"/>
      <c r="O86" s="315"/>
      <c r="P86" s="300"/>
    </row>
    <row r="87" spans="1:16" s="301" customFormat="1" x14ac:dyDescent="0.2">
      <c r="A87" s="290">
        <v>4913</v>
      </c>
      <c r="B87" s="353" t="s">
        <v>352</v>
      </c>
      <c r="C87" s="360" t="s">
        <v>318</v>
      </c>
      <c r="D87" s="293"/>
      <c r="E87" s="361">
        <v>62.28</v>
      </c>
      <c r="F87" s="314">
        <f>E87*D87</f>
        <v>0</v>
      </c>
      <c r="G87" s="296">
        <v>196</v>
      </c>
      <c r="H87" s="296"/>
      <c r="I87" s="296"/>
      <c r="J87" s="296"/>
      <c r="K87" s="352">
        <v>196</v>
      </c>
      <c r="L87" s="297">
        <f>E87*(H87+I87+J87+K87)</f>
        <v>12206.880000000001</v>
      </c>
      <c r="M87" s="298"/>
      <c r="N87" s="298"/>
      <c r="O87" s="315"/>
      <c r="P87" s="300"/>
    </row>
    <row r="88" spans="1:16" s="301" customFormat="1" x14ac:dyDescent="0.2">
      <c r="A88" s="290">
        <v>4914</v>
      </c>
      <c r="B88" s="353" t="s">
        <v>352</v>
      </c>
      <c r="C88" s="360" t="s">
        <v>319</v>
      </c>
      <c r="D88" s="293"/>
      <c r="E88" s="361">
        <v>62.28</v>
      </c>
      <c r="F88" s="314">
        <f>E88*D88</f>
        <v>0</v>
      </c>
      <c r="G88" s="296">
        <v>190</v>
      </c>
      <c r="H88" s="296"/>
      <c r="I88" s="296"/>
      <c r="J88" s="296"/>
      <c r="K88" s="352">
        <v>190</v>
      </c>
      <c r="L88" s="297">
        <f>E88*(H88+I88+J88+K88)</f>
        <v>11833.2</v>
      </c>
      <c r="M88" s="298"/>
      <c r="N88" s="298"/>
      <c r="O88" s="315"/>
      <c r="P88" s="300"/>
    </row>
    <row r="89" spans="1:16" s="301" customFormat="1" x14ac:dyDescent="0.2">
      <c r="A89" s="290">
        <v>4915</v>
      </c>
      <c r="B89" s="353" t="s">
        <v>352</v>
      </c>
      <c r="C89" s="360" t="s">
        <v>320</v>
      </c>
      <c r="D89" s="293"/>
      <c r="E89" s="361">
        <v>39.17</v>
      </c>
      <c r="F89" s="314">
        <f>E89*D89</f>
        <v>0</v>
      </c>
      <c r="G89" s="296">
        <f>67+36</f>
        <v>103</v>
      </c>
      <c r="H89" s="296"/>
      <c r="I89" s="296"/>
      <c r="J89" s="296"/>
      <c r="K89" s="352">
        <v>103</v>
      </c>
      <c r="L89" s="297">
        <f>E89*(H89+I89+J89+K89)</f>
        <v>4034.51</v>
      </c>
      <c r="M89" s="298"/>
      <c r="N89" s="298"/>
      <c r="O89" s="315"/>
      <c r="P89" s="300"/>
    </row>
    <row r="90" spans="1:16" s="301" customFormat="1" ht="15" x14ac:dyDescent="0.2">
      <c r="A90" s="290"/>
      <c r="B90" s="291"/>
      <c r="C90" s="292"/>
      <c r="D90" s="293"/>
      <c r="E90" s="358"/>
      <c r="F90" s="314">
        <f t="shared" si="12"/>
        <v>0</v>
      </c>
      <c r="G90" s="296"/>
      <c r="H90" s="296"/>
      <c r="I90" s="296"/>
      <c r="J90" s="296"/>
      <c r="K90" s="296"/>
      <c r="L90" s="297">
        <f t="shared" si="13"/>
        <v>0</v>
      </c>
      <c r="M90" s="298"/>
      <c r="N90" s="298"/>
      <c r="O90" s="315"/>
      <c r="P90" s="300"/>
    </row>
    <row r="91" spans="1:16" s="301" customFormat="1" x14ac:dyDescent="0.2">
      <c r="A91" s="290"/>
      <c r="B91" s="291"/>
      <c r="C91" s="292"/>
      <c r="D91" s="293"/>
      <c r="E91" s="313"/>
      <c r="F91" s="314">
        <f t="shared" si="12"/>
        <v>0</v>
      </c>
      <c r="G91" s="296"/>
      <c r="H91" s="296"/>
      <c r="I91" s="296"/>
      <c r="J91" s="296"/>
      <c r="K91" s="296"/>
      <c r="L91" s="297">
        <f t="shared" si="13"/>
        <v>0</v>
      </c>
      <c r="M91" s="298"/>
      <c r="N91" s="298"/>
      <c r="O91" s="315"/>
      <c r="P91" s="300"/>
    </row>
    <row r="92" spans="1:16" s="301" customFormat="1" x14ac:dyDescent="0.2">
      <c r="A92" s="290"/>
      <c r="B92" s="291"/>
      <c r="C92" s="292"/>
      <c r="D92" s="293"/>
      <c r="E92" s="313"/>
      <c r="F92" s="314">
        <f t="shared" si="12"/>
        <v>0</v>
      </c>
      <c r="G92" s="296"/>
      <c r="H92" s="296"/>
      <c r="I92" s="296"/>
      <c r="J92" s="296"/>
      <c r="K92" s="296"/>
      <c r="L92" s="297">
        <f t="shared" si="13"/>
        <v>0</v>
      </c>
      <c r="M92" s="298"/>
      <c r="N92" s="298"/>
      <c r="O92" s="315"/>
      <c r="P92" s="300"/>
    </row>
    <row r="93" spans="1:16" s="301" customFormat="1" x14ac:dyDescent="0.2">
      <c r="A93" s="290" t="s">
        <v>277</v>
      </c>
      <c r="B93" s="291" t="s">
        <v>248</v>
      </c>
      <c r="C93" s="292" t="s">
        <v>249</v>
      </c>
      <c r="D93" s="293">
        <v>2</v>
      </c>
      <c r="E93" s="313">
        <v>1888</v>
      </c>
      <c r="F93" s="314">
        <f t="shared" si="12"/>
        <v>3776</v>
      </c>
      <c r="G93" s="296">
        <v>2</v>
      </c>
      <c r="H93" s="296"/>
      <c r="I93" s="352">
        <v>2</v>
      </c>
      <c r="J93" s="296"/>
      <c r="K93" s="296"/>
      <c r="L93" s="297">
        <f t="shared" si="13"/>
        <v>3776</v>
      </c>
      <c r="M93" s="298"/>
      <c r="N93" s="298">
        <v>43420</v>
      </c>
      <c r="O93" s="315"/>
      <c r="P93" s="300"/>
    </row>
    <row r="94" spans="1:16" s="301" customFormat="1" x14ac:dyDescent="0.2">
      <c r="A94" s="290"/>
      <c r="B94" s="291"/>
      <c r="C94" s="292"/>
      <c r="D94" s="293"/>
      <c r="E94" s="313"/>
      <c r="F94" s="314">
        <f t="shared" si="6"/>
        <v>0</v>
      </c>
      <c r="G94" s="296"/>
      <c r="H94" s="296"/>
      <c r="I94" s="296"/>
      <c r="J94" s="296"/>
      <c r="K94" s="296"/>
      <c r="L94" s="297">
        <f t="shared" ref="L94:L102" si="14">E94*(H94+I94+J94+K94)</f>
        <v>0</v>
      </c>
      <c r="M94" s="298"/>
      <c r="N94" s="298"/>
      <c r="O94" s="315"/>
      <c r="P94" s="300"/>
    </row>
    <row r="95" spans="1:16" s="301" customFormat="1" x14ac:dyDescent="0.2">
      <c r="A95" s="290">
        <v>4860</v>
      </c>
      <c r="B95" s="291" t="s">
        <v>263</v>
      </c>
      <c r="C95" s="292" t="s">
        <v>264</v>
      </c>
      <c r="D95" s="293">
        <v>5</v>
      </c>
      <c r="E95" s="313">
        <v>205</v>
      </c>
      <c r="F95" s="314">
        <f t="shared" si="6"/>
        <v>1025</v>
      </c>
      <c r="G95" s="296">
        <v>5</v>
      </c>
      <c r="H95" s="352">
        <v>5</v>
      </c>
      <c r="I95" s="296"/>
      <c r="J95" s="296"/>
      <c r="K95" s="296"/>
      <c r="L95" s="297">
        <f t="shared" si="14"/>
        <v>1025</v>
      </c>
      <c r="M95" s="298"/>
      <c r="N95" s="298"/>
      <c r="O95" s="315"/>
      <c r="P95" s="300"/>
    </row>
    <row r="96" spans="1:16" s="301" customFormat="1" x14ac:dyDescent="0.2">
      <c r="A96" s="290"/>
      <c r="B96" s="291"/>
      <c r="C96" s="292"/>
      <c r="D96" s="293"/>
      <c r="E96" s="313"/>
      <c r="F96" s="314">
        <f t="shared" si="6"/>
        <v>0</v>
      </c>
      <c r="G96" s="296"/>
      <c r="H96" s="296"/>
      <c r="I96" s="296"/>
      <c r="J96" s="296"/>
      <c r="K96" s="296"/>
      <c r="L96" s="297">
        <f t="shared" si="14"/>
        <v>0</v>
      </c>
      <c r="M96" s="298"/>
      <c r="N96" s="298"/>
      <c r="O96" s="315"/>
      <c r="P96" s="300"/>
    </row>
    <row r="97" spans="1:16" s="301" customFormat="1" x14ac:dyDescent="0.2">
      <c r="A97" s="290">
        <v>4808</v>
      </c>
      <c r="B97" s="291" t="s">
        <v>266</v>
      </c>
      <c r="C97" s="292" t="s">
        <v>267</v>
      </c>
      <c r="D97" s="293">
        <v>1</v>
      </c>
      <c r="E97" s="313">
        <v>1350</v>
      </c>
      <c r="F97" s="314">
        <f>E97*D97</f>
        <v>1350</v>
      </c>
      <c r="G97" s="296">
        <v>1</v>
      </c>
      <c r="H97" s="296"/>
      <c r="I97" s="296"/>
      <c r="J97" s="352">
        <v>1</v>
      </c>
      <c r="K97" s="296"/>
      <c r="L97" s="297">
        <f>E97*(H97+I97+J97+K97)</f>
        <v>1350</v>
      </c>
      <c r="M97" s="298"/>
      <c r="N97" s="298"/>
      <c r="O97" s="315"/>
      <c r="P97" s="300"/>
    </row>
    <row r="98" spans="1:16" s="301" customFormat="1" x14ac:dyDescent="0.2">
      <c r="A98" s="290">
        <v>4809</v>
      </c>
      <c r="B98" s="291" t="s">
        <v>266</v>
      </c>
      <c r="C98" s="292" t="s">
        <v>268</v>
      </c>
      <c r="D98" s="293">
        <v>1</v>
      </c>
      <c r="E98" s="313">
        <v>660</v>
      </c>
      <c r="F98" s="314">
        <f>E98*D98</f>
        <v>660</v>
      </c>
      <c r="G98" s="296">
        <v>1</v>
      </c>
      <c r="H98" s="296"/>
      <c r="I98" s="296"/>
      <c r="J98" s="352">
        <v>1</v>
      </c>
      <c r="K98" s="296"/>
      <c r="L98" s="297">
        <f>E98*(H98+I98+J98+K98)</f>
        <v>660</v>
      </c>
      <c r="M98" s="298"/>
      <c r="N98" s="298"/>
      <c r="O98" s="315"/>
      <c r="P98" s="300"/>
    </row>
    <row r="99" spans="1:16" s="301" customFormat="1" x14ac:dyDescent="0.2">
      <c r="A99" s="290"/>
      <c r="B99" s="291"/>
      <c r="C99" s="292"/>
      <c r="D99" s="293"/>
      <c r="E99" s="313"/>
      <c r="F99" s="314">
        <f t="shared" si="6"/>
        <v>0</v>
      </c>
      <c r="G99" s="296"/>
      <c r="H99" s="296"/>
      <c r="I99" s="296"/>
      <c r="J99" s="296"/>
      <c r="K99" s="296"/>
      <c r="L99" s="297">
        <f t="shared" si="14"/>
        <v>0</v>
      </c>
      <c r="M99" s="298"/>
      <c r="N99" s="298"/>
      <c r="O99" s="315"/>
      <c r="P99" s="300"/>
    </row>
    <row r="100" spans="1:16" s="301" customFormat="1" x14ac:dyDescent="0.2">
      <c r="A100" s="290">
        <v>4861</v>
      </c>
      <c r="B100" s="291" t="s">
        <v>269</v>
      </c>
      <c r="C100" s="292" t="s">
        <v>270</v>
      </c>
      <c r="D100" s="293">
        <v>100</v>
      </c>
      <c r="E100" s="313">
        <v>6855</v>
      </c>
      <c r="F100" s="314">
        <f>E100*D100</f>
        <v>685500</v>
      </c>
      <c r="G100" s="296">
        <v>100</v>
      </c>
      <c r="H100" s="296"/>
      <c r="I100" s="296"/>
      <c r="J100" s="296"/>
      <c r="K100" s="357">
        <v>100</v>
      </c>
      <c r="L100" s="297">
        <f>E100*(H100+I100+J100+K100)</f>
        <v>685500</v>
      </c>
      <c r="M100" s="298"/>
      <c r="N100" s="298">
        <v>43496</v>
      </c>
      <c r="O100" s="315"/>
      <c r="P100" s="300"/>
    </row>
    <row r="101" spans="1:16" s="301" customFormat="1" x14ac:dyDescent="0.2">
      <c r="A101" s="290"/>
      <c r="B101" s="291"/>
      <c r="C101" s="292"/>
      <c r="D101" s="293"/>
      <c r="E101" s="313"/>
      <c r="F101" s="314">
        <f>E101*D101</f>
        <v>0</v>
      </c>
      <c r="G101" s="296"/>
      <c r="H101" s="296"/>
      <c r="I101" s="296"/>
      <c r="J101" s="296"/>
      <c r="K101" s="352"/>
      <c r="L101" s="297">
        <f>E101*(H101+I101+J101+K101)</f>
        <v>0</v>
      </c>
      <c r="M101" s="298"/>
      <c r="N101" s="298"/>
      <c r="O101" s="315"/>
      <c r="P101" s="300"/>
    </row>
    <row r="102" spans="1:16" s="301" customFormat="1" x14ac:dyDescent="0.2">
      <c r="A102" s="290" t="s">
        <v>271</v>
      </c>
      <c r="B102" s="291" t="s">
        <v>281</v>
      </c>
      <c r="C102" s="292" t="s">
        <v>272</v>
      </c>
      <c r="D102" s="293">
        <v>1</v>
      </c>
      <c r="E102" s="313">
        <v>2500</v>
      </c>
      <c r="F102" s="314">
        <f t="shared" si="6"/>
        <v>2500</v>
      </c>
      <c r="G102" s="296">
        <v>1</v>
      </c>
      <c r="H102" s="296">
        <v>1</v>
      </c>
      <c r="I102" s="296"/>
      <c r="J102" s="296"/>
      <c r="K102" s="296"/>
      <c r="L102" s="297">
        <f t="shared" si="14"/>
        <v>2500</v>
      </c>
      <c r="M102" s="298"/>
      <c r="N102" s="298"/>
      <c r="O102" s="315"/>
      <c r="P102" s="300"/>
    </row>
    <row r="103" spans="1:16" s="301" customFormat="1" x14ac:dyDescent="0.2">
      <c r="A103" s="290"/>
      <c r="B103" s="291"/>
      <c r="C103" s="292"/>
      <c r="D103" s="293"/>
      <c r="E103" s="313"/>
      <c r="F103" s="314">
        <f t="shared" ref="F103:F188" si="15">E103*D103</f>
        <v>0</v>
      </c>
      <c r="G103" s="296"/>
      <c r="H103" s="296"/>
      <c r="I103" s="296"/>
      <c r="J103" s="296"/>
      <c r="K103" s="296"/>
      <c r="L103" s="297">
        <f t="shared" ref="L103:L188" si="16">E103*(H103+I103+J103+K103)</f>
        <v>0</v>
      </c>
      <c r="M103" s="298"/>
      <c r="N103" s="298"/>
      <c r="O103" s="315"/>
      <c r="P103" s="300"/>
    </row>
    <row r="104" spans="1:16" s="301" customFormat="1" x14ac:dyDescent="0.2">
      <c r="A104" s="319">
        <v>4870</v>
      </c>
      <c r="B104" s="320" t="s">
        <v>282</v>
      </c>
      <c r="C104" s="321" t="s">
        <v>283</v>
      </c>
      <c r="D104" s="322">
        <v>1</v>
      </c>
      <c r="E104" s="323">
        <v>650</v>
      </c>
      <c r="F104" s="314">
        <f t="shared" si="15"/>
        <v>650</v>
      </c>
      <c r="G104" s="296">
        <v>1</v>
      </c>
      <c r="H104" s="296"/>
      <c r="I104" s="296"/>
      <c r="J104" s="296"/>
      <c r="K104" s="352">
        <v>1</v>
      </c>
      <c r="L104" s="297">
        <f t="shared" si="16"/>
        <v>650</v>
      </c>
      <c r="M104" s="298">
        <v>43482</v>
      </c>
      <c r="N104" s="298">
        <v>43486</v>
      </c>
      <c r="O104" s="315"/>
      <c r="P104" s="300"/>
    </row>
    <row r="105" spans="1:16" s="301" customFormat="1" x14ac:dyDescent="0.2">
      <c r="A105" s="290"/>
      <c r="B105" s="291"/>
      <c r="C105" s="292"/>
      <c r="D105" s="293"/>
      <c r="E105" s="313"/>
      <c r="F105" s="314">
        <f t="shared" si="15"/>
        <v>0</v>
      </c>
      <c r="G105" s="296"/>
      <c r="H105" s="296"/>
      <c r="I105" s="296"/>
      <c r="J105" s="296"/>
      <c r="K105" s="296"/>
      <c r="L105" s="297">
        <f t="shared" si="16"/>
        <v>0</v>
      </c>
      <c r="M105" s="298"/>
      <c r="N105" s="298"/>
      <c r="O105" s="315"/>
      <c r="P105" s="300"/>
    </row>
    <row r="106" spans="1:16" s="301" customFormat="1" x14ac:dyDescent="0.2">
      <c r="A106" s="319">
        <v>4850</v>
      </c>
      <c r="B106" s="320" t="s">
        <v>284</v>
      </c>
      <c r="C106" s="321" t="s">
        <v>285</v>
      </c>
      <c r="D106" s="322">
        <v>1</v>
      </c>
      <c r="E106" s="323">
        <v>1425</v>
      </c>
      <c r="F106" s="314">
        <f t="shared" si="15"/>
        <v>1425</v>
      </c>
      <c r="G106" s="296">
        <v>1</v>
      </c>
      <c r="H106" s="296"/>
      <c r="I106" s="296"/>
      <c r="J106" s="357">
        <v>1</v>
      </c>
      <c r="K106" s="296"/>
      <c r="L106" s="297">
        <f t="shared" si="16"/>
        <v>1425</v>
      </c>
      <c r="M106" s="298">
        <v>43482</v>
      </c>
      <c r="N106" s="298">
        <v>43495</v>
      </c>
      <c r="O106" s="315"/>
      <c r="P106" s="300"/>
    </row>
    <row r="107" spans="1:16" s="301" customFormat="1" x14ac:dyDescent="0.2">
      <c r="A107" s="319">
        <v>4851</v>
      </c>
      <c r="B107" s="320" t="s">
        <v>284</v>
      </c>
      <c r="C107" s="321" t="s">
        <v>286</v>
      </c>
      <c r="D107" s="373">
        <v>20</v>
      </c>
      <c r="E107" s="323">
        <v>980</v>
      </c>
      <c r="F107" s="314">
        <f t="shared" ref="F107:F113" si="17">E107*D107</f>
        <v>19600</v>
      </c>
      <c r="G107" s="296"/>
      <c r="H107" s="296"/>
      <c r="I107" s="296"/>
      <c r="J107" s="296"/>
      <c r="K107" s="296"/>
      <c r="L107" s="297">
        <f t="shared" ref="L107:L114" si="18">E107*(H107+I107+J107+K107)</f>
        <v>0</v>
      </c>
      <c r="M107" s="298">
        <v>43482</v>
      </c>
      <c r="N107" s="298">
        <v>43495</v>
      </c>
      <c r="O107" s="315"/>
      <c r="P107" s="300"/>
    </row>
    <row r="108" spans="1:16" s="301" customFormat="1" x14ac:dyDescent="0.2">
      <c r="A108" s="319">
        <v>4852</v>
      </c>
      <c r="B108" s="320" t="s">
        <v>284</v>
      </c>
      <c r="C108" s="321" t="s">
        <v>287</v>
      </c>
      <c r="D108" s="373">
        <v>20</v>
      </c>
      <c r="E108" s="323">
        <v>230</v>
      </c>
      <c r="F108" s="314">
        <f t="shared" si="17"/>
        <v>4600</v>
      </c>
      <c r="G108" s="296"/>
      <c r="H108" s="296"/>
      <c r="I108" s="296"/>
      <c r="J108" s="296"/>
      <c r="K108" s="296"/>
      <c r="L108" s="297">
        <f t="shared" si="18"/>
        <v>0</v>
      </c>
      <c r="M108" s="298">
        <v>43482</v>
      </c>
      <c r="N108" s="298">
        <v>43495</v>
      </c>
      <c r="O108" s="315"/>
      <c r="P108" s="300"/>
    </row>
    <row r="109" spans="1:16" s="301" customFormat="1" x14ac:dyDescent="0.2">
      <c r="A109" s="359">
        <v>4897</v>
      </c>
      <c r="B109" s="353" t="s">
        <v>284</v>
      </c>
      <c r="C109" s="354" t="s">
        <v>316</v>
      </c>
      <c r="D109" s="322"/>
      <c r="E109" s="356">
        <v>840</v>
      </c>
      <c r="F109" s="314">
        <f>E109*D109</f>
        <v>0</v>
      </c>
      <c r="G109" s="296"/>
      <c r="H109" s="296"/>
      <c r="I109" s="296"/>
      <c r="J109" s="296"/>
      <c r="K109" s="296"/>
      <c r="L109" s="297">
        <f>E109*(H109+I109+J109+K109)</f>
        <v>0</v>
      </c>
      <c r="M109" s="298">
        <v>43490</v>
      </c>
      <c r="N109" s="298">
        <v>43501</v>
      </c>
      <c r="O109" s="315"/>
      <c r="P109" s="300"/>
    </row>
    <row r="110" spans="1:16" s="301" customFormat="1" x14ac:dyDescent="0.2">
      <c r="A110" s="359">
        <v>4898</v>
      </c>
      <c r="B110" s="353" t="s">
        <v>284</v>
      </c>
      <c r="C110" s="354" t="s">
        <v>317</v>
      </c>
      <c r="D110" s="322"/>
      <c r="E110" s="356">
        <v>455</v>
      </c>
      <c r="F110" s="314">
        <f>E110*D110</f>
        <v>0</v>
      </c>
      <c r="G110" s="296"/>
      <c r="H110" s="296"/>
      <c r="I110" s="296"/>
      <c r="J110" s="296"/>
      <c r="K110" s="296"/>
      <c r="L110" s="297">
        <f>E110*(H110+I110+J110+K110)</f>
        <v>0</v>
      </c>
      <c r="M110" s="298">
        <v>43490</v>
      </c>
      <c r="N110" s="298">
        <v>43501</v>
      </c>
      <c r="O110" s="315"/>
      <c r="P110" s="300"/>
    </row>
    <row r="111" spans="1:16" s="301" customFormat="1" x14ac:dyDescent="0.2">
      <c r="A111" s="319"/>
      <c r="B111" s="320"/>
      <c r="C111" s="321"/>
      <c r="D111" s="322"/>
      <c r="E111" s="323"/>
      <c r="F111" s="314">
        <f t="shared" si="17"/>
        <v>0</v>
      </c>
      <c r="G111" s="296"/>
      <c r="H111" s="296"/>
      <c r="I111" s="296"/>
      <c r="J111" s="296"/>
      <c r="K111" s="296"/>
      <c r="L111" s="297">
        <f t="shared" si="18"/>
        <v>0</v>
      </c>
      <c r="M111" s="298"/>
      <c r="N111" s="298"/>
      <c r="O111" s="315"/>
      <c r="P111" s="300"/>
    </row>
    <row r="112" spans="1:16" s="301" customFormat="1" x14ac:dyDescent="0.2">
      <c r="A112" s="319"/>
      <c r="B112" s="320"/>
      <c r="C112" s="321"/>
      <c r="D112" s="322"/>
      <c r="E112" s="323"/>
      <c r="F112" s="314">
        <f t="shared" si="17"/>
        <v>0</v>
      </c>
      <c r="G112" s="296"/>
      <c r="H112" s="296"/>
      <c r="I112" s="296"/>
      <c r="J112" s="296"/>
      <c r="K112" s="296"/>
      <c r="L112" s="297">
        <f t="shared" si="18"/>
        <v>0</v>
      </c>
      <c r="M112" s="298"/>
      <c r="N112" s="298"/>
      <c r="O112" s="315"/>
      <c r="P112" s="300"/>
    </row>
    <row r="113" spans="1:16" s="301" customFormat="1" x14ac:dyDescent="0.2">
      <c r="A113" s="319">
        <v>4875</v>
      </c>
      <c r="B113" s="320" t="s">
        <v>289</v>
      </c>
      <c r="C113" s="321" t="s">
        <v>290</v>
      </c>
      <c r="D113" s="373">
        <v>5</v>
      </c>
      <c r="E113" s="323">
        <v>2700</v>
      </c>
      <c r="F113" s="314">
        <f t="shared" si="17"/>
        <v>13500</v>
      </c>
      <c r="G113" s="296"/>
      <c r="H113" s="296"/>
      <c r="I113" s="296"/>
      <c r="J113" s="296"/>
      <c r="K113" s="296"/>
      <c r="L113" s="297">
        <f t="shared" si="18"/>
        <v>0</v>
      </c>
      <c r="M113" s="298">
        <v>43483</v>
      </c>
      <c r="N113" s="298">
        <v>43496</v>
      </c>
      <c r="O113" s="315"/>
      <c r="P113" s="300"/>
    </row>
    <row r="114" spans="1:16" s="301" customFormat="1" x14ac:dyDescent="0.2">
      <c r="A114" s="319">
        <v>4876</v>
      </c>
      <c r="B114" s="320" t="s">
        <v>289</v>
      </c>
      <c r="C114" s="321" t="s">
        <v>291</v>
      </c>
      <c r="D114" s="373">
        <v>1</v>
      </c>
      <c r="E114" s="323">
        <v>14000</v>
      </c>
      <c r="F114" s="314">
        <f t="shared" si="15"/>
        <v>14000</v>
      </c>
      <c r="G114" s="296"/>
      <c r="H114" s="296"/>
      <c r="I114" s="296"/>
      <c r="J114" s="296"/>
      <c r="K114" s="296"/>
      <c r="L114" s="297">
        <f t="shared" si="18"/>
        <v>0</v>
      </c>
      <c r="M114" s="298">
        <v>43483</v>
      </c>
      <c r="N114" s="298">
        <v>43496</v>
      </c>
      <c r="O114" s="315"/>
      <c r="P114" s="300"/>
    </row>
    <row r="115" spans="1:16" s="301" customFormat="1" x14ac:dyDescent="0.2">
      <c r="A115" s="319"/>
      <c r="B115" s="320"/>
      <c r="C115" s="321"/>
      <c r="D115" s="322"/>
      <c r="E115" s="323"/>
      <c r="F115" s="314">
        <f t="shared" si="15"/>
        <v>0</v>
      </c>
      <c r="G115" s="296"/>
      <c r="H115" s="296"/>
      <c r="I115" s="296"/>
      <c r="J115" s="296"/>
      <c r="K115" s="296"/>
      <c r="L115" s="297">
        <f t="shared" si="16"/>
        <v>0</v>
      </c>
      <c r="M115" s="298"/>
      <c r="N115" s="298"/>
      <c r="O115" s="315"/>
      <c r="P115" s="300"/>
    </row>
    <row r="116" spans="1:16" s="301" customFormat="1" x14ac:dyDescent="0.2">
      <c r="A116" s="319">
        <v>4884</v>
      </c>
      <c r="B116" s="320" t="s">
        <v>297</v>
      </c>
      <c r="C116" s="321" t="s">
        <v>298</v>
      </c>
      <c r="D116" s="322">
        <v>1</v>
      </c>
      <c r="E116" s="323">
        <v>260</v>
      </c>
      <c r="F116" s="314">
        <f t="shared" ref="F116:F126" si="19">E116*D116</f>
        <v>260</v>
      </c>
      <c r="G116" s="296">
        <v>1</v>
      </c>
      <c r="H116" s="296"/>
      <c r="I116" s="296"/>
      <c r="J116" s="352">
        <v>1</v>
      </c>
      <c r="K116" s="296"/>
      <c r="L116" s="297">
        <f t="shared" ref="L116:L125" si="20">E116*(H116+I116+J116+K116)</f>
        <v>260</v>
      </c>
      <c r="M116" s="298">
        <v>43486</v>
      </c>
      <c r="N116" s="298">
        <v>43488</v>
      </c>
      <c r="O116" s="315"/>
      <c r="P116" s="300"/>
    </row>
    <row r="117" spans="1:16" s="301" customFormat="1" x14ac:dyDescent="0.2">
      <c r="A117" s="319">
        <v>4885</v>
      </c>
      <c r="B117" s="320" t="s">
        <v>297</v>
      </c>
      <c r="C117" s="321" t="s">
        <v>299</v>
      </c>
      <c r="D117" s="322">
        <v>1</v>
      </c>
      <c r="E117" s="323">
        <v>140</v>
      </c>
      <c r="F117" s="314">
        <f t="shared" si="19"/>
        <v>140</v>
      </c>
      <c r="G117" s="296">
        <v>1</v>
      </c>
      <c r="H117" s="296"/>
      <c r="I117" s="296"/>
      <c r="J117" s="352">
        <v>1</v>
      </c>
      <c r="K117" s="296"/>
      <c r="L117" s="297">
        <f t="shared" si="20"/>
        <v>140</v>
      </c>
      <c r="M117" s="298">
        <v>43486</v>
      </c>
      <c r="N117" s="298">
        <v>43488</v>
      </c>
      <c r="O117" s="315"/>
      <c r="P117" s="300"/>
    </row>
    <row r="118" spans="1:16" s="301" customFormat="1" x14ac:dyDescent="0.2">
      <c r="A118" s="319">
        <v>4886</v>
      </c>
      <c r="B118" s="320" t="s">
        <v>297</v>
      </c>
      <c r="C118" s="321" t="s">
        <v>300</v>
      </c>
      <c r="D118" s="322">
        <v>1</v>
      </c>
      <c r="E118" s="323">
        <v>140</v>
      </c>
      <c r="F118" s="314">
        <f t="shared" si="19"/>
        <v>140</v>
      </c>
      <c r="G118" s="296">
        <v>1</v>
      </c>
      <c r="H118" s="296"/>
      <c r="I118" s="296"/>
      <c r="J118" s="352">
        <v>1</v>
      </c>
      <c r="K118" s="296"/>
      <c r="L118" s="297">
        <f t="shared" si="20"/>
        <v>140</v>
      </c>
      <c r="M118" s="298">
        <v>43486</v>
      </c>
      <c r="N118" s="298">
        <v>43488</v>
      </c>
      <c r="O118" s="315"/>
      <c r="P118" s="300"/>
    </row>
    <row r="119" spans="1:16" s="301" customFormat="1" x14ac:dyDescent="0.2">
      <c r="A119" s="319">
        <v>4887</v>
      </c>
      <c r="B119" s="320" t="s">
        <v>297</v>
      </c>
      <c r="C119" s="321" t="s">
        <v>301</v>
      </c>
      <c r="D119" s="322">
        <v>1</v>
      </c>
      <c r="E119" s="323">
        <v>313</v>
      </c>
      <c r="F119" s="314">
        <f t="shared" si="19"/>
        <v>313</v>
      </c>
      <c r="G119" s="296">
        <v>1</v>
      </c>
      <c r="H119" s="296"/>
      <c r="I119" s="296"/>
      <c r="J119" s="352">
        <v>1</v>
      </c>
      <c r="K119" s="296"/>
      <c r="L119" s="297">
        <f t="shared" si="20"/>
        <v>313</v>
      </c>
      <c r="M119" s="298">
        <v>43486</v>
      </c>
      <c r="N119" s="298">
        <v>43488</v>
      </c>
      <c r="O119" s="315"/>
      <c r="P119" s="300"/>
    </row>
    <row r="120" spans="1:16" s="301" customFormat="1" x14ac:dyDescent="0.2">
      <c r="A120" s="319">
        <v>4888</v>
      </c>
      <c r="B120" s="320" t="s">
        <v>297</v>
      </c>
      <c r="C120" s="321" t="s">
        <v>302</v>
      </c>
      <c r="D120" s="322">
        <v>1</v>
      </c>
      <c r="E120" s="323">
        <v>313</v>
      </c>
      <c r="F120" s="314">
        <f t="shared" si="19"/>
        <v>313</v>
      </c>
      <c r="G120" s="296">
        <v>1</v>
      </c>
      <c r="H120" s="296"/>
      <c r="I120" s="296"/>
      <c r="J120" s="352">
        <v>1</v>
      </c>
      <c r="K120" s="296"/>
      <c r="L120" s="297">
        <f t="shared" si="20"/>
        <v>313</v>
      </c>
      <c r="M120" s="298">
        <v>43486</v>
      </c>
      <c r="N120" s="298">
        <v>43488</v>
      </c>
      <c r="O120" s="315"/>
      <c r="P120" s="300"/>
    </row>
    <row r="121" spans="1:16" s="301" customFormat="1" x14ac:dyDescent="0.2">
      <c r="A121" s="319">
        <v>4889</v>
      </c>
      <c r="B121" s="320" t="s">
        <v>297</v>
      </c>
      <c r="C121" s="321" t="s">
        <v>303</v>
      </c>
      <c r="D121" s="322">
        <v>2</v>
      </c>
      <c r="E121" s="323">
        <v>260</v>
      </c>
      <c r="F121" s="314">
        <f t="shared" si="19"/>
        <v>520</v>
      </c>
      <c r="G121" s="296">
        <v>2</v>
      </c>
      <c r="H121" s="296"/>
      <c r="I121" s="296"/>
      <c r="J121" s="352">
        <v>2</v>
      </c>
      <c r="K121" s="296"/>
      <c r="L121" s="297">
        <f t="shared" si="20"/>
        <v>520</v>
      </c>
      <c r="M121" s="298">
        <v>43486</v>
      </c>
      <c r="N121" s="298">
        <v>43488</v>
      </c>
      <c r="O121" s="315"/>
      <c r="P121" s="300"/>
    </row>
    <row r="122" spans="1:16" s="301" customFormat="1" x14ac:dyDescent="0.2">
      <c r="A122" s="319">
        <v>4890</v>
      </c>
      <c r="B122" s="320" t="s">
        <v>297</v>
      </c>
      <c r="C122" s="321" t="s">
        <v>304</v>
      </c>
      <c r="D122" s="322">
        <v>2</v>
      </c>
      <c r="E122" s="323">
        <v>260</v>
      </c>
      <c r="F122" s="314">
        <f t="shared" si="19"/>
        <v>520</v>
      </c>
      <c r="G122" s="296">
        <v>2</v>
      </c>
      <c r="H122" s="296"/>
      <c r="I122" s="296"/>
      <c r="J122" s="352">
        <v>2</v>
      </c>
      <c r="K122" s="296"/>
      <c r="L122" s="297">
        <f t="shared" si="20"/>
        <v>520</v>
      </c>
      <c r="M122" s="298">
        <v>43486</v>
      </c>
      <c r="N122" s="298">
        <v>43488</v>
      </c>
      <c r="O122" s="315"/>
      <c r="P122" s="300"/>
    </row>
    <row r="123" spans="1:16" s="301" customFormat="1" x14ac:dyDescent="0.2">
      <c r="A123" s="319">
        <v>4891</v>
      </c>
      <c r="B123" s="320" t="s">
        <v>297</v>
      </c>
      <c r="C123" s="321" t="s">
        <v>305</v>
      </c>
      <c r="D123" s="322">
        <v>1</v>
      </c>
      <c r="E123" s="323">
        <v>303</v>
      </c>
      <c r="F123" s="314">
        <f t="shared" si="19"/>
        <v>303</v>
      </c>
      <c r="G123" s="296">
        <v>1</v>
      </c>
      <c r="H123" s="296"/>
      <c r="I123" s="296"/>
      <c r="J123" s="352">
        <v>1</v>
      </c>
      <c r="K123" s="296"/>
      <c r="L123" s="297">
        <f t="shared" si="20"/>
        <v>303</v>
      </c>
      <c r="M123" s="298">
        <v>43486</v>
      </c>
      <c r="N123" s="298">
        <v>43488</v>
      </c>
      <c r="O123" s="315"/>
      <c r="P123" s="300"/>
    </row>
    <row r="124" spans="1:16" s="301" customFormat="1" x14ac:dyDescent="0.2">
      <c r="A124" s="319">
        <v>4892</v>
      </c>
      <c r="B124" s="320" t="s">
        <v>297</v>
      </c>
      <c r="C124" s="321" t="s">
        <v>306</v>
      </c>
      <c r="D124" s="322">
        <v>1</v>
      </c>
      <c r="E124" s="323">
        <v>303</v>
      </c>
      <c r="F124" s="314">
        <f t="shared" si="19"/>
        <v>303</v>
      </c>
      <c r="G124" s="296">
        <v>1</v>
      </c>
      <c r="H124" s="296"/>
      <c r="I124" s="296"/>
      <c r="J124" s="352">
        <v>1</v>
      </c>
      <c r="K124" s="296"/>
      <c r="L124" s="297">
        <f t="shared" si="20"/>
        <v>303</v>
      </c>
      <c r="M124" s="298">
        <v>43486</v>
      </c>
      <c r="N124" s="298">
        <v>43488</v>
      </c>
      <c r="O124" s="315"/>
      <c r="P124" s="300"/>
    </row>
    <row r="125" spans="1:16" s="301" customFormat="1" x14ac:dyDescent="0.2">
      <c r="A125" s="319">
        <v>4893</v>
      </c>
      <c r="B125" s="320" t="s">
        <v>297</v>
      </c>
      <c r="C125" s="321" t="s">
        <v>307</v>
      </c>
      <c r="D125" s="322">
        <v>1</v>
      </c>
      <c r="E125" s="323">
        <v>303</v>
      </c>
      <c r="F125" s="314">
        <f t="shared" si="19"/>
        <v>303</v>
      </c>
      <c r="G125" s="296">
        <v>1</v>
      </c>
      <c r="H125" s="296"/>
      <c r="I125" s="296"/>
      <c r="J125" s="352">
        <v>1</v>
      </c>
      <c r="K125" s="296"/>
      <c r="L125" s="297">
        <f t="shared" si="20"/>
        <v>303</v>
      </c>
      <c r="M125" s="298">
        <v>43486</v>
      </c>
      <c r="N125" s="298">
        <v>43488</v>
      </c>
      <c r="O125" s="315"/>
      <c r="P125" s="300"/>
    </row>
    <row r="126" spans="1:16" s="301" customFormat="1" x14ac:dyDescent="0.2">
      <c r="A126" s="319">
        <v>4894</v>
      </c>
      <c r="B126" s="320" t="s">
        <v>297</v>
      </c>
      <c r="C126" s="321" t="s">
        <v>308</v>
      </c>
      <c r="D126" s="322">
        <v>1</v>
      </c>
      <c r="E126" s="323">
        <v>303</v>
      </c>
      <c r="F126" s="314">
        <f t="shared" si="19"/>
        <v>303</v>
      </c>
      <c r="G126" s="296">
        <v>1</v>
      </c>
      <c r="H126" s="296"/>
      <c r="I126" s="296"/>
      <c r="J126" s="352">
        <v>1</v>
      </c>
      <c r="K126" s="296"/>
      <c r="L126" s="297">
        <f t="shared" ref="L126:L151" si="21">E126*(H126+I126+J126+K126)</f>
        <v>303</v>
      </c>
      <c r="M126" s="298">
        <v>43486</v>
      </c>
      <c r="N126" s="298">
        <v>43488</v>
      </c>
      <c r="O126" s="315"/>
      <c r="P126" s="300"/>
    </row>
    <row r="127" spans="1:16" s="301" customFormat="1" x14ac:dyDescent="0.2">
      <c r="A127" s="319">
        <v>4926</v>
      </c>
      <c r="B127" s="320" t="s">
        <v>297</v>
      </c>
      <c r="C127" s="321" t="s">
        <v>323</v>
      </c>
      <c r="D127" s="322">
        <v>3</v>
      </c>
      <c r="E127" s="363">
        <v>280</v>
      </c>
      <c r="F127" s="314">
        <f t="shared" ref="F127:F151" si="22">E127*D127</f>
        <v>840</v>
      </c>
      <c r="G127" s="296">
        <v>3</v>
      </c>
      <c r="H127" s="296"/>
      <c r="I127" s="296"/>
      <c r="J127" s="296"/>
      <c r="K127" s="296"/>
      <c r="L127" s="297">
        <f t="shared" si="21"/>
        <v>0</v>
      </c>
      <c r="M127" s="298"/>
      <c r="N127" s="298"/>
      <c r="O127" s="315"/>
      <c r="P127" s="300"/>
    </row>
    <row r="128" spans="1:16" s="301" customFormat="1" x14ac:dyDescent="0.2">
      <c r="A128" s="319">
        <v>4927</v>
      </c>
      <c r="B128" s="320" t="s">
        <v>297</v>
      </c>
      <c r="C128" s="321" t="s">
        <v>324</v>
      </c>
      <c r="D128" s="322">
        <v>3</v>
      </c>
      <c r="E128" s="363">
        <v>280</v>
      </c>
      <c r="F128" s="314">
        <f t="shared" si="22"/>
        <v>840</v>
      </c>
      <c r="G128" s="296">
        <v>3</v>
      </c>
      <c r="H128" s="296"/>
      <c r="I128" s="296"/>
      <c r="J128" s="296"/>
      <c r="K128" s="296"/>
      <c r="L128" s="297">
        <f t="shared" si="21"/>
        <v>0</v>
      </c>
      <c r="M128" s="298"/>
      <c r="N128" s="298"/>
      <c r="O128" s="315"/>
      <c r="P128" s="300"/>
    </row>
    <row r="129" spans="1:16" s="301" customFormat="1" x14ac:dyDescent="0.2">
      <c r="A129" s="319">
        <v>4928</v>
      </c>
      <c r="B129" s="320" t="s">
        <v>297</v>
      </c>
      <c r="C129" s="321" t="s">
        <v>325</v>
      </c>
      <c r="D129" s="322">
        <v>15</v>
      </c>
      <c r="E129" s="363">
        <v>275</v>
      </c>
      <c r="F129" s="314">
        <f t="shared" si="22"/>
        <v>4125</v>
      </c>
      <c r="G129" s="296">
        <v>15</v>
      </c>
      <c r="H129" s="296"/>
      <c r="I129" s="296"/>
      <c r="J129" s="296"/>
      <c r="K129" s="296"/>
      <c r="L129" s="297">
        <f t="shared" si="21"/>
        <v>0</v>
      </c>
      <c r="M129" s="298"/>
      <c r="N129" s="298"/>
      <c r="O129" s="315"/>
      <c r="P129" s="300"/>
    </row>
    <row r="130" spans="1:16" s="301" customFormat="1" x14ac:dyDescent="0.2">
      <c r="A130" s="319">
        <v>4929</v>
      </c>
      <c r="B130" s="320" t="s">
        <v>297</v>
      </c>
      <c r="C130" s="321" t="s">
        <v>326</v>
      </c>
      <c r="D130" s="322">
        <v>6</v>
      </c>
      <c r="E130" s="363">
        <v>260</v>
      </c>
      <c r="F130" s="314">
        <f t="shared" si="22"/>
        <v>1560</v>
      </c>
      <c r="G130" s="296">
        <v>6</v>
      </c>
      <c r="H130" s="296"/>
      <c r="I130" s="296"/>
      <c r="J130" s="296"/>
      <c r="K130" s="296"/>
      <c r="L130" s="297">
        <f t="shared" si="21"/>
        <v>0</v>
      </c>
      <c r="M130" s="298"/>
      <c r="N130" s="298"/>
      <c r="O130" s="315"/>
      <c r="P130" s="300"/>
    </row>
    <row r="131" spans="1:16" s="301" customFormat="1" x14ac:dyDescent="0.2">
      <c r="A131" s="319">
        <v>4930</v>
      </c>
      <c r="B131" s="320" t="s">
        <v>297</v>
      </c>
      <c r="C131" s="321" t="s">
        <v>327</v>
      </c>
      <c r="D131" s="322">
        <v>6</v>
      </c>
      <c r="E131" s="363">
        <v>230</v>
      </c>
      <c r="F131" s="314">
        <f t="shared" si="22"/>
        <v>1380</v>
      </c>
      <c r="G131" s="296">
        <v>6</v>
      </c>
      <c r="H131" s="296"/>
      <c r="I131" s="296"/>
      <c r="J131" s="296"/>
      <c r="K131" s="296"/>
      <c r="L131" s="297">
        <f t="shared" si="21"/>
        <v>0</v>
      </c>
      <c r="M131" s="298"/>
      <c r="N131" s="298"/>
      <c r="O131" s="315"/>
      <c r="P131" s="300"/>
    </row>
    <row r="132" spans="1:16" s="301" customFormat="1" x14ac:dyDescent="0.2">
      <c r="A132" s="319">
        <v>4931</v>
      </c>
      <c r="B132" s="320" t="s">
        <v>297</v>
      </c>
      <c r="C132" s="321" t="s">
        <v>328</v>
      </c>
      <c r="D132" s="322">
        <v>70</v>
      </c>
      <c r="E132" s="363">
        <v>275</v>
      </c>
      <c r="F132" s="314">
        <f t="shared" si="22"/>
        <v>19250</v>
      </c>
      <c r="G132" s="296">
        <v>70</v>
      </c>
      <c r="H132" s="296"/>
      <c r="I132" s="296"/>
      <c r="J132" s="296"/>
      <c r="K132" s="296"/>
      <c r="L132" s="297">
        <f t="shared" si="21"/>
        <v>0</v>
      </c>
      <c r="M132" s="298"/>
      <c r="N132" s="298"/>
      <c r="O132" s="315"/>
      <c r="P132" s="300"/>
    </row>
    <row r="133" spans="1:16" s="301" customFormat="1" x14ac:dyDescent="0.2">
      <c r="A133" s="319">
        <v>4932</v>
      </c>
      <c r="B133" s="320" t="s">
        <v>297</v>
      </c>
      <c r="C133" s="321" t="s">
        <v>329</v>
      </c>
      <c r="D133" s="322">
        <v>3</v>
      </c>
      <c r="E133" s="363">
        <v>270</v>
      </c>
      <c r="F133" s="314">
        <f t="shared" si="22"/>
        <v>810</v>
      </c>
      <c r="G133" s="296">
        <v>3</v>
      </c>
      <c r="H133" s="296"/>
      <c r="I133" s="296"/>
      <c r="J133" s="296"/>
      <c r="K133" s="296"/>
      <c r="L133" s="297">
        <f t="shared" si="21"/>
        <v>0</v>
      </c>
      <c r="M133" s="298"/>
      <c r="N133" s="298"/>
      <c r="O133" s="315"/>
      <c r="P133" s="300"/>
    </row>
    <row r="134" spans="1:16" s="301" customFormat="1" x14ac:dyDescent="0.2">
      <c r="A134" s="319">
        <v>4933</v>
      </c>
      <c r="B134" s="320" t="s">
        <v>297</v>
      </c>
      <c r="C134" s="321" t="s">
        <v>330</v>
      </c>
      <c r="D134" s="322">
        <v>3</v>
      </c>
      <c r="E134" s="363">
        <v>275</v>
      </c>
      <c r="F134" s="314">
        <f t="shared" si="22"/>
        <v>825</v>
      </c>
      <c r="G134" s="296">
        <v>3</v>
      </c>
      <c r="H134" s="296"/>
      <c r="I134" s="296"/>
      <c r="J134" s="296"/>
      <c r="K134" s="296"/>
      <c r="L134" s="297">
        <f t="shared" si="21"/>
        <v>0</v>
      </c>
      <c r="M134" s="298"/>
      <c r="N134" s="298"/>
      <c r="O134" s="315"/>
      <c r="P134" s="300"/>
    </row>
    <row r="135" spans="1:16" s="301" customFormat="1" x14ac:dyDescent="0.2">
      <c r="A135" s="319">
        <v>4934</v>
      </c>
      <c r="B135" s="320" t="s">
        <v>297</v>
      </c>
      <c r="C135" s="321" t="s">
        <v>331</v>
      </c>
      <c r="D135" s="322">
        <v>29</v>
      </c>
      <c r="E135" s="363">
        <v>240</v>
      </c>
      <c r="F135" s="314">
        <f t="shared" si="22"/>
        <v>6960</v>
      </c>
      <c r="G135" s="296">
        <v>29</v>
      </c>
      <c r="H135" s="296"/>
      <c r="I135" s="296"/>
      <c r="J135" s="296"/>
      <c r="K135" s="296"/>
      <c r="L135" s="297">
        <f t="shared" si="21"/>
        <v>0</v>
      </c>
      <c r="M135" s="298"/>
      <c r="N135" s="298"/>
      <c r="O135" s="315"/>
      <c r="P135" s="300"/>
    </row>
    <row r="136" spans="1:16" s="301" customFormat="1" x14ac:dyDescent="0.2">
      <c r="A136" s="319">
        <v>4935</v>
      </c>
      <c r="B136" s="320" t="s">
        <v>297</v>
      </c>
      <c r="C136" s="321" t="s">
        <v>332</v>
      </c>
      <c r="D136" s="322">
        <v>2</v>
      </c>
      <c r="E136" s="363">
        <v>125</v>
      </c>
      <c r="F136" s="314">
        <f t="shared" si="22"/>
        <v>250</v>
      </c>
      <c r="G136" s="296">
        <v>2</v>
      </c>
      <c r="H136" s="296"/>
      <c r="I136" s="296"/>
      <c r="J136" s="296"/>
      <c r="K136" s="296"/>
      <c r="L136" s="297">
        <f t="shared" si="21"/>
        <v>0</v>
      </c>
      <c r="M136" s="298"/>
      <c r="N136" s="298"/>
      <c r="O136" s="315"/>
      <c r="P136" s="300"/>
    </row>
    <row r="137" spans="1:16" s="301" customFormat="1" x14ac:dyDescent="0.2">
      <c r="A137" s="319">
        <v>4936</v>
      </c>
      <c r="B137" s="320" t="s">
        <v>297</v>
      </c>
      <c r="C137" s="321" t="s">
        <v>333</v>
      </c>
      <c r="D137" s="322">
        <v>1</v>
      </c>
      <c r="E137" s="363">
        <v>180</v>
      </c>
      <c r="F137" s="314">
        <f t="shared" si="22"/>
        <v>180</v>
      </c>
      <c r="G137" s="296">
        <v>1</v>
      </c>
      <c r="H137" s="296"/>
      <c r="I137" s="296"/>
      <c r="J137" s="296"/>
      <c r="K137" s="296"/>
      <c r="L137" s="297">
        <f t="shared" si="21"/>
        <v>0</v>
      </c>
      <c r="M137" s="298"/>
      <c r="N137" s="298"/>
      <c r="O137" s="315"/>
      <c r="P137" s="300"/>
    </row>
    <row r="138" spans="1:16" s="301" customFormat="1" x14ac:dyDescent="0.2">
      <c r="A138" s="319">
        <v>4937</v>
      </c>
      <c r="B138" s="320" t="s">
        <v>297</v>
      </c>
      <c r="C138" s="321" t="s">
        <v>334</v>
      </c>
      <c r="D138" s="322">
        <v>1</v>
      </c>
      <c r="E138" s="364">
        <v>280</v>
      </c>
      <c r="F138" s="314">
        <f t="shared" si="22"/>
        <v>280</v>
      </c>
      <c r="G138" s="296">
        <v>1</v>
      </c>
      <c r="H138" s="296"/>
      <c r="I138" s="296"/>
      <c r="J138" s="296"/>
      <c r="K138" s="296"/>
      <c r="L138" s="297">
        <f t="shared" si="21"/>
        <v>0</v>
      </c>
      <c r="M138" s="298"/>
      <c r="N138" s="298"/>
      <c r="O138" s="315"/>
      <c r="P138" s="300"/>
    </row>
    <row r="139" spans="1:16" s="301" customFormat="1" x14ac:dyDescent="0.2">
      <c r="A139" s="319">
        <v>4938</v>
      </c>
      <c r="B139" s="320" t="s">
        <v>297</v>
      </c>
      <c r="C139" s="321" t="s">
        <v>335</v>
      </c>
      <c r="D139" s="322">
        <v>2</v>
      </c>
      <c r="E139" s="364">
        <v>280</v>
      </c>
      <c r="F139" s="314">
        <f t="shared" si="22"/>
        <v>560</v>
      </c>
      <c r="G139" s="296">
        <v>2</v>
      </c>
      <c r="H139" s="296"/>
      <c r="I139" s="296"/>
      <c r="J139" s="296"/>
      <c r="K139" s="296"/>
      <c r="L139" s="297">
        <f t="shared" si="21"/>
        <v>0</v>
      </c>
      <c r="M139" s="298"/>
      <c r="N139" s="298"/>
      <c r="O139" s="315"/>
      <c r="P139" s="300"/>
    </row>
    <row r="140" spans="1:16" s="301" customFormat="1" x14ac:dyDescent="0.2">
      <c r="A140" s="319">
        <v>4939</v>
      </c>
      <c r="B140" s="320" t="s">
        <v>297</v>
      </c>
      <c r="C140" s="321" t="s">
        <v>336</v>
      </c>
      <c r="D140" s="322">
        <v>2</v>
      </c>
      <c r="E140" s="364">
        <v>200</v>
      </c>
      <c r="F140" s="314">
        <f t="shared" si="22"/>
        <v>400</v>
      </c>
      <c r="G140" s="296">
        <v>2</v>
      </c>
      <c r="H140" s="296"/>
      <c r="I140" s="296"/>
      <c r="J140" s="296"/>
      <c r="K140" s="296"/>
      <c r="L140" s="297">
        <f t="shared" si="21"/>
        <v>0</v>
      </c>
      <c r="M140" s="298"/>
      <c r="N140" s="298"/>
      <c r="O140" s="315"/>
      <c r="P140" s="300"/>
    </row>
    <row r="141" spans="1:16" s="301" customFormat="1" x14ac:dyDescent="0.2">
      <c r="A141" s="319">
        <v>4940</v>
      </c>
      <c r="B141" s="320" t="s">
        <v>297</v>
      </c>
      <c r="C141" s="321" t="s">
        <v>337</v>
      </c>
      <c r="D141" s="322">
        <v>4</v>
      </c>
      <c r="E141" s="364">
        <v>270</v>
      </c>
      <c r="F141" s="314">
        <f t="shared" si="22"/>
        <v>1080</v>
      </c>
      <c r="G141" s="296">
        <v>4</v>
      </c>
      <c r="H141" s="296"/>
      <c r="I141" s="296"/>
      <c r="J141" s="296"/>
      <c r="K141" s="296"/>
      <c r="L141" s="297">
        <f t="shared" si="21"/>
        <v>0</v>
      </c>
      <c r="M141" s="298"/>
      <c r="N141" s="298"/>
      <c r="O141" s="315"/>
      <c r="P141" s="300"/>
    </row>
    <row r="142" spans="1:16" s="301" customFormat="1" x14ac:dyDescent="0.2">
      <c r="A142" s="319">
        <v>4941</v>
      </c>
      <c r="B142" s="320" t="s">
        <v>297</v>
      </c>
      <c r="C142" s="321" t="s">
        <v>338</v>
      </c>
      <c r="D142" s="322">
        <v>4</v>
      </c>
      <c r="E142" s="364">
        <v>160</v>
      </c>
      <c r="F142" s="314">
        <f t="shared" si="22"/>
        <v>640</v>
      </c>
      <c r="G142" s="296">
        <v>4</v>
      </c>
      <c r="H142" s="296"/>
      <c r="I142" s="296"/>
      <c r="J142" s="296"/>
      <c r="K142" s="296"/>
      <c r="L142" s="297">
        <f t="shared" si="21"/>
        <v>0</v>
      </c>
      <c r="M142" s="298"/>
      <c r="N142" s="298"/>
      <c r="O142" s="315"/>
      <c r="P142" s="300"/>
    </row>
    <row r="143" spans="1:16" s="301" customFormat="1" x14ac:dyDescent="0.2">
      <c r="A143" s="319">
        <v>4942</v>
      </c>
      <c r="B143" s="320" t="s">
        <v>297</v>
      </c>
      <c r="C143" s="321" t="s">
        <v>339</v>
      </c>
      <c r="D143" s="322">
        <v>2</v>
      </c>
      <c r="E143" s="364">
        <v>270</v>
      </c>
      <c r="F143" s="314">
        <f t="shared" si="22"/>
        <v>540</v>
      </c>
      <c r="G143" s="296">
        <v>2</v>
      </c>
      <c r="H143" s="296"/>
      <c r="I143" s="296"/>
      <c r="J143" s="296"/>
      <c r="K143" s="296"/>
      <c r="L143" s="297">
        <f t="shared" si="21"/>
        <v>0</v>
      </c>
      <c r="M143" s="298"/>
      <c r="N143" s="298"/>
      <c r="O143" s="315"/>
      <c r="P143" s="300"/>
    </row>
    <row r="144" spans="1:16" s="301" customFormat="1" x14ac:dyDescent="0.2">
      <c r="A144" s="319">
        <v>4943</v>
      </c>
      <c r="B144" s="320" t="s">
        <v>297</v>
      </c>
      <c r="C144" s="321" t="s">
        <v>340</v>
      </c>
      <c r="D144" s="322">
        <v>4</v>
      </c>
      <c r="E144" s="364">
        <v>130</v>
      </c>
      <c r="F144" s="314">
        <f t="shared" si="22"/>
        <v>520</v>
      </c>
      <c r="G144" s="296">
        <v>4</v>
      </c>
      <c r="H144" s="296"/>
      <c r="I144" s="296"/>
      <c r="J144" s="296"/>
      <c r="K144" s="296"/>
      <c r="L144" s="297">
        <f t="shared" si="21"/>
        <v>0</v>
      </c>
      <c r="M144" s="298"/>
      <c r="N144" s="298"/>
      <c r="O144" s="315"/>
      <c r="P144" s="300"/>
    </row>
    <row r="145" spans="1:16" s="301" customFormat="1" x14ac:dyDescent="0.2">
      <c r="A145" s="319">
        <v>4944</v>
      </c>
      <c r="B145" s="320" t="s">
        <v>297</v>
      </c>
      <c r="C145" s="321" t="s">
        <v>341</v>
      </c>
      <c r="D145" s="322">
        <v>2</v>
      </c>
      <c r="E145" s="364">
        <v>130</v>
      </c>
      <c r="F145" s="314">
        <f t="shared" si="22"/>
        <v>260</v>
      </c>
      <c r="G145" s="296">
        <v>2</v>
      </c>
      <c r="H145" s="296"/>
      <c r="I145" s="296"/>
      <c r="J145" s="296"/>
      <c r="K145" s="296"/>
      <c r="L145" s="297">
        <f t="shared" si="21"/>
        <v>0</v>
      </c>
      <c r="M145" s="298"/>
      <c r="N145" s="298"/>
      <c r="O145" s="315"/>
      <c r="P145" s="300"/>
    </row>
    <row r="146" spans="1:16" s="301" customFormat="1" x14ac:dyDescent="0.2">
      <c r="A146" s="319">
        <v>4945</v>
      </c>
      <c r="B146" s="320" t="s">
        <v>297</v>
      </c>
      <c r="C146" s="321" t="s">
        <v>342</v>
      </c>
      <c r="D146" s="322">
        <v>1</v>
      </c>
      <c r="E146" s="364">
        <v>300</v>
      </c>
      <c r="F146" s="314">
        <f t="shared" si="22"/>
        <v>300</v>
      </c>
      <c r="G146" s="296">
        <v>1</v>
      </c>
      <c r="H146" s="296"/>
      <c r="I146" s="296"/>
      <c r="J146" s="296"/>
      <c r="K146" s="296"/>
      <c r="L146" s="297">
        <f t="shared" si="21"/>
        <v>0</v>
      </c>
      <c r="M146" s="298"/>
      <c r="N146" s="298"/>
      <c r="O146" s="315"/>
      <c r="P146" s="300"/>
    </row>
    <row r="147" spans="1:16" s="301" customFormat="1" x14ac:dyDescent="0.2">
      <c r="A147" s="319">
        <v>4946</v>
      </c>
      <c r="B147" s="320" t="s">
        <v>297</v>
      </c>
      <c r="C147" s="321" t="s">
        <v>343</v>
      </c>
      <c r="D147" s="322">
        <v>1</v>
      </c>
      <c r="E147" s="364">
        <v>250</v>
      </c>
      <c r="F147" s="314">
        <f t="shared" si="22"/>
        <v>250</v>
      </c>
      <c r="G147" s="296">
        <v>1</v>
      </c>
      <c r="H147" s="296"/>
      <c r="I147" s="296"/>
      <c r="J147" s="296"/>
      <c r="K147" s="296"/>
      <c r="L147" s="297">
        <f t="shared" si="21"/>
        <v>0</v>
      </c>
      <c r="M147" s="298"/>
      <c r="N147" s="298"/>
      <c r="O147" s="315"/>
      <c r="P147" s="300"/>
    </row>
    <row r="148" spans="1:16" s="301" customFormat="1" x14ac:dyDescent="0.2">
      <c r="A148" s="319">
        <v>4947</v>
      </c>
      <c r="B148" s="320" t="s">
        <v>297</v>
      </c>
      <c r="C148" s="321" t="s">
        <v>344</v>
      </c>
      <c r="D148" s="322">
        <v>1</v>
      </c>
      <c r="E148" s="364">
        <v>300</v>
      </c>
      <c r="F148" s="314">
        <f t="shared" si="22"/>
        <v>300</v>
      </c>
      <c r="G148" s="296">
        <v>1</v>
      </c>
      <c r="H148" s="296"/>
      <c r="I148" s="296"/>
      <c r="J148" s="296"/>
      <c r="K148" s="296"/>
      <c r="L148" s="297">
        <f t="shared" si="21"/>
        <v>0</v>
      </c>
      <c r="M148" s="298"/>
      <c r="N148" s="298"/>
      <c r="O148" s="315"/>
      <c r="P148" s="300"/>
    </row>
    <row r="149" spans="1:16" s="301" customFormat="1" x14ac:dyDescent="0.2">
      <c r="A149" s="319">
        <v>4948</v>
      </c>
      <c r="B149" s="320" t="s">
        <v>297</v>
      </c>
      <c r="C149" s="321" t="s">
        <v>345</v>
      </c>
      <c r="D149" s="322">
        <v>2</v>
      </c>
      <c r="E149" s="364">
        <v>300</v>
      </c>
      <c r="F149" s="314">
        <f t="shared" si="22"/>
        <v>600</v>
      </c>
      <c r="G149" s="296">
        <v>2</v>
      </c>
      <c r="H149" s="296"/>
      <c r="I149" s="296"/>
      <c r="J149" s="296"/>
      <c r="K149" s="296"/>
      <c r="L149" s="297">
        <f t="shared" si="21"/>
        <v>0</v>
      </c>
      <c r="M149" s="298"/>
      <c r="N149" s="298"/>
      <c r="O149" s="315"/>
      <c r="P149" s="300"/>
    </row>
    <row r="150" spans="1:16" s="301" customFormat="1" x14ac:dyDescent="0.2">
      <c r="A150" s="319"/>
      <c r="B150" s="320"/>
      <c r="C150" s="321"/>
      <c r="D150" s="322"/>
      <c r="E150" s="323"/>
      <c r="F150" s="314">
        <f t="shared" si="22"/>
        <v>0</v>
      </c>
      <c r="G150" s="296"/>
      <c r="H150" s="296"/>
      <c r="I150" s="296"/>
      <c r="J150" s="296"/>
      <c r="K150" s="296"/>
      <c r="L150" s="297">
        <f t="shared" si="21"/>
        <v>0</v>
      </c>
      <c r="M150" s="298"/>
      <c r="N150" s="298"/>
      <c r="O150" s="315"/>
      <c r="P150" s="300"/>
    </row>
    <row r="151" spans="1:16" s="301" customFormat="1" x14ac:dyDescent="0.2">
      <c r="A151" s="319">
        <v>4900</v>
      </c>
      <c r="B151" s="320" t="s">
        <v>309</v>
      </c>
      <c r="C151" s="321" t="s">
        <v>310</v>
      </c>
      <c r="D151" s="322">
        <v>64</v>
      </c>
      <c r="E151" s="323">
        <v>400</v>
      </c>
      <c r="F151" s="314">
        <f t="shared" si="22"/>
        <v>25600</v>
      </c>
      <c r="G151" s="296">
        <v>64</v>
      </c>
      <c r="H151" s="296"/>
      <c r="I151" s="296"/>
      <c r="J151" s="357">
        <v>64</v>
      </c>
      <c r="K151" s="296"/>
      <c r="L151" s="297">
        <f t="shared" si="21"/>
        <v>25600</v>
      </c>
      <c r="M151" s="298">
        <v>43488</v>
      </c>
      <c r="N151" s="298">
        <v>43490</v>
      </c>
      <c r="O151" s="315"/>
      <c r="P151" s="300"/>
    </row>
    <row r="152" spans="1:16" s="301" customFormat="1" x14ac:dyDescent="0.2">
      <c r="A152" s="319">
        <v>4901</v>
      </c>
      <c r="B152" s="320" t="s">
        <v>309</v>
      </c>
      <c r="C152" s="321" t="s">
        <v>311</v>
      </c>
      <c r="D152" s="322">
        <v>26</v>
      </c>
      <c r="E152" s="323">
        <v>250</v>
      </c>
      <c r="F152" s="314">
        <f t="shared" ref="F152:F172" si="23">E152*D152</f>
        <v>6500</v>
      </c>
      <c r="G152" s="296">
        <v>26</v>
      </c>
      <c r="H152" s="296"/>
      <c r="I152" s="296"/>
      <c r="J152" s="357">
        <v>26</v>
      </c>
      <c r="K152" s="296"/>
      <c r="L152" s="297">
        <f t="shared" ref="L152:L171" si="24">E152*(H152+I152+J152+K152)</f>
        <v>6500</v>
      </c>
      <c r="M152" s="298">
        <v>43488</v>
      </c>
      <c r="N152" s="298">
        <v>43490</v>
      </c>
      <c r="O152" s="315"/>
      <c r="P152" s="300"/>
    </row>
    <row r="153" spans="1:16" s="301" customFormat="1" x14ac:dyDescent="0.2">
      <c r="A153" s="319"/>
      <c r="B153" s="320"/>
      <c r="C153" s="321"/>
      <c r="D153" s="322"/>
      <c r="E153" s="323"/>
      <c r="F153" s="314">
        <f t="shared" si="23"/>
        <v>0</v>
      </c>
      <c r="G153" s="296"/>
      <c r="H153" s="296"/>
      <c r="I153" s="296"/>
      <c r="J153" s="296"/>
      <c r="K153" s="296"/>
      <c r="L153" s="297">
        <f t="shared" si="24"/>
        <v>0</v>
      </c>
      <c r="M153" s="298"/>
      <c r="N153" s="298"/>
      <c r="O153" s="315"/>
      <c r="P153" s="300"/>
    </row>
    <row r="154" spans="1:16" s="301" customFormat="1" x14ac:dyDescent="0.2">
      <c r="A154" s="319">
        <v>4902</v>
      </c>
      <c r="B154" s="320" t="s">
        <v>349</v>
      </c>
      <c r="C154" s="321" t="s">
        <v>350</v>
      </c>
      <c r="D154" s="322"/>
      <c r="E154" s="323">
        <v>4200</v>
      </c>
      <c r="F154" s="314">
        <f t="shared" si="23"/>
        <v>0</v>
      </c>
      <c r="G154" s="296"/>
      <c r="H154" s="296"/>
      <c r="I154" s="296"/>
      <c r="J154" s="296"/>
      <c r="K154" s="296"/>
      <c r="L154" s="297">
        <f t="shared" si="24"/>
        <v>0</v>
      </c>
      <c r="M154" s="298">
        <v>43495</v>
      </c>
      <c r="N154" s="298">
        <v>43516</v>
      </c>
      <c r="O154" s="315"/>
      <c r="P154" s="300"/>
    </row>
    <row r="155" spans="1:16" s="301" customFormat="1" x14ac:dyDescent="0.2">
      <c r="A155" s="319"/>
      <c r="B155" s="320"/>
      <c r="C155" s="321"/>
      <c r="D155" s="322"/>
      <c r="E155" s="323"/>
      <c r="F155" s="314">
        <f t="shared" si="23"/>
        <v>0</v>
      </c>
      <c r="G155" s="296"/>
      <c r="H155" s="296"/>
      <c r="I155" s="296"/>
      <c r="J155" s="296"/>
      <c r="K155" s="296"/>
      <c r="L155" s="297">
        <f t="shared" si="24"/>
        <v>0</v>
      </c>
      <c r="M155" s="298"/>
      <c r="N155" s="298"/>
      <c r="O155" s="315"/>
      <c r="P155" s="300"/>
    </row>
    <row r="156" spans="1:16" s="301" customFormat="1" x14ac:dyDescent="0.2">
      <c r="A156" s="319">
        <v>4869</v>
      </c>
      <c r="B156" s="320" t="s">
        <v>312</v>
      </c>
      <c r="C156" s="321" t="s">
        <v>313</v>
      </c>
      <c r="D156" s="322">
        <v>1</v>
      </c>
      <c r="E156" s="323">
        <v>2350</v>
      </c>
      <c r="F156" s="314">
        <f t="shared" si="23"/>
        <v>2350</v>
      </c>
      <c r="G156" s="296">
        <v>1</v>
      </c>
      <c r="H156" s="296"/>
      <c r="I156" s="296"/>
      <c r="J156" s="352">
        <v>1</v>
      </c>
      <c r="K156" s="296"/>
      <c r="L156" s="297">
        <f t="shared" si="24"/>
        <v>2350</v>
      </c>
      <c r="M156" s="298">
        <v>43488</v>
      </c>
      <c r="N156" s="298" t="s">
        <v>314</v>
      </c>
      <c r="O156" s="315"/>
      <c r="P156" s="300"/>
    </row>
    <row r="157" spans="1:16" s="301" customFormat="1" x14ac:dyDescent="0.2">
      <c r="A157" s="319"/>
      <c r="B157" s="320"/>
      <c r="C157" s="321"/>
      <c r="D157" s="322"/>
      <c r="E157" s="323"/>
      <c r="F157" s="314">
        <f t="shared" si="23"/>
        <v>0</v>
      </c>
      <c r="G157" s="296"/>
      <c r="H157" s="296"/>
      <c r="I157" s="296"/>
      <c r="J157" s="296"/>
      <c r="K157" s="296"/>
      <c r="L157" s="297">
        <f t="shared" si="24"/>
        <v>0</v>
      </c>
      <c r="M157" s="298"/>
      <c r="N157" s="298"/>
      <c r="O157" s="315"/>
      <c r="P157" s="300"/>
    </row>
    <row r="158" spans="1:16" s="301" customFormat="1" x14ac:dyDescent="0.2">
      <c r="A158" s="388">
        <v>4958</v>
      </c>
      <c r="B158" s="383" t="s">
        <v>427</v>
      </c>
      <c r="C158" s="384" t="s">
        <v>428</v>
      </c>
      <c r="D158" s="389">
        <v>1</v>
      </c>
      <c r="E158" s="348">
        <v>2500</v>
      </c>
      <c r="F158" s="314">
        <f>E158*D158</f>
        <v>2500</v>
      </c>
      <c r="G158" s="296"/>
      <c r="H158" s="296"/>
      <c r="I158" s="296"/>
      <c r="J158" s="296"/>
      <c r="K158" s="296"/>
      <c r="L158" s="297">
        <f>E158*(H158+I158+J158+K158)</f>
        <v>0</v>
      </c>
      <c r="M158" s="298"/>
      <c r="N158" s="298"/>
      <c r="O158" s="315"/>
      <c r="P158" s="300"/>
    </row>
    <row r="159" spans="1:16" s="301" customFormat="1" x14ac:dyDescent="0.2">
      <c r="A159" s="388">
        <v>4959</v>
      </c>
      <c r="B159" s="383" t="s">
        <v>427</v>
      </c>
      <c r="C159" s="384" t="s">
        <v>429</v>
      </c>
      <c r="D159" s="389">
        <v>1</v>
      </c>
      <c r="E159" s="348">
        <v>2500</v>
      </c>
      <c r="F159" s="314">
        <f>E159*D159</f>
        <v>2500</v>
      </c>
      <c r="G159" s="296"/>
      <c r="H159" s="296"/>
      <c r="I159" s="296"/>
      <c r="J159" s="296"/>
      <c r="K159" s="296"/>
      <c r="L159" s="297">
        <f>E159*(H159+I159+J159+K159)</f>
        <v>0</v>
      </c>
      <c r="M159" s="298"/>
      <c r="N159" s="298"/>
      <c r="O159" s="315"/>
      <c r="P159" s="300"/>
    </row>
    <row r="160" spans="1:16" s="301" customFormat="1" x14ac:dyDescent="0.2">
      <c r="A160" s="319"/>
      <c r="B160" s="320"/>
      <c r="C160" s="321"/>
      <c r="D160" s="322"/>
      <c r="E160" s="323"/>
      <c r="F160" s="314">
        <f t="shared" si="23"/>
        <v>0</v>
      </c>
      <c r="G160" s="296"/>
      <c r="H160" s="296"/>
      <c r="I160" s="296"/>
      <c r="J160" s="296"/>
      <c r="K160" s="296"/>
      <c r="L160" s="297">
        <f t="shared" si="24"/>
        <v>0</v>
      </c>
      <c r="M160" s="298"/>
      <c r="N160" s="298"/>
      <c r="O160" s="315"/>
      <c r="P160" s="300"/>
    </row>
    <row r="161" spans="1:16" s="301" customFormat="1" x14ac:dyDescent="0.2">
      <c r="A161" s="319"/>
      <c r="B161" s="320"/>
      <c r="C161" s="321"/>
      <c r="D161" s="322"/>
      <c r="E161" s="323"/>
      <c r="F161" s="314">
        <f t="shared" si="23"/>
        <v>0</v>
      </c>
      <c r="G161" s="296"/>
      <c r="H161" s="296"/>
      <c r="I161" s="296"/>
      <c r="J161" s="296"/>
      <c r="K161" s="296"/>
      <c r="L161" s="297">
        <f t="shared" si="24"/>
        <v>0</v>
      </c>
      <c r="M161" s="298"/>
      <c r="N161" s="298"/>
      <c r="O161" s="315"/>
      <c r="P161" s="300"/>
    </row>
    <row r="162" spans="1:16" s="301" customFormat="1" x14ac:dyDescent="0.2">
      <c r="A162" s="319"/>
      <c r="B162" s="320"/>
      <c r="C162" s="321"/>
      <c r="D162" s="322"/>
      <c r="E162" s="323"/>
      <c r="F162" s="314">
        <f t="shared" si="23"/>
        <v>0</v>
      </c>
      <c r="G162" s="296"/>
      <c r="H162" s="296"/>
      <c r="I162" s="296"/>
      <c r="J162" s="296"/>
      <c r="K162" s="296"/>
      <c r="L162" s="297">
        <f t="shared" si="24"/>
        <v>0</v>
      </c>
      <c r="M162" s="298"/>
      <c r="N162" s="298"/>
      <c r="O162" s="315"/>
      <c r="P162" s="300"/>
    </row>
    <row r="163" spans="1:16" s="301" customFormat="1" x14ac:dyDescent="0.2">
      <c r="A163" s="319"/>
      <c r="B163" s="320"/>
      <c r="C163" s="321"/>
      <c r="D163" s="322"/>
      <c r="E163" s="323"/>
      <c r="F163" s="314">
        <f t="shared" si="23"/>
        <v>0</v>
      </c>
      <c r="G163" s="296"/>
      <c r="H163" s="296"/>
      <c r="I163" s="296"/>
      <c r="J163" s="296"/>
      <c r="K163" s="296"/>
      <c r="L163" s="297">
        <f t="shared" si="24"/>
        <v>0</v>
      </c>
      <c r="M163" s="298"/>
      <c r="N163" s="298"/>
      <c r="O163" s="315"/>
      <c r="P163" s="300"/>
    </row>
    <row r="164" spans="1:16" s="301" customFormat="1" x14ac:dyDescent="0.2">
      <c r="A164" s="319"/>
      <c r="B164" s="320"/>
      <c r="C164" s="321"/>
      <c r="D164" s="322"/>
      <c r="E164" s="323"/>
      <c r="F164" s="314">
        <f t="shared" si="23"/>
        <v>0</v>
      </c>
      <c r="G164" s="296"/>
      <c r="H164" s="296"/>
      <c r="I164" s="296"/>
      <c r="J164" s="296"/>
      <c r="K164" s="296"/>
      <c r="L164" s="297">
        <f t="shared" si="24"/>
        <v>0</v>
      </c>
      <c r="M164" s="298"/>
      <c r="N164" s="298"/>
      <c r="O164" s="315"/>
      <c r="P164" s="300"/>
    </row>
    <row r="165" spans="1:16" s="301" customFormat="1" x14ac:dyDescent="0.2">
      <c r="A165" s="319"/>
      <c r="B165" s="320"/>
      <c r="C165" s="321"/>
      <c r="D165" s="322"/>
      <c r="E165" s="323"/>
      <c r="F165" s="314">
        <f t="shared" si="23"/>
        <v>0</v>
      </c>
      <c r="G165" s="296"/>
      <c r="H165" s="296"/>
      <c r="I165" s="296"/>
      <c r="J165" s="296"/>
      <c r="K165" s="296"/>
      <c r="L165" s="297">
        <f t="shared" si="24"/>
        <v>0</v>
      </c>
      <c r="M165" s="298"/>
      <c r="N165" s="298"/>
      <c r="O165" s="315"/>
      <c r="P165" s="300"/>
    </row>
    <row r="166" spans="1:16" s="301" customFormat="1" x14ac:dyDescent="0.2">
      <c r="A166" s="319"/>
      <c r="B166" s="320"/>
      <c r="C166" s="321"/>
      <c r="D166" s="322"/>
      <c r="E166" s="323"/>
      <c r="F166" s="314">
        <f t="shared" si="23"/>
        <v>0</v>
      </c>
      <c r="G166" s="296"/>
      <c r="H166" s="296"/>
      <c r="I166" s="296"/>
      <c r="J166" s="296"/>
      <c r="K166" s="296"/>
      <c r="L166" s="297">
        <f t="shared" si="24"/>
        <v>0</v>
      </c>
      <c r="M166" s="298"/>
      <c r="N166" s="298"/>
      <c r="O166" s="315"/>
      <c r="P166" s="300"/>
    </row>
    <row r="167" spans="1:16" s="301" customFormat="1" x14ac:dyDescent="0.2">
      <c r="A167" s="319"/>
      <c r="B167" s="320"/>
      <c r="C167" s="321"/>
      <c r="D167" s="322"/>
      <c r="E167" s="323"/>
      <c r="F167" s="314">
        <f t="shared" si="23"/>
        <v>0</v>
      </c>
      <c r="G167" s="296"/>
      <c r="H167" s="296"/>
      <c r="I167" s="296"/>
      <c r="J167" s="296"/>
      <c r="K167" s="296"/>
      <c r="L167" s="297">
        <f t="shared" si="24"/>
        <v>0</v>
      </c>
      <c r="M167" s="298"/>
      <c r="N167" s="298"/>
      <c r="O167" s="315"/>
      <c r="P167" s="300"/>
    </row>
    <row r="168" spans="1:16" s="301" customFormat="1" x14ac:dyDescent="0.2">
      <c r="A168" s="319"/>
      <c r="B168" s="320"/>
      <c r="C168" s="321"/>
      <c r="D168" s="322"/>
      <c r="E168" s="323"/>
      <c r="F168" s="314">
        <f t="shared" si="23"/>
        <v>0</v>
      </c>
      <c r="G168" s="296"/>
      <c r="H168" s="296"/>
      <c r="I168" s="296"/>
      <c r="J168" s="296"/>
      <c r="K168" s="296"/>
      <c r="L168" s="297">
        <f t="shared" si="24"/>
        <v>0</v>
      </c>
      <c r="M168" s="298"/>
      <c r="N168" s="298"/>
      <c r="O168" s="315"/>
      <c r="P168" s="300"/>
    </row>
    <row r="169" spans="1:16" s="301" customFormat="1" x14ac:dyDescent="0.2">
      <c r="A169" s="319"/>
      <c r="B169" s="320"/>
      <c r="C169" s="321"/>
      <c r="D169" s="322"/>
      <c r="E169" s="323"/>
      <c r="F169" s="314">
        <f t="shared" si="23"/>
        <v>0</v>
      </c>
      <c r="G169" s="296"/>
      <c r="H169" s="296"/>
      <c r="I169" s="296"/>
      <c r="J169" s="296"/>
      <c r="K169" s="296"/>
      <c r="L169" s="297">
        <f t="shared" si="24"/>
        <v>0</v>
      </c>
      <c r="M169" s="298"/>
      <c r="N169" s="298"/>
      <c r="O169" s="315"/>
      <c r="P169" s="300"/>
    </row>
    <row r="170" spans="1:16" s="301" customFormat="1" x14ac:dyDescent="0.2">
      <c r="A170" s="319"/>
      <c r="B170" s="320"/>
      <c r="C170" s="321"/>
      <c r="D170" s="322"/>
      <c r="E170" s="323"/>
      <c r="F170" s="314">
        <f t="shared" si="23"/>
        <v>0</v>
      </c>
      <c r="G170" s="296"/>
      <c r="H170" s="296"/>
      <c r="I170" s="296"/>
      <c r="J170" s="296"/>
      <c r="K170" s="296"/>
      <c r="L170" s="297">
        <f t="shared" si="24"/>
        <v>0</v>
      </c>
      <c r="M170" s="298"/>
      <c r="N170" s="298"/>
      <c r="O170" s="315"/>
      <c r="P170" s="300"/>
    </row>
    <row r="171" spans="1:16" s="301" customFormat="1" x14ac:dyDescent="0.2">
      <c r="A171" s="319"/>
      <c r="B171" s="320"/>
      <c r="C171" s="321"/>
      <c r="D171" s="322"/>
      <c r="E171" s="323"/>
      <c r="F171" s="314">
        <f t="shared" si="23"/>
        <v>0</v>
      </c>
      <c r="G171" s="296"/>
      <c r="H171" s="296"/>
      <c r="I171" s="296"/>
      <c r="J171" s="296"/>
      <c r="K171" s="296"/>
      <c r="L171" s="297">
        <f t="shared" si="24"/>
        <v>0</v>
      </c>
      <c r="M171" s="298"/>
      <c r="N171" s="298"/>
      <c r="O171" s="315"/>
      <c r="P171" s="300"/>
    </row>
    <row r="172" spans="1:16" s="301" customFormat="1" x14ac:dyDescent="0.2">
      <c r="A172" s="319"/>
      <c r="B172" s="320"/>
      <c r="C172" s="321"/>
      <c r="D172" s="322"/>
      <c r="E172" s="323"/>
      <c r="F172" s="314">
        <f t="shared" si="23"/>
        <v>0</v>
      </c>
      <c r="G172" s="296"/>
      <c r="H172" s="296"/>
      <c r="I172" s="296"/>
      <c r="J172" s="296"/>
      <c r="K172" s="296"/>
      <c r="L172" s="297">
        <f t="shared" si="16"/>
        <v>0</v>
      </c>
      <c r="M172" s="298"/>
      <c r="N172" s="298"/>
      <c r="O172" s="315"/>
      <c r="P172" s="300"/>
    </row>
    <row r="173" spans="1:16" s="301" customFormat="1" x14ac:dyDescent="0.2">
      <c r="A173" s="319"/>
      <c r="B173" s="320"/>
      <c r="C173" s="321"/>
      <c r="D173" s="322"/>
      <c r="E173" s="323"/>
      <c r="F173" s="314">
        <f t="shared" si="15"/>
        <v>0</v>
      </c>
      <c r="G173" s="296"/>
      <c r="H173" s="296"/>
      <c r="I173" s="296"/>
      <c r="J173" s="296"/>
      <c r="K173" s="296"/>
      <c r="L173" s="297">
        <f t="shared" si="16"/>
        <v>0</v>
      </c>
      <c r="M173" s="298"/>
      <c r="N173" s="298"/>
      <c r="O173" s="315"/>
      <c r="P173" s="300"/>
    </row>
    <row r="174" spans="1:16" s="301" customFormat="1" x14ac:dyDescent="0.2">
      <c r="A174" s="319"/>
      <c r="B174" s="320"/>
      <c r="C174" s="321"/>
      <c r="D174" s="322"/>
      <c r="E174" s="323"/>
      <c r="F174" s="314">
        <f t="shared" si="15"/>
        <v>0</v>
      </c>
      <c r="G174" s="296"/>
      <c r="H174" s="296"/>
      <c r="I174" s="296"/>
      <c r="J174" s="296"/>
      <c r="K174" s="296"/>
      <c r="L174" s="297">
        <f t="shared" si="16"/>
        <v>0</v>
      </c>
      <c r="M174" s="298"/>
      <c r="N174" s="298"/>
      <c r="O174" s="315"/>
      <c r="P174" s="300"/>
    </row>
    <row r="175" spans="1:16" s="301" customFormat="1" x14ac:dyDescent="0.2">
      <c r="A175" s="319"/>
      <c r="B175" s="320"/>
      <c r="C175" s="321"/>
      <c r="D175" s="322"/>
      <c r="E175" s="323"/>
      <c r="F175" s="314">
        <f t="shared" si="15"/>
        <v>0</v>
      </c>
      <c r="G175" s="296"/>
      <c r="H175" s="296"/>
      <c r="I175" s="296"/>
      <c r="J175" s="296"/>
      <c r="K175" s="296"/>
      <c r="L175" s="297">
        <f t="shared" si="16"/>
        <v>0</v>
      </c>
      <c r="M175" s="298"/>
      <c r="N175" s="298"/>
      <c r="O175" s="315"/>
      <c r="P175" s="300"/>
    </row>
    <row r="176" spans="1:16" s="301" customFormat="1" x14ac:dyDescent="0.2">
      <c r="A176" s="319"/>
      <c r="B176" s="320"/>
      <c r="C176" s="321"/>
      <c r="D176" s="322"/>
      <c r="E176" s="323"/>
      <c r="F176" s="314">
        <f t="shared" si="15"/>
        <v>0</v>
      </c>
      <c r="G176" s="296"/>
      <c r="H176" s="296"/>
      <c r="I176" s="296"/>
      <c r="J176" s="296"/>
      <c r="K176" s="296"/>
      <c r="L176" s="297">
        <f t="shared" si="16"/>
        <v>0</v>
      </c>
      <c r="M176" s="298"/>
      <c r="N176" s="298"/>
      <c r="O176" s="315"/>
      <c r="P176" s="300"/>
    </row>
    <row r="177" spans="1:18" s="301" customFormat="1" x14ac:dyDescent="0.2">
      <c r="A177" s="319"/>
      <c r="B177" s="320"/>
      <c r="C177" s="321"/>
      <c r="D177" s="322"/>
      <c r="E177" s="323"/>
      <c r="F177" s="314">
        <f t="shared" si="15"/>
        <v>0</v>
      </c>
      <c r="G177" s="296"/>
      <c r="H177" s="296"/>
      <c r="I177" s="296"/>
      <c r="J177" s="296"/>
      <c r="K177" s="296"/>
      <c r="L177" s="297">
        <f t="shared" si="16"/>
        <v>0</v>
      </c>
      <c r="M177" s="298"/>
      <c r="N177" s="298"/>
      <c r="O177" s="315"/>
      <c r="P177" s="300"/>
    </row>
    <row r="178" spans="1:18" s="301" customFormat="1" x14ac:dyDescent="0.2">
      <c r="A178" s="319"/>
      <c r="B178" s="320"/>
      <c r="C178" s="321"/>
      <c r="D178" s="322"/>
      <c r="E178" s="323"/>
      <c r="F178" s="314">
        <f t="shared" si="15"/>
        <v>0</v>
      </c>
      <c r="G178" s="296"/>
      <c r="H178" s="296"/>
      <c r="I178" s="296"/>
      <c r="J178" s="296"/>
      <c r="K178" s="296"/>
      <c r="L178" s="297">
        <f t="shared" si="16"/>
        <v>0</v>
      </c>
      <c r="M178" s="298"/>
      <c r="N178" s="298"/>
      <c r="O178" s="315"/>
      <c r="P178" s="300"/>
    </row>
    <row r="179" spans="1:18" s="301" customFormat="1" x14ac:dyDescent="0.2">
      <c r="A179" s="319"/>
      <c r="B179" s="320"/>
      <c r="C179" s="321"/>
      <c r="D179" s="322"/>
      <c r="E179" s="323"/>
      <c r="F179" s="314">
        <f t="shared" si="15"/>
        <v>0</v>
      </c>
      <c r="G179" s="296"/>
      <c r="H179" s="296"/>
      <c r="I179" s="296"/>
      <c r="J179" s="296"/>
      <c r="K179" s="296"/>
      <c r="L179" s="297">
        <f t="shared" si="16"/>
        <v>0</v>
      </c>
      <c r="M179" s="298"/>
      <c r="N179" s="298"/>
      <c r="O179" s="315"/>
      <c r="P179" s="300"/>
    </row>
    <row r="180" spans="1:18" s="301" customFormat="1" x14ac:dyDescent="0.2">
      <c r="A180" s="319"/>
      <c r="B180" s="320"/>
      <c r="C180" s="321"/>
      <c r="D180" s="322"/>
      <c r="E180" s="323"/>
      <c r="F180" s="314">
        <f t="shared" si="15"/>
        <v>0</v>
      </c>
      <c r="G180" s="296"/>
      <c r="H180" s="296"/>
      <c r="I180" s="296"/>
      <c r="J180" s="296"/>
      <c r="K180" s="296"/>
      <c r="L180" s="297">
        <f t="shared" si="16"/>
        <v>0</v>
      </c>
      <c r="M180" s="298"/>
      <c r="N180" s="298"/>
      <c r="O180" s="315"/>
      <c r="P180" s="300"/>
    </row>
    <row r="181" spans="1:18" s="301" customFormat="1" x14ac:dyDescent="0.2">
      <c r="A181" s="319"/>
      <c r="B181" s="320"/>
      <c r="C181" s="321"/>
      <c r="D181" s="322"/>
      <c r="E181" s="323"/>
      <c r="F181" s="314">
        <f t="shared" si="15"/>
        <v>0</v>
      </c>
      <c r="G181" s="296"/>
      <c r="H181" s="296"/>
      <c r="I181" s="296"/>
      <c r="J181" s="296"/>
      <c r="K181" s="296"/>
      <c r="L181" s="297">
        <f t="shared" si="16"/>
        <v>0</v>
      </c>
      <c r="M181" s="298"/>
      <c r="N181" s="298"/>
      <c r="O181" s="315"/>
      <c r="P181" s="300"/>
    </row>
    <row r="182" spans="1:18" s="301" customFormat="1" x14ac:dyDescent="0.2">
      <c r="A182" s="319"/>
      <c r="B182" s="320"/>
      <c r="C182" s="321"/>
      <c r="D182" s="322"/>
      <c r="E182" s="323"/>
      <c r="F182" s="314">
        <f t="shared" si="15"/>
        <v>0</v>
      </c>
      <c r="G182" s="296"/>
      <c r="H182" s="296"/>
      <c r="I182" s="296"/>
      <c r="J182" s="296"/>
      <c r="K182" s="296"/>
      <c r="L182" s="297">
        <f t="shared" si="16"/>
        <v>0</v>
      </c>
      <c r="M182" s="298"/>
      <c r="N182" s="298"/>
      <c r="O182" s="315"/>
      <c r="P182" s="300"/>
    </row>
    <row r="183" spans="1:18" s="301" customFormat="1" x14ac:dyDescent="0.2">
      <c r="A183" s="319"/>
      <c r="B183" s="320"/>
      <c r="C183" s="321"/>
      <c r="D183" s="322"/>
      <c r="E183" s="323"/>
      <c r="F183" s="314">
        <f t="shared" si="15"/>
        <v>0</v>
      </c>
      <c r="G183" s="296"/>
      <c r="H183" s="296"/>
      <c r="I183" s="296"/>
      <c r="J183" s="296"/>
      <c r="K183" s="296"/>
      <c r="L183" s="297">
        <f t="shared" si="16"/>
        <v>0</v>
      </c>
      <c r="M183" s="298"/>
      <c r="N183" s="298"/>
      <c r="O183" s="315"/>
      <c r="P183" s="300"/>
    </row>
    <row r="184" spans="1:18" s="301" customFormat="1" x14ac:dyDescent="0.2">
      <c r="A184" s="319"/>
      <c r="B184" s="320"/>
      <c r="C184" s="321"/>
      <c r="D184" s="322"/>
      <c r="E184" s="323"/>
      <c r="F184" s="314">
        <f t="shared" si="15"/>
        <v>0</v>
      </c>
      <c r="G184" s="296"/>
      <c r="H184" s="296"/>
      <c r="I184" s="296"/>
      <c r="J184" s="296"/>
      <c r="K184" s="296"/>
      <c r="L184" s="297">
        <f t="shared" si="16"/>
        <v>0</v>
      </c>
      <c r="M184" s="298"/>
      <c r="N184" s="298"/>
      <c r="O184" s="315"/>
      <c r="P184" s="300"/>
    </row>
    <row r="185" spans="1:18" s="301" customFormat="1" x14ac:dyDescent="0.2">
      <c r="A185" s="319"/>
      <c r="B185" s="320"/>
      <c r="C185" s="321"/>
      <c r="D185" s="322"/>
      <c r="E185" s="323"/>
      <c r="F185" s="314">
        <f t="shared" si="15"/>
        <v>0</v>
      </c>
      <c r="G185" s="296"/>
      <c r="H185" s="296"/>
      <c r="I185" s="296"/>
      <c r="J185" s="296"/>
      <c r="K185" s="296"/>
      <c r="L185" s="297">
        <f t="shared" si="16"/>
        <v>0</v>
      </c>
      <c r="M185" s="298"/>
      <c r="N185" s="298"/>
      <c r="O185" s="315"/>
      <c r="P185" s="300"/>
    </row>
    <row r="186" spans="1:18" s="301" customFormat="1" x14ac:dyDescent="0.2">
      <c r="A186" s="319"/>
      <c r="B186" s="320"/>
      <c r="C186" s="321"/>
      <c r="D186" s="322"/>
      <c r="E186" s="323"/>
      <c r="F186" s="314">
        <f t="shared" si="15"/>
        <v>0</v>
      </c>
      <c r="G186" s="296"/>
      <c r="H186" s="296"/>
      <c r="I186" s="296"/>
      <c r="J186" s="296"/>
      <c r="K186" s="296"/>
      <c r="L186" s="297">
        <f t="shared" si="16"/>
        <v>0</v>
      </c>
      <c r="M186" s="298"/>
      <c r="N186" s="298"/>
      <c r="O186" s="315"/>
      <c r="P186" s="300"/>
    </row>
    <row r="187" spans="1:18" s="301" customFormat="1" x14ac:dyDescent="0.2">
      <c r="A187" s="319"/>
      <c r="B187" s="320"/>
      <c r="C187" s="321"/>
      <c r="D187" s="322"/>
      <c r="E187" s="323"/>
      <c r="F187" s="314">
        <f t="shared" si="15"/>
        <v>0</v>
      </c>
      <c r="G187" s="296"/>
      <c r="H187" s="296"/>
      <c r="I187" s="296"/>
      <c r="J187" s="296"/>
      <c r="K187" s="296"/>
      <c r="L187" s="297">
        <f t="shared" si="16"/>
        <v>0</v>
      </c>
      <c r="M187" s="298"/>
      <c r="N187" s="298"/>
      <c r="O187" s="315"/>
      <c r="P187" s="300"/>
    </row>
    <row r="188" spans="1:18" s="301" customFormat="1" ht="13.5" thickBot="1" x14ac:dyDescent="0.25">
      <c r="A188" s="332"/>
      <c r="B188" s="334"/>
      <c r="C188" s="337"/>
      <c r="D188" s="340"/>
      <c r="E188" s="342"/>
      <c r="F188" s="314">
        <f t="shared" si="15"/>
        <v>0</v>
      </c>
      <c r="G188" s="344"/>
      <c r="H188" s="296"/>
      <c r="I188" s="296"/>
      <c r="J188" s="296"/>
      <c r="K188" s="296"/>
      <c r="L188" s="297">
        <f t="shared" si="16"/>
        <v>0</v>
      </c>
      <c r="M188" s="298"/>
      <c r="N188" s="298"/>
      <c r="O188" s="315"/>
      <c r="P188" s="300"/>
    </row>
    <row r="189" spans="1:18" s="301" customFormat="1" ht="13.5" thickBot="1" x14ac:dyDescent="0.25">
      <c r="A189" s="333"/>
      <c r="B189" s="336"/>
      <c r="C189" s="339"/>
      <c r="D189" s="341"/>
      <c r="E189" s="343"/>
      <c r="F189" s="347">
        <f>SUM(F8:F188)</f>
        <v>2975551.5</v>
      </c>
      <c r="G189" s="345"/>
      <c r="H189" s="345"/>
      <c r="I189" s="345"/>
      <c r="J189" s="345"/>
      <c r="K189" s="345"/>
      <c r="L189" s="346">
        <f>SUM(L8:L188)</f>
        <v>2547709.9899999998</v>
      </c>
      <c r="M189" s="345"/>
      <c r="N189" s="345"/>
      <c r="O189" s="345"/>
      <c r="P189" s="300"/>
    </row>
    <row r="190" spans="1:18" s="301" customFormat="1" x14ac:dyDescent="0.2">
      <c r="A190" s="324"/>
      <c r="B190" s="335"/>
      <c r="C190" s="338"/>
      <c r="D190" s="325"/>
      <c r="E190" s="326"/>
      <c r="F190" s="327"/>
      <c r="G190" s="328"/>
      <c r="H190" s="328"/>
      <c r="I190" s="328"/>
      <c r="J190" s="328"/>
      <c r="K190" s="328"/>
      <c r="L190" s="329"/>
      <c r="M190" s="330"/>
      <c r="N190" s="330"/>
      <c r="O190" s="331"/>
      <c r="P190" s="300"/>
    </row>
    <row r="191" spans="1:18" s="282" customFormat="1" x14ac:dyDescent="0.2">
      <c r="A191" s="302"/>
      <c r="B191" s="306"/>
      <c r="C191" s="305" t="s">
        <v>250</v>
      </c>
      <c r="D191" s="303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4"/>
      <c r="R191" s="280"/>
    </row>
    <row r="192" spans="1:18" s="282" customFormat="1" x14ac:dyDescent="0.2">
      <c r="A192" s="302"/>
      <c r="B192" s="307"/>
      <c r="C192" s="305" t="s">
        <v>251</v>
      </c>
      <c r="D192" s="303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4"/>
      <c r="R192" s="280"/>
    </row>
    <row r="193" spans="1:18" s="282" customFormat="1" x14ac:dyDescent="0.2">
      <c r="A193" s="302"/>
      <c r="B193" s="308"/>
      <c r="C193" s="305" t="s">
        <v>252</v>
      </c>
      <c r="D193" s="303"/>
      <c r="E193" s="302"/>
      <c r="F193" s="302"/>
      <c r="G193" s="302"/>
      <c r="H193" s="302"/>
      <c r="I193" s="302"/>
      <c r="J193" s="302"/>
      <c r="K193" s="302"/>
      <c r="L193" s="302"/>
      <c r="M193" s="302"/>
      <c r="N193" s="302"/>
      <c r="O193" s="304"/>
      <c r="R193" s="280"/>
    </row>
    <row r="194" spans="1:18" s="282" customFormat="1" x14ac:dyDescent="0.2">
      <c r="A194" s="302"/>
      <c r="B194" s="309"/>
      <c r="C194" s="305" t="s">
        <v>253</v>
      </c>
      <c r="D194" s="303"/>
      <c r="E194" s="302"/>
      <c r="F194" s="302"/>
      <c r="G194" s="302"/>
      <c r="H194" s="302"/>
      <c r="I194" s="302"/>
      <c r="J194" s="302"/>
      <c r="K194" s="302"/>
      <c r="L194" s="302"/>
      <c r="M194" s="302"/>
      <c r="N194" s="302"/>
      <c r="O194" s="304"/>
      <c r="R194" s="280"/>
    </row>
    <row r="195" spans="1:18" s="282" customFormat="1" x14ac:dyDescent="0.2">
      <c r="A195" s="302"/>
      <c r="B195" s="310"/>
      <c r="C195" s="305" t="s">
        <v>254</v>
      </c>
      <c r="D195" s="303"/>
      <c r="E195" s="302"/>
      <c r="F195" s="302"/>
      <c r="G195" s="302"/>
      <c r="H195" s="302"/>
      <c r="I195" s="302"/>
      <c r="J195" s="302"/>
      <c r="K195" s="302"/>
      <c r="L195" s="302"/>
      <c r="M195" s="302"/>
      <c r="N195" s="302"/>
      <c r="O195" s="304"/>
      <c r="R195" s="280"/>
    </row>
    <row r="196" spans="1:18" s="282" customFormat="1" x14ac:dyDescent="0.2">
      <c r="A196" s="302"/>
      <c r="B196" s="311"/>
      <c r="C196" s="305" t="s">
        <v>255</v>
      </c>
      <c r="D196" s="303"/>
      <c r="E196" s="302"/>
      <c r="F196" s="302"/>
      <c r="G196" s="302"/>
      <c r="H196" s="302"/>
      <c r="I196" s="302"/>
      <c r="J196" s="302"/>
      <c r="K196" s="302"/>
      <c r="L196" s="302"/>
      <c r="M196" s="302"/>
      <c r="N196" s="302"/>
      <c r="O196" s="304"/>
      <c r="R196" s="280"/>
    </row>
    <row r="197" spans="1:18" s="282" customFormat="1" x14ac:dyDescent="0.2">
      <c r="A197" s="302"/>
      <c r="B197" s="377"/>
      <c r="C197" s="378" t="s">
        <v>256</v>
      </c>
      <c r="D197" s="303"/>
      <c r="E197" s="302"/>
      <c r="F197" s="302"/>
      <c r="G197" s="302"/>
      <c r="H197" s="302"/>
      <c r="I197" s="302"/>
      <c r="J197" s="302"/>
      <c r="K197" s="302"/>
      <c r="L197" s="302"/>
      <c r="M197" s="302"/>
      <c r="N197" s="302"/>
      <c r="O197" s="304"/>
      <c r="R197" s="280"/>
    </row>
    <row r="198" spans="1:18" s="282" customFormat="1" x14ac:dyDescent="0.2">
      <c r="A198" s="302"/>
      <c r="B198" s="374"/>
      <c r="C198" s="375" t="s">
        <v>364</v>
      </c>
      <c r="D198" s="303"/>
      <c r="E198" s="302"/>
      <c r="F198" s="302"/>
      <c r="G198" s="302"/>
      <c r="H198" s="302"/>
      <c r="I198" s="302"/>
      <c r="J198" s="302"/>
      <c r="K198" s="302"/>
      <c r="L198" s="302"/>
      <c r="M198" s="302"/>
      <c r="N198" s="302"/>
      <c r="O198" s="304"/>
      <c r="R198" s="280"/>
    </row>
    <row r="199" spans="1:18" s="282" customFormat="1" x14ac:dyDescent="0.2">
      <c r="A199" s="302"/>
      <c r="B199" s="376"/>
      <c r="C199" s="375" t="s">
        <v>365</v>
      </c>
      <c r="D199" s="303"/>
      <c r="E199" s="302"/>
      <c r="F199" s="302"/>
      <c r="G199" s="302"/>
      <c r="H199" s="302"/>
      <c r="I199" s="302"/>
      <c r="J199" s="302"/>
      <c r="K199" s="302"/>
      <c r="L199" s="302"/>
      <c r="M199" s="302"/>
      <c r="N199" s="302"/>
      <c r="O199" s="304"/>
      <c r="R199" s="280"/>
    </row>
    <row r="200" spans="1:18" s="282" customFormat="1" x14ac:dyDescent="0.2">
      <c r="A200" s="302"/>
      <c r="B200" s="302"/>
      <c r="C200" s="302"/>
      <c r="D200" s="303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4"/>
      <c r="R200" s="280"/>
    </row>
    <row r="201" spans="1:18" s="282" customFormat="1" x14ac:dyDescent="0.2">
      <c r="A201" s="302"/>
      <c r="B201" s="302"/>
      <c r="C201" s="302"/>
      <c r="D201" s="303"/>
      <c r="E201" s="302"/>
      <c r="F201" s="302"/>
      <c r="G201" s="302"/>
      <c r="H201" s="302"/>
      <c r="I201" s="302"/>
      <c r="J201" s="302"/>
      <c r="K201" s="302"/>
      <c r="L201" s="302"/>
      <c r="M201" s="302"/>
      <c r="N201" s="302"/>
      <c r="O201" s="304"/>
      <c r="R201" s="280"/>
    </row>
    <row r="202" spans="1:18" s="282" customFormat="1" x14ac:dyDescent="0.2">
      <c r="A202" s="302"/>
      <c r="B202" s="302"/>
      <c r="C202" s="302"/>
      <c r="D202" s="303"/>
      <c r="E202" s="302"/>
      <c r="F202" s="302"/>
      <c r="G202" s="302"/>
      <c r="H202" s="302"/>
      <c r="I202" s="302"/>
      <c r="J202" s="302"/>
      <c r="K202" s="302"/>
      <c r="L202" s="302"/>
      <c r="M202" s="302"/>
      <c r="N202" s="302"/>
      <c r="O202" s="304"/>
      <c r="R202" s="280"/>
    </row>
    <row r="203" spans="1:18" s="282" customFormat="1" x14ac:dyDescent="0.2">
      <c r="A203" s="302"/>
      <c r="B203" s="302"/>
      <c r="C203" s="302"/>
      <c r="D203" s="303"/>
      <c r="E203" s="302"/>
      <c r="F203" s="302"/>
      <c r="G203" s="302"/>
      <c r="H203" s="302"/>
      <c r="I203" s="302"/>
      <c r="J203" s="302"/>
      <c r="K203" s="302"/>
      <c r="L203" s="302"/>
      <c r="M203" s="302"/>
      <c r="N203" s="302"/>
      <c r="O203" s="304"/>
      <c r="R203" s="280"/>
    </row>
    <row r="204" spans="1:18" s="282" customFormat="1" x14ac:dyDescent="0.2">
      <c r="A204" s="302"/>
      <c r="B204" s="302"/>
      <c r="C204" s="302"/>
      <c r="D204" s="303"/>
      <c r="E204" s="302"/>
      <c r="F204" s="302"/>
      <c r="G204" s="302"/>
      <c r="H204" s="302"/>
      <c r="I204" s="302"/>
      <c r="J204" s="302"/>
      <c r="K204" s="302"/>
      <c r="L204" s="302"/>
      <c r="M204" s="302"/>
      <c r="N204" s="302"/>
      <c r="O204" s="304"/>
      <c r="R204" s="280"/>
    </row>
    <row r="205" spans="1:18" s="282" customFormat="1" x14ac:dyDescent="0.2">
      <c r="A205" s="302"/>
      <c r="B205" s="302"/>
      <c r="C205" s="302"/>
      <c r="D205" s="303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04"/>
      <c r="R205" s="280"/>
    </row>
    <row r="206" spans="1:18" s="282" customFormat="1" x14ac:dyDescent="0.2">
      <c r="A206" s="302"/>
      <c r="B206" s="302"/>
      <c r="C206" s="302"/>
      <c r="D206" s="303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O206" s="304"/>
      <c r="R206" s="280"/>
    </row>
    <row r="207" spans="1:18" s="282" customFormat="1" x14ac:dyDescent="0.2">
      <c r="A207" s="302"/>
      <c r="B207" s="302"/>
      <c r="C207" s="302"/>
      <c r="D207" s="303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4"/>
      <c r="R207" s="280"/>
    </row>
    <row r="208" spans="1:18" s="282" customFormat="1" x14ac:dyDescent="0.2">
      <c r="A208" s="302"/>
      <c r="B208" s="302"/>
      <c r="C208" s="302"/>
      <c r="D208" s="303"/>
      <c r="E208" s="302"/>
      <c r="F208" s="302"/>
      <c r="G208" s="302"/>
      <c r="H208" s="302"/>
      <c r="I208" s="302"/>
      <c r="J208" s="302"/>
      <c r="K208" s="302"/>
      <c r="L208" s="302"/>
      <c r="M208" s="302"/>
      <c r="N208" s="302"/>
      <c r="O208" s="304"/>
      <c r="R208" s="280"/>
    </row>
    <row r="209" spans="1:18" s="282" customFormat="1" x14ac:dyDescent="0.2">
      <c r="A209" s="302"/>
      <c r="B209" s="302"/>
      <c r="C209" s="302"/>
      <c r="D209" s="303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4"/>
      <c r="R209" s="280"/>
    </row>
    <row r="210" spans="1:18" s="282" customFormat="1" x14ac:dyDescent="0.2">
      <c r="A210" s="302"/>
      <c r="B210" s="302"/>
      <c r="C210" s="302"/>
      <c r="D210" s="303"/>
      <c r="E210" s="302"/>
      <c r="F210" s="302"/>
      <c r="G210" s="302"/>
      <c r="H210" s="302"/>
      <c r="I210" s="302"/>
      <c r="J210" s="302"/>
      <c r="K210" s="302"/>
      <c r="L210" s="302"/>
      <c r="M210" s="302"/>
      <c r="N210" s="302"/>
      <c r="O210" s="304"/>
      <c r="R210" s="280"/>
    </row>
    <row r="211" spans="1:18" s="282" customFormat="1" x14ac:dyDescent="0.2">
      <c r="A211" s="302"/>
      <c r="B211" s="302"/>
      <c r="C211" s="302"/>
      <c r="D211" s="303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R211" s="280"/>
    </row>
    <row r="212" spans="1:18" s="282" customFormat="1" x14ac:dyDescent="0.2">
      <c r="A212" s="302"/>
      <c r="B212" s="302"/>
      <c r="C212" s="302"/>
      <c r="D212" s="303"/>
      <c r="E212" s="302"/>
      <c r="F212" s="302"/>
      <c r="G212" s="302"/>
      <c r="H212" s="302"/>
      <c r="I212" s="302"/>
      <c r="J212" s="302"/>
      <c r="K212" s="302"/>
      <c r="L212" s="302"/>
      <c r="M212" s="302"/>
      <c r="N212" s="302"/>
      <c r="R212" s="280"/>
    </row>
    <row r="213" spans="1:18" s="282" customFormat="1" x14ac:dyDescent="0.2">
      <c r="A213" s="302"/>
      <c r="B213" s="302"/>
      <c r="C213" s="302"/>
      <c r="D213" s="303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R213" s="280"/>
    </row>
    <row r="214" spans="1:18" s="282" customFormat="1" x14ac:dyDescent="0.2">
      <c r="A214" s="302"/>
      <c r="B214" s="302"/>
      <c r="C214" s="302"/>
      <c r="D214" s="303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R214" s="280"/>
    </row>
    <row r="215" spans="1:18" s="282" customFormat="1" x14ac:dyDescent="0.2">
      <c r="A215" s="302"/>
      <c r="B215" s="302"/>
      <c r="C215" s="302"/>
      <c r="D215" s="303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R215" s="280"/>
    </row>
    <row r="216" spans="1:18" s="282" customFormat="1" x14ac:dyDescent="0.2">
      <c r="A216" s="302"/>
      <c r="B216" s="302"/>
      <c r="C216" s="302"/>
      <c r="D216" s="303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R216" s="280"/>
    </row>
    <row r="217" spans="1:18" s="282" customFormat="1" x14ac:dyDescent="0.2">
      <c r="A217" s="302"/>
      <c r="B217" s="302"/>
      <c r="C217" s="302"/>
      <c r="D217" s="303"/>
      <c r="E217" s="302"/>
      <c r="F217" s="302"/>
      <c r="G217" s="302"/>
      <c r="H217" s="302"/>
      <c r="I217" s="302"/>
      <c r="J217" s="302"/>
      <c r="K217" s="302"/>
      <c r="L217" s="302"/>
      <c r="M217" s="302"/>
      <c r="N217" s="302"/>
      <c r="R217" s="280"/>
    </row>
    <row r="218" spans="1:18" s="282" customFormat="1" x14ac:dyDescent="0.2">
      <c r="A218" s="302"/>
      <c r="B218" s="302"/>
      <c r="C218" s="302"/>
      <c r="D218" s="303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R218" s="280"/>
    </row>
    <row r="219" spans="1:18" s="282" customFormat="1" x14ac:dyDescent="0.2">
      <c r="A219" s="302"/>
      <c r="B219" s="302"/>
      <c r="C219" s="302"/>
      <c r="D219" s="303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R219" s="280"/>
    </row>
    <row r="220" spans="1:18" s="282" customFormat="1" x14ac:dyDescent="0.2">
      <c r="A220" s="302"/>
      <c r="B220" s="302"/>
      <c r="C220" s="302"/>
      <c r="D220" s="303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R220" s="280"/>
    </row>
    <row r="221" spans="1:18" s="282" customFormat="1" x14ac:dyDescent="0.2">
      <c r="A221" s="302"/>
      <c r="B221" s="302"/>
      <c r="C221" s="302"/>
      <c r="D221" s="303"/>
      <c r="E221" s="302"/>
      <c r="F221" s="302"/>
      <c r="G221" s="302"/>
      <c r="H221" s="302"/>
      <c r="I221" s="302"/>
      <c r="J221" s="302"/>
      <c r="K221" s="302"/>
      <c r="L221" s="302"/>
      <c r="M221" s="302"/>
      <c r="N221" s="302"/>
      <c r="R221" s="280"/>
    </row>
    <row r="222" spans="1:18" s="282" customFormat="1" x14ac:dyDescent="0.2">
      <c r="A222" s="302"/>
      <c r="B222" s="302"/>
      <c r="C222" s="302"/>
      <c r="D222" s="303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R222" s="280"/>
    </row>
    <row r="223" spans="1:18" s="282" customFormat="1" x14ac:dyDescent="0.2">
      <c r="A223" s="302"/>
      <c r="B223" s="302"/>
      <c r="C223" s="302"/>
      <c r="D223" s="303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R223" s="280"/>
    </row>
    <row r="224" spans="1:18" s="282" customFormat="1" x14ac:dyDescent="0.2">
      <c r="A224" s="302"/>
      <c r="B224" s="302"/>
      <c r="C224" s="302"/>
      <c r="D224" s="303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R224" s="280"/>
    </row>
    <row r="225" spans="1:18" s="282" customFormat="1" x14ac:dyDescent="0.2">
      <c r="A225" s="302"/>
      <c r="B225" s="302"/>
      <c r="C225" s="302"/>
      <c r="D225" s="303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R225" s="280"/>
    </row>
    <row r="226" spans="1:18" s="282" customFormat="1" x14ac:dyDescent="0.2">
      <c r="A226" s="302"/>
      <c r="B226" s="302"/>
      <c r="C226" s="302"/>
      <c r="D226" s="303"/>
      <c r="E226" s="302"/>
      <c r="F226" s="302"/>
      <c r="G226" s="302"/>
      <c r="H226" s="302"/>
      <c r="I226" s="302"/>
      <c r="J226" s="302"/>
      <c r="K226" s="302"/>
      <c r="L226" s="302"/>
      <c r="M226" s="302"/>
      <c r="N226" s="302"/>
      <c r="R226" s="280"/>
    </row>
    <row r="227" spans="1:18" s="282" customFormat="1" x14ac:dyDescent="0.2">
      <c r="A227" s="302"/>
      <c r="B227" s="302"/>
      <c r="C227" s="302"/>
      <c r="D227" s="303"/>
      <c r="E227" s="302"/>
      <c r="F227" s="302"/>
      <c r="G227" s="302"/>
      <c r="H227" s="302"/>
      <c r="I227" s="302"/>
      <c r="J227" s="302"/>
      <c r="K227" s="302"/>
      <c r="L227" s="302"/>
      <c r="M227" s="302"/>
      <c r="N227" s="302"/>
      <c r="R227" s="280"/>
    </row>
    <row r="228" spans="1:18" s="282" customFormat="1" x14ac:dyDescent="0.2">
      <c r="A228" s="302"/>
      <c r="B228" s="302"/>
      <c r="C228" s="302"/>
      <c r="D228" s="303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R228" s="280"/>
    </row>
    <row r="229" spans="1:18" s="282" customFormat="1" x14ac:dyDescent="0.2">
      <c r="A229" s="302"/>
      <c r="B229" s="302"/>
      <c r="C229" s="302"/>
      <c r="D229" s="303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R229" s="280"/>
    </row>
    <row r="230" spans="1:18" s="282" customFormat="1" x14ac:dyDescent="0.2">
      <c r="A230" s="302"/>
      <c r="B230" s="302"/>
      <c r="C230" s="302"/>
      <c r="D230" s="303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R230" s="280"/>
    </row>
    <row r="231" spans="1:18" s="282" customFormat="1" x14ac:dyDescent="0.2">
      <c r="A231" s="302"/>
      <c r="B231" s="302"/>
      <c r="C231" s="302"/>
      <c r="D231" s="303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R231" s="280"/>
    </row>
    <row r="232" spans="1:18" s="282" customFormat="1" x14ac:dyDescent="0.2">
      <c r="A232" s="302"/>
      <c r="B232" s="302"/>
      <c r="C232" s="302"/>
      <c r="D232" s="303"/>
      <c r="E232" s="302"/>
      <c r="F232" s="302"/>
      <c r="G232" s="302"/>
      <c r="H232" s="302"/>
      <c r="I232" s="302"/>
      <c r="J232" s="302"/>
      <c r="K232" s="302"/>
      <c r="L232" s="302"/>
      <c r="M232" s="302"/>
      <c r="N232" s="302"/>
      <c r="R232" s="280"/>
    </row>
    <row r="233" spans="1:18" s="282" customFormat="1" x14ac:dyDescent="0.2">
      <c r="A233" s="302"/>
      <c r="B233" s="302"/>
      <c r="C233" s="302"/>
      <c r="D233" s="303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R233" s="280"/>
    </row>
    <row r="234" spans="1:18" s="282" customFormat="1" x14ac:dyDescent="0.2">
      <c r="A234" s="302"/>
      <c r="B234" s="302"/>
      <c r="C234" s="302"/>
      <c r="D234" s="303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R234" s="280"/>
    </row>
    <row r="235" spans="1:18" s="282" customFormat="1" x14ac:dyDescent="0.2">
      <c r="A235" s="302"/>
      <c r="B235" s="302"/>
      <c r="C235" s="302"/>
      <c r="D235" s="303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R235" s="280"/>
    </row>
    <row r="236" spans="1:18" s="282" customFormat="1" x14ac:dyDescent="0.2">
      <c r="A236" s="302"/>
      <c r="B236" s="302"/>
      <c r="C236" s="302"/>
      <c r="D236" s="303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R236" s="280"/>
    </row>
    <row r="237" spans="1:18" s="282" customFormat="1" x14ac:dyDescent="0.2">
      <c r="A237" s="302"/>
      <c r="B237" s="302"/>
      <c r="C237" s="302"/>
      <c r="D237" s="303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R237" s="280"/>
    </row>
    <row r="238" spans="1:18" s="282" customFormat="1" x14ac:dyDescent="0.2">
      <c r="A238" s="302"/>
      <c r="B238" s="302"/>
      <c r="C238" s="302"/>
      <c r="D238" s="303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R238" s="280"/>
    </row>
    <row r="239" spans="1:18" s="282" customFormat="1" x14ac:dyDescent="0.2">
      <c r="A239" s="302"/>
      <c r="B239" s="302"/>
      <c r="C239" s="302"/>
      <c r="D239" s="303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R239" s="280"/>
    </row>
    <row r="240" spans="1:18" s="282" customFormat="1" x14ac:dyDescent="0.2">
      <c r="A240" s="302"/>
      <c r="B240" s="302"/>
      <c r="C240" s="302"/>
      <c r="D240" s="303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R240" s="280"/>
    </row>
    <row r="241" spans="1:18" s="282" customFormat="1" x14ac:dyDescent="0.2">
      <c r="A241" s="302"/>
      <c r="B241" s="302"/>
      <c r="C241" s="302"/>
      <c r="D241" s="303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R241" s="280"/>
    </row>
    <row r="242" spans="1:18" s="282" customFormat="1" x14ac:dyDescent="0.2">
      <c r="A242" s="302"/>
      <c r="B242" s="302"/>
      <c r="C242" s="302"/>
      <c r="D242" s="303"/>
      <c r="E242" s="302"/>
      <c r="F242" s="302"/>
      <c r="G242" s="302"/>
      <c r="H242" s="302"/>
      <c r="I242" s="302"/>
      <c r="J242" s="302"/>
      <c r="K242" s="302"/>
      <c r="L242" s="302"/>
      <c r="M242" s="302"/>
      <c r="N242" s="302"/>
      <c r="R242" s="280"/>
    </row>
    <row r="243" spans="1:18" s="282" customFormat="1" x14ac:dyDescent="0.2">
      <c r="A243" s="302"/>
      <c r="B243" s="302"/>
      <c r="C243" s="302"/>
      <c r="D243" s="303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R243" s="280"/>
    </row>
    <row r="244" spans="1:18" s="282" customFormat="1" x14ac:dyDescent="0.2">
      <c r="A244" s="302"/>
      <c r="B244" s="302"/>
      <c r="C244" s="302"/>
      <c r="D244" s="303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R244" s="280"/>
    </row>
    <row r="245" spans="1:18" s="282" customFormat="1" x14ac:dyDescent="0.2">
      <c r="A245" s="302"/>
      <c r="B245" s="302"/>
      <c r="C245" s="302"/>
      <c r="D245" s="303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R245" s="280"/>
    </row>
    <row r="246" spans="1:18" s="282" customFormat="1" x14ac:dyDescent="0.2">
      <c r="A246" s="302"/>
      <c r="B246" s="302"/>
      <c r="C246" s="302"/>
      <c r="D246" s="303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R246" s="280"/>
    </row>
    <row r="247" spans="1:18" s="282" customFormat="1" x14ac:dyDescent="0.2">
      <c r="A247" s="302"/>
      <c r="B247" s="302"/>
      <c r="C247" s="302"/>
      <c r="D247" s="303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R247" s="280"/>
    </row>
    <row r="248" spans="1:18" s="282" customFormat="1" x14ac:dyDescent="0.2">
      <c r="A248" s="302"/>
      <c r="B248" s="302"/>
      <c r="C248" s="302"/>
      <c r="D248" s="303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R248" s="280"/>
    </row>
    <row r="249" spans="1:18" s="282" customFormat="1" x14ac:dyDescent="0.2">
      <c r="A249" s="302"/>
      <c r="B249" s="302"/>
      <c r="C249" s="302"/>
      <c r="D249" s="303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R249" s="280"/>
    </row>
    <row r="250" spans="1:18" s="282" customFormat="1" x14ac:dyDescent="0.2">
      <c r="A250" s="302"/>
      <c r="B250" s="302"/>
      <c r="C250" s="302"/>
      <c r="D250" s="303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R250" s="280"/>
    </row>
    <row r="251" spans="1:18" s="282" customFormat="1" x14ac:dyDescent="0.2">
      <c r="A251" s="302"/>
      <c r="B251" s="302"/>
      <c r="C251" s="302"/>
      <c r="D251" s="303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R251" s="280"/>
    </row>
    <row r="252" spans="1:18" s="282" customFormat="1" x14ac:dyDescent="0.2">
      <c r="A252" s="302"/>
      <c r="B252" s="302"/>
      <c r="C252" s="302"/>
      <c r="D252" s="303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R252" s="280"/>
    </row>
    <row r="253" spans="1:18" s="282" customFormat="1" x14ac:dyDescent="0.2">
      <c r="A253" s="302"/>
      <c r="B253" s="302"/>
      <c r="C253" s="302"/>
      <c r="D253" s="303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R253" s="280"/>
    </row>
    <row r="254" spans="1:18" s="282" customFormat="1" x14ac:dyDescent="0.2">
      <c r="A254" s="302"/>
      <c r="B254" s="302"/>
      <c r="C254" s="302"/>
      <c r="D254" s="303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R254" s="280"/>
    </row>
    <row r="255" spans="1:18" s="282" customFormat="1" x14ac:dyDescent="0.2">
      <c r="A255" s="302"/>
      <c r="B255" s="302"/>
      <c r="C255" s="302"/>
      <c r="D255" s="303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R255" s="280"/>
    </row>
    <row r="256" spans="1:18" s="282" customFormat="1" x14ac:dyDescent="0.2">
      <c r="A256" s="302"/>
      <c r="B256" s="302"/>
      <c r="C256" s="302"/>
      <c r="D256" s="303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R256" s="280"/>
    </row>
    <row r="257" spans="1:18" s="282" customFormat="1" x14ac:dyDescent="0.2">
      <c r="A257" s="302"/>
      <c r="B257" s="302"/>
      <c r="C257" s="302"/>
      <c r="D257" s="303"/>
      <c r="E257" s="302"/>
      <c r="F257" s="302"/>
      <c r="G257" s="302"/>
      <c r="H257" s="302"/>
      <c r="I257" s="302"/>
      <c r="J257" s="302"/>
      <c r="K257" s="302"/>
      <c r="L257" s="302"/>
      <c r="M257" s="302"/>
      <c r="N257" s="302"/>
      <c r="R257" s="280"/>
    </row>
    <row r="258" spans="1:18" s="282" customFormat="1" x14ac:dyDescent="0.2">
      <c r="A258" s="302"/>
      <c r="B258" s="302"/>
      <c r="C258" s="302"/>
      <c r="D258" s="303"/>
      <c r="E258" s="302"/>
      <c r="F258" s="302"/>
      <c r="G258" s="302"/>
      <c r="H258" s="302"/>
      <c r="I258" s="302"/>
      <c r="J258" s="302"/>
      <c r="K258" s="302"/>
      <c r="L258" s="302"/>
      <c r="M258" s="302"/>
      <c r="N258" s="302"/>
      <c r="R258" s="280"/>
    </row>
    <row r="259" spans="1:18" s="282" customFormat="1" x14ac:dyDescent="0.2">
      <c r="A259" s="302"/>
      <c r="B259" s="302"/>
      <c r="C259" s="302"/>
      <c r="D259" s="303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R259" s="280"/>
    </row>
    <row r="260" spans="1:18" s="282" customFormat="1" x14ac:dyDescent="0.2">
      <c r="A260" s="302"/>
      <c r="B260" s="302"/>
      <c r="C260" s="302"/>
      <c r="D260" s="303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R260" s="280"/>
    </row>
    <row r="261" spans="1:18" s="282" customFormat="1" x14ac:dyDescent="0.2">
      <c r="A261" s="302"/>
      <c r="B261" s="302"/>
      <c r="C261" s="302"/>
      <c r="D261" s="303"/>
      <c r="E261" s="302"/>
      <c r="F261" s="302"/>
      <c r="G261" s="302"/>
      <c r="H261" s="302"/>
      <c r="I261" s="302"/>
      <c r="J261" s="302"/>
      <c r="K261" s="302"/>
      <c r="L261" s="302"/>
      <c r="M261" s="302"/>
      <c r="N261" s="302"/>
      <c r="R261" s="280"/>
    </row>
    <row r="262" spans="1:18" s="282" customFormat="1" x14ac:dyDescent="0.2">
      <c r="A262" s="302"/>
      <c r="B262" s="302"/>
      <c r="C262" s="302"/>
      <c r="D262" s="303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R262" s="280"/>
    </row>
    <row r="263" spans="1:18" s="282" customFormat="1" x14ac:dyDescent="0.2">
      <c r="A263" s="302"/>
      <c r="B263" s="302"/>
      <c r="C263" s="302"/>
      <c r="D263" s="303"/>
      <c r="E263" s="302"/>
      <c r="F263" s="302"/>
      <c r="G263" s="302"/>
      <c r="H263" s="302"/>
      <c r="I263" s="302"/>
      <c r="J263" s="302"/>
      <c r="K263" s="302"/>
      <c r="L263" s="302"/>
      <c r="M263" s="302"/>
      <c r="N263" s="302"/>
      <c r="R263" s="280"/>
    </row>
    <row r="264" spans="1:18" s="282" customFormat="1" x14ac:dyDescent="0.2">
      <c r="A264" s="302"/>
      <c r="B264" s="302"/>
      <c r="C264" s="302"/>
      <c r="D264" s="303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R264" s="280"/>
    </row>
    <row r="265" spans="1:18" s="282" customFormat="1" x14ac:dyDescent="0.2">
      <c r="A265" s="302"/>
      <c r="B265" s="302"/>
      <c r="C265" s="302"/>
      <c r="D265" s="303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R265" s="280"/>
    </row>
    <row r="266" spans="1:18" s="282" customFormat="1" x14ac:dyDescent="0.2">
      <c r="A266" s="302"/>
      <c r="B266" s="302"/>
      <c r="C266" s="302"/>
      <c r="D266" s="303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R266" s="280"/>
    </row>
    <row r="267" spans="1:18" s="282" customFormat="1" x14ac:dyDescent="0.2">
      <c r="A267" s="302"/>
      <c r="B267" s="302"/>
      <c r="C267" s="302"/>
      <c r="D267" s="303"/>
      <c r="E267" s="302"/>
      <c r="F267" s="302"/>
      <c r="G267" s="302"/>
      <c r="H267" s="302"/>
      <c r="I267" s="302"/>
      <c r="J267" s="302"/>
      <c r="K267" s="302"/>
      <c r="L267" s="302"/>
      <c r="M267" s="302"/>
      <c r="N267" s="302"/>
      <c r="R267" s="280"/>
    </row>
    <row r="268" spans="1:18" s="282" customFormat="1" x14ac:dyDescent="0.2">
      <c r="A268" s="302"/>
      <c r="B268" s="302"/>
      <c r="C268" s="302"/>
      <c r="D268" s="303"/>
      <c r="E268" s="302"/>
      <c r="F268" s="302"/>
      <c r="G268" s="302"/>
      <c r="H268" s="302"/>
      <c r="I268" s="302"/>
      <c r="J268" s="302"/>
      <c r="K268" s="302"/>
      <c r="L268" s="302"/>
      <c r="M268" s="302"/>
      <c r="N268" s="302"/>
      <c r="R268" s="280"/>
    </row>
    <row r="269" spans="1:18" s="282" customFormat="1" x14ac:dyDescent="0.2">
      <c r="A269" s="302"/>
      <c r="B269" s="302"/>
      <c r="C269" s="302"/>
      <c r="D269" s="303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R269" s="280"/>
    </row>
    <row r="270" spans="1:18" s="282" customFormat="1" x14ac:dyDescent="0.2">
      <c r="A270" s="302"/>
      <c r="B270" s="302"/>
      <c r="C270" s="302"/>
      <c r="D270" s="303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R270" s="280"/>
    </row>
    <row r="271" spans="1:18" s="282" customFormat="1" x14ac:dyDescent="0.2">
      <c r="A271" s="302"/>
      <c r="B271" s="302"/>
      <c r="C271" s="302"/>
      <c r="D271" s="303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R271" s="280"/>
    </row>
    <row r="272" spans="1:18" s="282" customFormat="1" x14ac:dyDescent="0.2">
      <c r="A272" s="302"/>
      <c r="B272" s="302"/>
      <c r="C272" s="302"/>
      <c r="D272" s="303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R272" s="280"/>
    </row>
    <row r="273" spans="1:18" s="282" customFormat="1" x14ac:dyDescent="0.2">
      <c r="A273" s="302"/>
      <c r="B273" s="302"/>
      <c r="C273" s="302"/>
      <c r="D273" s="303"/>
      <c r="E273" s="302"/>
      <c r="F273" s="302"/>
      <c r="G273" s="302"/>
      <c r="H273" s="302"/>
      <c r="I273" s="302"/>
      <c r="J273" s="302"/>
      <c r="K273" s="302"/>
      <c r="L273" s="302"/>
      <c r="M273" s="302"/>
      <c r="N273" s="302"/>
      <c r="R273" s="280"/>
    </row>
    <row r="274" spans="1:18" s="282" customFormat="1" x14ac:dyDescent="0.2">
      <c r="A274" s="302"/>
      <c r="B274" s="302"/>
      <c r="C274" s="302"/>
      <c r="D274" s="303"/>
      <c r="E274" s="302"/>
      <c r="F274" s="302"/>
      <c r="G274" s="302"/>
      <c r="H274" s="302"/>
      <c r="I274" s="302"/>
      <c r="J274" s="302"/>
      <c r="K274" s="302"/>
      <c r="L274" s="302"/>
      <c r="M274" s="302"/>
      <c r="N274" s="302"/>
      <c r="R274" s="280"/>
    </row>
    <row r="275" spans="1:18" s="282" customFormat="1" x14ac:dyDescent="0.2">
      <c r="A275" s="302"/>
      <c r="B275" s="302"/>
      <c r="C275" s="302"/>
      <c r="D275" s="303"/>
      <c r="E275" s="302"/>
      <c r="F275" s="302"/>
      <c r="G275" s="302"/>
      <c r="H275" s="302"/>
      <c r="I275" s="302"/>
      <c r="J275" s="302"/>
      <c r="K275" s="302"/>
      <c r="L275" s="302"/>
      <c r="M275" s="302"/>
      <c r="N275" s="302"/>
      <c r="R275" s="280"/>
    </row>
    <row r="276" spans="1:18" s="282" customFormat="1" x14ac:dyDescent="0.2">
      <c r="A276" s="302"/>
      <c r="B276" s="302"/>
      <c r="C276" s="302"/>
      <c r="D276" s="303"/>
      <c r="E276" s="302"/>
      <c r="F276" s="302"/>
      <c r="G276" s="302"/>
      <c r="H276" s="302"/>
      <c r="I276" s="302"/>
      <c r="J276" s="302"/>
      <c r="K276" s="302"/>
      <c r="L276" s="302"/>
      <c r="M276" s="302"/>
      <c r="N276" s="302"/>
      <c r="R276" s="280"/>
    </row>
    <row r="277" spans="1:18" s="282" customFormat="1" x14ac:dyDescent="0.2">
      <c r="A277" s="302"/>
      <c r="B277" s="302"/>
      <c r="C277" s="302"/>
      <c r="D277" s="303"/>
      <c r="E277" s="302"/>
      <c r="F277" s="302"/>
      <c r="G277" s="302"/>
      <c r="H277" s="302"/>
      <c r="I277" s="302"/>
      <c r="J277" s="302"/>
      <c r="K277" s="302"/>
      <c r="L277" s="302"/>
      <c r="M277" s="302"/>
      <c r="N277" s="302"/>
      <c r="R277" s="280"/>
    </row>
    <row r="278" spans="1:18" s="282" customFormat="1" x14ac:dyDescent="0.2">
      <c r="A278" s="302"/>
      <c r="B278" s="302"/>
      <c r="C278" s="302"/>
      <c r="D278" s="303"/>
      <c r="E278" s="302"/>
      <c r="F278" s="302"/>
      <c r="G278" s="302"/>
      <c r="H278" s="302"/>
      <c r="I278" s="302"/>
      <c r="J278" s="302"/>
      <c r="K278" s="302"/>
      <c r="L278" s="302"/>
      <c r="M278" s="302"/>
      <c r="N278" s="302"/>
      <c r="R278" s="280"/>
    </row>
    <row r="279" spans="1:18" s="282" customFormat="1" x14ac:dyDescent="0.2">
      <c r="A279" s="302"/>
      <c r="B279" s="302"/>
      <c r="C279" s="302"/>
      <c r="D279" s="303"/>
      <c r="E279" s="302"/>
      <c r="F279" s="302"/>
      <c r="G279" s="302"/>
      <c r="H279" s="302"/>
      <c r="I279" s="302"/>
      <c r="J279" s="302"/>
      <c r="K279" s="302"/>
      <c r="L279" s="302"/>
      <c r="M279" s="302"/>
      <c r="N279" s="302"/>
      <c r="R279" s="280"/>
    </row>
    <row r="280" spans="1:18" s="282" customFormat="1" x14ac:dyDescent="0.2">
      <c r="A280" s="302"/>
      <c r="B280" s="302"/>
      <c r="C280" s="302"/>
      <c r="D280" s="303"/>
      <c r="E280" s="302"/>
      <c r="F280" s="302"/>
      <c r="G280" s="302"/>
      <c r="H280" s="302"/>
      <c r="I280" s="302"/>
      <c r="J280" s="302"/>
      <c r="K280" s="302"/>
      <c r="L280" s="302"/>
      <c r="M280" s="302"/>
      <c r="N280" s="302"/>
      <c r="R280" s="280"/>
    </row>
    <row r="281" spans="1:18" s="282" customFormat="1" x14ac:dyDescent="0.2">
      <c r="A281" s="302"/>
      <c r="B281" s="302"/>
      <c r="C281" s="302"/>
      <c r="D281" s="303"/>
      <c r="E281" s="302"/>
      <c r="F281" s="302"/>
      <c r="G281" s="302"/>
      <c r="H281" s="302"/>
      <c r="I281" s="302"/>
      <c r="J281" s="302"/>
      <c r="K281" s="302"/>
      <c r="L281" s="302"/>
      <c r="M281" s="302"/>
      <c r="N281" s="302"/>
      <c r="R281" s="280"/>
    </row>
    <row r="282" spans="1:18" s="282" customFormat="1" x14ac:dyDescent="0.2">
      <c r="A282" s="302"/>
      <c r="B282" s="302"/>
      <c r="C282" s="302"/>
      <c r="D282" s="303"/>
      <c r="E282" s="302"/>
      <c r="F282" s="302"/>
      <c r="G282" s="302"/>
      <c r="H282" s="302"/>
      <c r="I282" s="302"/>
      <c r="J282" s="302"/>
      <c r="K282" s="302"/>
      <c r="L282" s="302"/>
      <c r="M282" s="302"/>
      <c r="N282" s="302"/>
      <c r="R282" s="280"/>
    </row>
    <row r="283" spans="1:18" s="282" customFormat="1" x14ac:dyDescent="0.2">
      <c r="A283" s="280"/>
      <c r="B283" s="280"/>
      <c r="C283" s="280"/>
      <c r="D283" s="279"/>
      <c r="E283" s="280"/>
      <c r="F283" s="280"/>
      <c r="G283" s="302"/>
      <c r="H283" s="302"/>
      <c r="I283" s="302"/>
      <c r="J283" s="302"/>
      <c r="K283" s="302"/>
      <c r="L283" s="302"/>
      <c r="M283" s="302"/>
      <c r="N283" s="302"/>
      <c r="R283" s="280"/>
    </row>
    <row r="284" spans="1:18" s="282" customFormat="1" x14ac:dyDescent="0.2">
      <c r="A284" s="280"/>
      <c r="B284" s="280"/>
      <c r="C284" s="280"/>
      <c r="D284" s="279"/>
      <c r="E284" s="280"/>
      <c r="F284" s="280"/>
      <c r="G284" s="302"/>
      <c r="H284" s="302"/>
      <c r="I284" s="302"/>
      <c r="J284" s="302"/>
      <c r="K284" s="302"/>
      <c r="L284" s="302"/>
      <c r="M284" s="302"/>
      <c r="N284" s="302"/>
      <c r="R284" s="280"/>
    </row>
    <row r="285" spans="1:18" s="282" customFormat="1" x14ac:dyDescent="0.2">
      <c r="A285" s="280"/>
      <c r="B285" s="280"/>
      <c r="C285" s="280"/>
      <c r="D285" s="279"/>
      <c r="E285" s="280"/>
      <c r="F285" s="280"/>
      <c r="G285" s="302"/>
      <c r="H285" s="302"/>
      <c r="I285" s="302"/>
      <c r="J285" s="302"/>
      <c r="K285" s="302"/>
      <c r="L285" s="302"/>
      <c r="M285" s="302"/>
      <c r="N285" s="302"/>
      <c r="R285" s="280"/>
    </row>
    <row r="286" spans="1:18" s="282" customFormat="1" x14ac:dyDescent="0.2">
      <c r="A286" s="280"/>
      <c r="B286" s="280"/>
      <c r="C286" s="280"/>
      <c r="D286" s="279"/>
      <c r="E286" s="280"/>
      <c r="F286" s="280"/>
      <c r="G286" s="302"/>
      <c r="H286" s="302"/>
      <c r="I286" s="302"/>
      <c r="J286" s="302"/>
      <c r="K286" s="302"/>
      <c r="L286" s="302"/>
      <c r="M286" s="302"/>
      <c r="N286" s="302"/>
      <c r="R286" s="280"/>
    </row>
    <row r="287" spans="1:18" s="282" customFormat="1" x14ac:dyDescent="0.2">
      <c r="A287" s="280"/>
      <c r="B287" s="280"/>
      <c r="C287" s="280"/>
      <c r="D287" s="279"/>
      <c r="E287" s="280"/>
      <c r="F287" s="280"/>
      <c r="G287" s="302"/>
      <c r="H287" s="302"/>
      <c r="I287" s="302"/>
      <c r="J287" s="302"/>
      <c r="K287" s="302"/>
      <c r="L287" s="302"/>
      <c r="M287" s="302"/>
      <c r="N287" s="302"/>
      <c r="R287" s="280"/>
    </row>
    <row r="288" spans="1:18" s="282" customFormat="1" x14ac:dyDescent="0.2">
      <c r="A288" s="280"/>
      <c r="B288" s="280"/>
      <c r="C288" s="280"/>
      <c r="D288" s="279"/>
      <c r="E288" s="280"/>
      <c r="F288" s="280"/>
      <c r="G288" s="302"/>
      <c r="H288" s="302"/>
      <c r="I288" s="302"/>
      <c r="J288" s="302"/>
      <c r="K288" s="302"/>
      <c r="L288" s="302"/>
      <c r="M288" s="302"/>
      <c r="N288" s="302"/>
      <c r="R288" s="280"/>
    </row>
    <row r="289" spans="1:18" s="282" customFormat="1" x14ac:dyDescent="0.2">
      <c r="A289" s="280"/>
      <c r="B289" s="280"/>
      <c r="C289" s="280"/>
      <c r="D289" s="279"/>
      <c r="E289" s="280"/>
      <c r="F289" s="280"/>
      <c r="G289" s="302"/>
      <c r="H289" s="302"/>
      <c r="I289" s="302"/>
      <c r="J289" s="302"/>
      <c r="K289" s="302"/>
      <c r="L289" s="302"/>
      <c r="M289" s="302"/>
      <c r="N289" s="302"/>
      <c r="R289" s="280"/>
    </row>
    <row r="290" spans="1:18" s="282" customFormat="1" x14ac:dyDescent="0.2">
      <c r="A290" s="280"/>
      <c r="B290" s="280"/>
      <c r="C290" s="280"/>
      <c r="D290" s="279"/>
      <c r="E290" s="280"/>
      <c r="F290" s="280"/>
      <c r="G290" s="302"/>
      <c r="H290" s="302"/>
      <c r="I290" s="302"/>
      <c r="J290" s="302"/>
      <c r="K290" s="302"/>
      <c r="L290" s="302"/>
      <c r="M290" s="302"/>
      <c r="N290" s="302"/>
      <c r="R290" s="280"/>
    </row>
    <row r="291" spans="1:18" s="282" customFormat="1" x14ac:dyDescent="0.2">
      <c r="A291" s="280"/>
      <c r="B291" s="280"/>
      <c r="C291" s="280"/>
      <c r="D291" s="279"/>
      <c r="E291" s="280"/>
      <c r="F291" s="280"/>
      <c r="G291" s="302"/>
      <c r="H291" s="302"/>
      <c r="I291" s="302"/>
      <c r="J291" s="302"/>
      <c r="K291" s="302"/>
      <c r="L291" s="302"/>
      <c r="M291" s="302"/>
      <c r="N291" s="302"/>
      <c r="R291" s="280"/>
    </row>
    <row r="292" spans="1:18" s="282" customFormat="1" x14ac:dyDescent="0.2">
      <c r="A292" s="280"/>
      <c r="B292" s="280"/>
      <c r="C292" s="280"/>
      <c r="D292" s="279"/>
      <c r="E292" s="280"/>
      <c r="F292" s="280"/>
      <c r="G292" s="302"/>
      <c r="H292" s="302"/>
      <c r="I292" s="302"/>
      <c r="J292" s="302"/>
      <c r="K292" s="302"/>
      <c r="L292" s="302"/>
      <c r="M292" s="302"/>
      <c r="N292" s="302"/>
      <c r="R292" s="280"/>
    </row>
    <row r="293" spans="1:18" s="282" customFormat="1" x14ac:dyDescent="0.2">
      <c r="A293" s="280"/>
      <c r="B293" s="280"/>
      <c r="C293" s="280"/>
      <c r="D293" s="279"/>
      <c r="E293" s="280"/>
      <c r="F293" s="280"/>
      <c r="G293" s="302"/>
      <c r="H293" s="280"/>
      <c r="I293" s="280"/>
      <c r="J293" s="280"/>
      <c r="K293" s="280"/>
      <c r="L293" s="302"/>
      <c r="M293" s="302"/>
      <c r="N293" s="302"/>
      <c r="R293" s="280"/>
    </row>
    <row r="294" spans="1:18" s="282" customFormat="1" x14ac:dyDescent="0.2">
      <c r="A294" s="280"/>
      <c r="B294" s="280"/>
      <c r="C294" s="280"/>
      <c r="D294" s="279"/>
      <c r="E294" s="280"/>
      <c r="F294" s="280"/>
      <c r="G294" s="302"/>
      <c r="H294" s="280"/>
      <c r="I294" s="280"/>
      <c r="J294" s="280"/>
      <c r="K294" s="280"/>
      <c r="L294" s="302"/>
      <c r="M294" s="302"/>
      <c r="N294" s="302"/>
      <c r="R294" s="280"/>
    </row>
    <row r="295" spans="1:18" s="282" customFormat="1" x14ac:dyDescent="0.2">
      <c r="A295" s="280"/>
      <c r="B295" s="280"/>
      <c r="C295" s="280"/>
      <c r="D295" s="279"/>
      <c r="E295" s="280"/>
      <c r="F295" s="280"/>
      <c r="G295" s="280"/>
      <c r="H295" s="280"/>
      <c r="I295" s="280"/>
      <c r="J295" s="280"/>
      <c r="K295" s="280"/>
      <c r="L295" s="280"/>
      <c r="M295" s="302"/>
      <c r="N295" s="302"/>
      <c r="R295" s="280"/>
    </row>
    <row r="296" spans="1:18" s="282" customFormat="1" x14ac:dyDescent="0.2">
      <c r="A296" s="280"/>
      <c r="B296" s="280"/>
      <c r="C296" s="280"/>
      <c r="D296" s="279"/>
      <c r="E296" s="280"/>
      <c r="F296" s="280"/>
      <c r="G296" s="280"/>
      <c r="H296" s="280"/>
      <c r="I296" s="280"/>
      <c r="J296" s="280"/>
      <c r="K296" s="280"/>
      <c r="L296" s="280"/>
      <c r="M296" s="302"/>
      <c r="N296" s="302"/>
      <c r="R296" s="280"/>
    </row>
    <row r="297" spans="1:18" s="282" customFormat="1" x14ac:dyDescent="0.2">
      <c r="A297" s="280"/>
      <c r="B297" s="280"/>
      <c r="C297" s="280"/>
      <c r="D297" s="279"/>
      <c r="E297" s="280"/>
      <c r="F297" s="280"/>
      <c r="G297" s="280"/>
      <c r="H297" s="280"/>
      <c r="I297" s="280"/>
      <c r="J297" s="280"/>
      <c r="K297" s="280"/>
      <c r="L297" s="280"/>
      <c r="M297" s="302"/>
      <c r="N297" s="302"/>
      <c r="R297" s="280"/>
    </row>
    <row r="298" spans="1:18" s="282" customFormat="1" x14ac:dyDescent="0.2">
      <c r="A298" s="280"/>
      <c r="B298" s="280"/>
      <c r="C298" s="280"/>
      <c r="D298" s="279"/>
      <c r="E298" s="280"/>
      <c r="F298" s="280"/>
      <c r="G298" s="280"/>
      <c r="H298" s="280"/>
      <c r="I298" s="280"/>
      <c r="J298" s="280"/>
      <c r="K298" s="280"/>
      <c r="L298" s="280"/>
      <c r="M298" s="302"/>
      <c r="N298" s="302"/>
      <c r="R298" s="280"/>
    </row>
    <row r="299" spans="1:18" s="282" customFormat="1" x14ac:dyDescent="0.2">
      <c r="A299" s="280"/>
      <c r="B299" s="280"/>
      <c r="C299" s="280"/>
      <c r="D299" s="279"/>
      <c r="E299" s="280"/>
      <c r="F299" s="280"/>
      <c r="G299" s="280"/>
      <c r="H299" s="280"/>
      <c r="I299" s="280"/>
      <c r="J299" s="280"/>
      <c r="K299" s="280"/>
      <c r="L299" s="280"/>
      <c r="M299" s="302"/>
      <c r="N299" s="302"/>
      <c r="R299" s="280"/>
    </row>
    <row r="300" spans="1:18" s="282" customFormat="1" x14ac:dyDescent="0.2">
      <c r="A300" s="280"/>
      <c r="B300" s="280"/>
      <c r="C300" s="280"/>
      <c r="D300" s="279"/>
      <c r="E300" s="280"/>
      <c r="F300" s="280"/>
      <c r="G300" s="280"/>
      <c r="H300" s="280"/>
      <c r="I300" s="280"/>
      <c r="J300" s="280"/>
      <c r="K300" s="280"/>
      <c r="L300" s="280"/>
      <c r="M300" s="302"/>
      <c r="N300" s="302"/>
      <c r="R300" s="280"/>
    </row>
    <row r="301" spans="1:18" s="282" customFormat="1" x14ac:dyDescent="0.2">
      <c r="A301" s="280"/>
      <c r="B301" s="280"/>
      <c r="C301" s="280"/>
      <c r="D301" s="279"/>
      <c r="E301" s="280"/>
      <c r="F301" s="280"/>
      <c r="G301" s="280"/>
      <c r="H301" s="280"/>
      <c r="I301" s="280"/>
      <c r="J301" s="280"/>
      <c r="K301" s="280"/>
      <c r="L301" s="280"/>
      <c r="M301" s="302"/>
      <c r="N301" s="302"/>
      <c r="R301" s="280"/>
    </row>
    <row r="302" spans="1:18" s="282" customFormat="1" x14ac:dyDescent="0.2">
      <c r="A302" s="280"/>
      <c r="B302" s="280"/>
      <c r="C302" s="280"/>
      <c r="D302" s="279"/>
      <c r="E302" s="280"/>
      <c r="F302" s="280"/>
      <c r="G302" s="280"/>
      <c r="H302" s="280"/>
      <c r="I302" s="280"/>
      <c r="J302" s="280"/>
      <c r="K302" s="280"/>
      <c r="L302" s="280"/>
      <c r="M302" s="302"/>
      <c r="N302" s="302"/>
      <c r="R302" s="280"/>
    </row>
    <row r="303" spans="1:18" s="282" customFormat="1" x14ac:dyDescent="0.2">
      <c r="A303" s="280"/>
      <c r="B303" s="280"/>
      <c r="C303" s="280"/>
      <c r="D303" s="279"/>
      <c r="E303" s="280"/>
      <c r="F303" s="280"/>
      <c r="G303" s="280"/>
      <c r="H303" s="280"/>
      <c r="I303" s="280"/>
      <c r="J303" s="280"/>
      <c r="K303" s="280"/>
      <c r="L303" s="280"/>
      <c r="M303" s="302"/>
      <c r="N303" s="302"/>
      <c r="R303" s="280"/>
    </row>
    <row r="304" spans="1:18" s="282" customFormat="1" x14ac:dyDescent="0.2">
      <c r="A304" s="280"/>
      <c r="B304" s="280"/>
      <c r="C304" s="280"/>
      <c r="D304" s="279"/>
      <c r="E304" s="280"/>
      <c r="F304" s="280"/>
      <c r="G304" s="280"/>
      <c r="H304" s="280"/>
      <c r="I304" s="280"/>
      <c r="J304" s="280"/>
      <c r="K304" s="280"/>
      <c r="L304" s="280"/>
      <c r="M304" s="302"/>
      <c r="N304" s="302"/>
      <c r="R304" s="280"/>
    </row>
  </sheetData>
  <customSheetViews>
    <customSheetView guid="{06317133-151B-4DBC-8EB3-9345BA061F91}" scale="80" showPageBreaks="1" fitToPage="1">
      <pane ySplit="7" topLeftCell="A41" activePane="bottomLeft" state="frozen"/>
      <selection pane="bottomLeft" activeCell="B65" sqref="B65"/>
      <pageMargins left="0.11811023622047245" right="0" top="1.0629921259842521" bottom="0.11811023622047245" header="0.31496062992125984" footer="0.11811023622047245"/>
      <pageSetup paperSize="8" scale="29" orientation="landscape" r:id="rId1"/>
      <headerFooter>
        <oddFooter>&amp;L&amp;A&amp;Rлист &amp;P    листов &amp;N</oddFooter>
      </headerFooter>
    </customSheetView>
    <customSheetView guid="{375BA386-B398-4A0E-AF86-4319F1FDDF11}" scale="110" showPageBreaks="1" fitToPage="1">
      <pane ySplit="7" topLeftCell="A29" activePane="bottomLeft" state="frozen"/>
      <selection pane="bottomLeft" activeCell="L66" sqref="L66"/>
      <pageMargins left="0.11811023622047245" right="0" top="1.0629921259842521" bottom="0.11811023622047245" header="0.31496062992125984" footer="0.11811023622047245"/>
      <pageSetup paperSize="8" scale="20" orientation="landscape" r:id="rId2"/>
      <headerFooter>
        <oddFooter>&amp;L&amp;A&amp;Rлист &amp;P    листов &amp;N</oddFooter>
      </headerFooter>
    </customSheetView>
    <customSheetView guid="{45C31AC1-6FB2-488C-94EA-BCF9E79D0043}" scale="110" showPageBreaks="1" fitToPage="1">
      <pane ySplit="7" topLeftCell="A8" activePane="bottomLeft" state="frozen"/>
      <selection pane="bottomLeft" activeCell="G14" sqref="G14"/>
      <pageMargins left="0.11811023622047245" right="0" top="1.0629921259842521" bottom="0.11811023622047245" header="0.31496062992125984" footer="0.11811023622047245"/>
      <pageSetup paperSize="8" scale="29" orientation="landscape" r:id="rId3"/>
      <headerFooter>
        <oddFooter>&amp;L&amp;A&amp;Rлист &amp;P    листов &amp;N</oddFooter>
      </headerFooter>
    </customSheetView>
    <customSheetView guid="{368B64E8-7AD6-4BC7-A731-9903B52ABB0C}" fitToPage="1">
      <pane ySplit="7" topLeftCell="A62" activePane="bottomLeft" state="frozen"/>
      <selection pane="bottomLeft" activeCell="K9" sqref="K9"/>
      <pageMargins left="0.11811023622047245" right="0" top="1.0629921259842521" bottom="0.11811023622047245" header="0.31496062992125984" footer="0.11811023622047245"/>
      <pageSetup paperSize="8" scale="27" orientation="landscape" r:id="rId4"/>
      <headerFooter>
        <oddFooter>&amp;L&amp;A&amp;Rлист &amp;P    листов &amp;N</oddFooter>
      </headerFooter>
    </customSheetView>
    <customSheetView guid="{1168776E-3CE1-4C5E-BCD8-35079C55D78E}" scale="110" fitToPage="1">
      <pane ySplit="7" topLeftCell="A8" activePane="bottomLeft" state="frozen"/>
      <selection pane="bottomLeft" activeCell="C10" sqref="C10"/>
      <pageMargins left="0.11811023622047245" right="0" top="1.0629921259842521" bottom="0.11811023622047245" header="0.31496062992125984" footer="0.11811023622047245"/>
      <pageSetup paperSize="8" scale="34" orientation="landscape" r:id="rId5"/>
      <headerFooter>
        <oddFooter>&amp;L&amp;A&amp;Rлист &amp;P    листов &amp;N</oddFooter>
      </headerFooter>
    </customSheetView>
    <customSheetView guid="{845EA106-2CB5-4F86-BBCF-D0DE18153B1C}" scale="110" showPageBreaks="1" fitToPage="1">
      <pane ySplit="7" topLeftCell="A65" activePane="bottomLeft" state="frozen"/>
      <selection pane="bottomLeft" activeCell="A73" sqref="A73"/>
      <pageMargins left="0.11811023622047245" right="0" top="1.0629921259842521" bottom="0.11811023622047245" header="0.31496062992125984" footer="0.11811023622047245"/>
      <pageSetup paperSize="8" scale="19" orientation="landscape" r:id="rId6"/>
      <headerFooter>
        <oddFooter>&amp;L&amp;A&amp;Rлист &amp;P    листов &amp;N</oddFooter>
      </headerFooter>
    </customSheetView>
    <customSheetView guid="{C29DA669-F4F9-44CD-9569-E796ADF74A86}" scale="110" showPageBreaks="1" fitToPage="1">
      <pane ySplit="7" topLeftCell="A8" activePane="bottomLeft" state="frozen"/>
      <selection pane="bottomLeft" activeCell="L66" sqref="L66"/>
      <pageMargins left="0.11811023622047245" right="0" top="1.0629921259842521" bottom="0.11811023622047245" header="0.31496062992125984" footer="0.11811023622047245"/>
      <pageSetup paperSize="8" scale="28" orientation="landscape" r:id="rId7"/>
      <headerFooter>
        <oddFooter>&amp;L&amp;A&amp;Rлист &amp;P    листов &amp;N</oddFooter>
      </headerFooter>
    </customSheetView>
    <customSheetView guid="{A1BD6C0C-B1B9-4F48-A6B1-3BFD273F4CD7}" scale="110" showPageBreaks="1" fitToPage="1">
      <pane ySplit="7" topLeftCell="A29" activePane="bottomLeft" state="frozen"/>
      <selection pane="bottomLeft" activeCell="L66" sqref="L66"/>
      <pageMargins left="0.11811023622047245" right="0" top="1.0629921259842521" bottom="0.11811023622047245" header="0.31496062992125984" footer="0.11811023622047245"/>
      <pageSetup paperSize="8" scale="20" orientation="landscape" r:id="rId8"/>
      <headerFooter>
        <oddFooter>&amp;L&amp;A&amp;Rлист &amp;P    листов &amp;N</oddFooter>
      </headerFooter>
    </customSheetView>
    <customSheetView guid="{D42288F7-1871-4EF6-BC87-1B9EF747C744}" scale="80" fitToPage="1">
      <pane ySplit="7" topLeftCell="A56" activePane="bottomLeft" state="frozen"/>
      <selection pane="bottomLeft" activeCell="B65" sqref="B65"/>
      <pageMargins left="0.11811023622047245" right="0" top="1.0629921259842521" bottom="0.11811023622047245" header="0.31496062992125984" footer="0.11811023622047245"/>
      <pageSetup paperSize="8" scale="29" orientation="landscape" r:id="rId9"/>
      <headerFooter>
        <oddFooter>&amp;L&amp;A&amp;Rлист &amp;P    листов &amp;N</oddFooter>
      </headerFooter>
    </customSheetView>
    <customSheetView guid="{8C638750-2D78-446E-B8DA-A6202AF1ED31}" showPageBreaks="1" fitToPage="1">
      <pane ySplit="7" topLeftCell="A119" activePane="bottomLeft" state="frozen"/>
      <selection pane="bottomLeft" activeCell="K9" sqref="K9"/>
      <pageMargins left="0.11811023622047245" right="0" top="1.0629921259842521" bottom="0.11811023622047245" header="0.31496062992125984" footer="0.11811023622047245"/>
      <pageSetup paperSize="8" scale="27" orientation="landscape" r:id="rId10"/>
      <headerFooter>
        <oddFooter>&amp;L&amp;A&amp;Rлист &amp;P    листов &amp;N</oddFooter>
      </headerFooter>
    </customSheetView>
  </customSheetViews>
  <mergeCells count="18">
    <mergeCell ref="H6:K6"/>
    <mergeCell ref="L6:L7"/>
    <mergeCell ref="M6:M7"/>
    <mergeCell ref="C4:D4"/>
    <mergeCell ref="E4:G4"/>
    <mergeCell ref="F6:F7"/>
    <mergeCell ref="G6:G7"/>
    <mergeCell ref="A6:A7"/>
    <mergeCell ref="B6:B7"/>
    <mergeCell ref="C6:C7"/>
    <mergeCell ref="D6:D7"/>
    <mergeCell ref="E6:E7"/>
    <mergeCell ref="A1:B1"/>
    <mergeCell ref="J1:M1"/>
    <mergeCell ref="A2:B2"/>
    <mergeCell ref="J2:M2"/>
    <mergeCell ref="A3:B3"/>
    <mergeCell ref="J3:M3"/>
  </mergeCells>
  <pageMargins left="0.11811023622047245" right="0" top="1.0629921259842521" bottom="0.11811023622047245" header="0.31496062992125984" footer="0.11811023622047245"/>
  <pageSetup paperSize="8" scale="29" orientation="landscape" r:id="rId11"/>
  <headerFooter>
    <oddFooter>&amp;L&amp;A&amp;Rлист &amp;P    листов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072"/>
  <sheetViews>
    <sheetView zoomScale="60" zoomScaleNormal="80" zoomScaleSheetLayoutView="90" workbookViewId="0">
      <pane ySplit="6" topLeftCell="A31" activePane="bottomLeft" state="frozen"/>
      <selection pane="bottomLeft" activeCell="I105" sqref="I105"/>
    </sheetView>
  </sheetViews>
  <sheetFormatPr defaultColWidth="9.140625" defaultRowHeight="15" x14ac:dyDescent="0.25"/>
  <cols>
    <col min="1" max="1" width="8.7109375" style="9" customWidth="1"/>
    <col min="2" max="2" width="80.7109375" style="9" customWidth="1"/>
    <col min="3" max="3" width="13" style="9" customWidth="1"/>
    <col min="4" max="4" width="17" style="9" customWidth="1"/>
    <col min="5" max="5" width="24.85546875" style="9" customWidth="1"/>
    <col min="6" max="6" width="12.28515625" style="9" customWidth="1"/>
    <col min="7" max="10" width="10.7109375" style="9" customWidth="1"/>
    <col min="11" max="11" width="11.7109375" style="9" customWidth="1"/>
    <col min="12" max="12" width="25.140625" style="9" customWidth="1"/>
    <col min="13" max="13" width="12.28515625" style="4" customWidth="1"/>
    <col min="14" max="14" width="11.28515625" style="4" customWidth="1"/>
    <col min="15" max="16" width="9.140625" style="5" customWidth="1"/>
    <col min="17" max="16384" width="9.140625" style="4"/>
  </cols>
  <sheetData>
    <row r="1" spans="1:16" ht="15" customHeight="1" x14ac:dyDescent="0.25">
      <c r="A1" s="577" t="s">
        <v>0</v>
      </c>
      <c r="B1" s="577"/>
      <c r="H1" s="1"/>
      <c r="I1" s="578" t="s">
        <v>1</v>
      </c>
      <c r="J1" s="578"/>
      <c r="K1" s="578"/>
    </row>
    <row r="2" spans="1:16" ht="15" customHeight="1" x14ac:dyDescent="0.25">
      <c r="A2" s="577" t="s">
        <v>2</v>
      </c>
      <c r="B2" s="577"/>
      <c r="E2" s="9" t="s">
        <v>508</v>
      </c>
      <c r="H2" s="22"/>
      <c r="I2" s="579" t="s">
        <v>3</v>
      </c>
      <c r="J2" s="579"/>
      <c r="K2" s="579"/>
    </row>
    <row r="3" spans="1:16" ht="23.25" x14ac:dyDescent="0.35">
      <c r="A3" s="577" t="s">
        <v>4</v>
      </c>
      <c r="B3" s="577"/>
      <c r="C3" s="580" t="s">
        <v>351</v>
      </c>
      <c r="D3" s="580"/>
      <c r="E3" s="580"/>
      <c r="F3" s="99" t="s">
        <v>158</v>
      </c>
      <c r="H3" s="22"/>
      <c r="I3" s="579" t="s">
        <v>127</v>
      </c>
      <c r="J3" s="579"/>
      <c r="K3" s="579"/>
    </row>
    <row r="4" spans="1:16" ht="9" customHeight="1" thickBot="1" x14ac:dyDescent="0.3"/>
    <row r="5" spans="1:16" s="6" customFormat="1" ht="23.25" customHeight="1" thickBot="1" x14ac:dyDescent="0.25">
      <c r="A5" s="571" t="s">
        <v>5</v>
      </c>
      <c r="B5" s="571" t="s">
        <v>6</v>
      </c>
      <c r="C5" s="569" t="s">
        <v>7</v>
      </c>
      <c r="D5" s="571" t="s">
        <v>8</v>
      </c>
      <c r="E5" s="571" t="s">
        <v>9</v>
      </c>
      <c r="F5" s="569" t="s">
        <v>34</v>
      </c>
      <c r="G5" s="568" t="s">
        <v>11</v>
      </c>
      <c r="H5" s="568"/>
      <c r="I5" s="568"/>
      <c r="J5" s="568"/>
      <c r="K5" s="569" t="s">
        <v>10</v>
      </c>
      <c r="L5" s="571" t="s">
        <v>12</v>
      </c>
      <c r="M5" s="571" t="s">
        <v>30</v>
      </c>
      <c r="N5" s="573" t="s">
        <v>13</v>
      </c>
    </row>
    <row r="6" spans="1:16" s="6" customFormat="1" ht="32.25" customHeight="1" thickBot="1" x14ac:dyDescent="0.25">
      <c r="A6" s="572"/>
      <c r="B6" s="572"/>
      <c r="C6" s="570"/>
      <c r="D6" s="572"/>
      <c r="E6" s="572"/>
      <c r="F6" s="570"/>
      <c r="G6" s="2" t="s">
        <v>14</v>
      </c>
      <c r="H6" s="2" t="s">
        <v>15</v>
      </c>
      <c r="I6" s="2" t="s">
        <v>16</v>
      </c>
      <c r="J6" s="2" t="s">
        <v>17</v>
      </c>
      <c r="K6" s="570"/>
      <c r="L6" s="572"/>
      <c r="M6" s="572"/>
      <c r="N6" s="573"/>
    </row>
    <row r="7" spans="1:16" s="6" customFormat="1" ht="30" customHeight="1" x14ac:dyDescent="0.3">
      <c r="A7" s="259">
        <v>4316</v>
      </c>
      <c r="B7" s="425" t="s">
        <v>22</v>
      </c>
      <c r="C7" s="102">
        <v>4800</v>
      </c>
      <c r="D7" s="91">
        <v>200.54</v>
      </c>
      <c r="E7" s="55">
        <f>D7*C7</f>
        <v>962592</v>
      </c>
      <c r="F7" s="41">
        <v>4000</v>
      </c>
      <c r="G7" s="40">
        <f>300+300+300+400</f>
        <v>1300</v>
      </c>
      <c r="H7" s="41">
        <f>400+400+300+300+300</f>
        <v>1700</v>
      </c>
      <c r="I7" s="41">
        <f>300+300+400</f>
        <v>1000</v>
      </c>
      <c r="J7" s="58"/>
      <c r="K7" s="62">
        <f>G7+H7+I7+J7</f>
        <v>4000</v>
      </c>
      <c r="L7" s="57">
        <f>D7*K7</f>
        <v>802160</v>
      </c>
      <c r="M7" s="64">
        <f>F7-K7</f>
        <v>0</v>
      </c>
      <c r="N7" s="242">
        <f>K7/C7</f>
        <v>0.83333333333333337</v>
      </c>
      <c r="O7" s="32"/>
    </row>
    <row r="8" spans="1:16" s="6" customFormat="1" ht="5.0999999999999996" customHeight="1" x14ac:dyDescent="0.2">
      <c r="A8" s="68"/>
      <c r="B8" s="44"/>
      <c r="C8" s="102"/>
      <c r="D8" s="92"/>
      <c r="E8" s="34"/>
      <c r="F8" s="41"/>
      <c r="G8" s="40"/>
      <c r="H8" s="41"/>
      <c r="I8" s="41"/>
      <c r="J8" s="58"/>
      <c r="K8" s="62"/>
      <c r="L8" s="60"/>
      <c r="M8" s="3"/>
      <c r="N8" s="243"/>
    </row>
    <row r="9" spans="1:16" s="6" customFormat="1" ht="20.100000000000001" customHeight="1" x14ac:dyDescent="0.2">
      <c r="A9" s="68"/>
      <c r="B9" s="35" t="s">
        <v>23</v>
      </c>
      <c r="C9" s="102"/>
      <c r="D9" s="91"/>
      <c r="E9" s="34"/>
      <c r="F9" s="41"/>
      <c r="G9" s="40"/>
      <c r="H9" s="41"/>
      <c r="I9" s="41"/>
      <c r="J9" s="58"/>
      <c r="K9" s="62"/>
      <c r="L9" s="61"/>
      <c r="M9" s="64"/>
      <c r="N9" s="243"/>
      <c r="P9" s="30"/>
    </row>
    <row r="10" spans="1:16" s="6" customFormat="1" ht="5.0999999999999996" customHeight="1" x14ac:dyDescent="0.2">
      <c r="A10" s="68"/>
      <c r="B10" s="35"/>
      <c r="C10" s="102"/>
      <c r="D10" s="91"/>
      <c r="E10" s="56"/>
      <c r="F10" s="41"/>
      <c r="G10" s="40"/>
      <c r="H10" s="41"/>
      <c r="I10" s="41"/>
      <c r="J10" s="58"/>
      <c r="K10" s="62"/>
      <c r="L10" s="60"/>
      <c r="M10" s="3"/>
      <c r="N10" s="243"/>
      <c r="P10" s="30"/>
    </row>
    <row r="11" spans="1:16" s="6" customFormat="1" ht="20.100000000000001" customHeight="1" x14ac:dyDescent="0.2">
      <c r="A11" s="68">
        <v>4317</v>
      </c>
      <c r="B11" s="35" t="s">
        <v>86</v>
      </c>
      <c r="C11" s="102">
        <v>450</v>
      </c>
      <c r="D11" s="91">
        <v>105.58</v>
      </c>
      <c r="E11" s="56">
        <f t="shared" ref="E11:E20" si="0">D11*C11</f>
        <v>47511</v>
      </c>
      <c r="F11" s="41"/>
      <c r="G11" s="40"/>
      <c r="H11" s="41"/>
      <c r="I11" s="41"/>
      <c r="J11" s="58"/>
      <c r="K11" s="62">
        <f t="shared" ref="K11:K20" si="1">G11+H11+I11+J11</f>
        <v>0</v>
      </c>
      <c r="L11" s="57">
        <f t="shared" ref="L11:L20" si="2">D11*K11</f>
        <v>0</v>
      </c>
      <c r="M11" s="64">
        <f t="shared" ref="M11:M20" si="3">F11-K11</f>
        <v>0</v>
      </c>
      <c r="N11" s="243">
        <f t="shared" ref="N11:N20" si="4">K11/C11</f>
        <v>0</v>
      </c>
    </row>
    <row r="12" spans="1:16" s="6" customFormat="1" ht="19.5" customHeight="1" x14ac:dyDescent="0.2">
      <c r="A12" s="68">
        <v>4318</v>
      </c>
      <c r="B12" s="35" t="s">
        <v>40</v>
      </c>
      <c r="C12" s="102">
        <v>450</v>
      </c>
      <c r="D12" s="91">
        <v>79.31</v>
      </c>
      <c r="E12" s="56">
        <f t="shared" si="0"/>
        <v>35689.5</v>
      </c>
      <c r="F12" s="41">
        <v>61</v>
      </c>
      <c r="G12" s="40"/>
      <c r="H12" s="41"/>
      <c r="I12" s="41"/>
      <c r="J12" s="58">
        <v>61</v>
      </c>
      <c r="K12" s="62">
        <f t="shared" si="1"/>
        <v>61</v>
      </c>
      <c r="L12" s="57">
        <f t="shared" si="2"/>
        <v>4837.91</v>
      </c>
      <c r="M12" s="64">
        <f t="shared" si="3"/>
        <v>0</v>
      </c>
      <c r="N12" s="243">
        <f t="shared" si="4"/>
        <v>0.13555555555555557</v>
      </c>
    </row>
    <row r="13" spans="1:16" s="6" customFormat="1" ht="19.5" customHeight="1" x14ac:dyDescent="0.2">
      <c r="A13" s="68">
        <v>4319</v>
      </c>
      <c r="B13" s="35" t="s">
        <v>41</v>
      </c>
      <c r="C13" s="102">
        <v>450</v>
      </c>
      <c r="D13" s="91">
        <v>83.64</v>
      </c>
      <c r="E13" s="56">
        <f t="shared" si="0"/>
        <v>37638</v>
      </c>
      <c r="F13" s="41">
        <v>61</v>
      </c>
      <c r="G13" s="40"/>
      <c r="H13" s="268"/>
      <c r="I13" s="41"/>
      <c r="J13" s="58">
        <v>61</v>
      </c>
      <c r="K13" s="62">
        <f t="shared" si="1"/>
        <v>61</v>
      </c>
      <c r="L13" s="57">
        <f t="shared" si="2"/>
        <v>5102.04</v>
      </c>
      <c r="M13" s="64">
        <f t="shared" si="3"/>
        <v>0</v>
      </c>
      <c r="N13" s="243">
        <f t="shared" si="4"/>
        <v>0.13555555555555557</v>
      </c>
    </row>
    <row r="14" spans="1:16" s="6" customFormat="1" ht="19.5" customHeight="1" x14ac:dyDescent="0.2">
      <c r="A14" s="68">
        <v>4320</v>
      </c>
      <c r="B14" s="47" t="s">
        <v>85</v>
      </c>
      <c r="C14" s="102">
        <v>450</v>
      </c>
      <c r="D14" s="91">
        <v>70.56</v>
      </c>
      <c r="E14" s="56">
        <f t="shared" si="0"/>
        <v>31752</v>
      </c>
      <c r="F14" s="41">
        <v>61</v>
      </c>
      <c r="G14" s="40"/>
      <c r="H14" s="41"/>
      <c r="I14" s="41"/>
      <c r="J14" s="58">
        <v>61</v>
      </c>
      <c r="K14" s="62">
        <f t="shared" si="1"/>
        <v>61</v>
      </c>
      <c r="L14" s="57">
        <f t="shared" si="2"/>
        <v>4304.16</v>
      </c>
      <c r="M14" s="64">
        <f t="shared" si="3"/>
        <v>0</v>
      </c>
      <c r="N14" s="243">
        <f t="shared" si="4"/>
        <v>0.13555555555555557</v>
      </c>
    </row>
    <row r="15" spans="1:16" s="6" customFormat="1" ht="19.5" customHeight="1" x14ac:dyDescent="0.25">
      <c r="A15" s="68" t="s">
        <v>491</v>
      </c>
      <c r="B15" s="47" t="s">
        <v>84</v>
      </c>
      <c r="C15" s="102">
        <v>450</v>
      </c>
      <c r="D15" s="91">
        <v>349</v>
      </c>
      <c r="E15" s="56">
        <f t="shared" si="0"/>
        <v>157050</v>
      </c>
      <c r="F15" s="41">
        <v>450</v>
      </c>
      <c r="G15" s="40"/>
      <c r="H15" s="41"/>
      <c r="I15" s="41">
        <v>100</v>
      </c>
      <c r="J15" s="58">
        <v>350</v>
      </c>
      <c r="K15" s="62">
        <f t="shared" si="1"/>
        <v>450</v>
      </c>
      <c r="L15" s="57">
        <f t="shared" si="2"/>
        <v>157050</v>
      </c>
      <c r="M15" s="64">
        <f t="shared" si="3"/>
        <v>0</v>
      </c>
      <c r="N15" s="243">
        <f t="shared" si="4"/>
        <v>1</v>
      </c>
      <c r="O15" s="5"/>
    </row>
    <row r="16" spans="1:16" s="6" customFormat="1" ht="19.5" customHeight="1" x14ac:dyDescent="0.2">
      <c r="A16" s="68">
        <v>4322</v>
      </c>
      <c r="B16" s="36" t="s">
        <v>83</v>
      </c>
      <c r="C16" s="102">
        <v>450</v>
      </c>
      <c r="D16" s="91">
        <v>104.03</v>
      </c>
      <c r="E16" s="56">
        <f t="shared" si="0"/>
        <v>46813.5</v>
      </c>
      <c r="F16" s="41">
        <v>450</v>
      </c>
      <c r="G16" s="40"/>
      <c r="H16" s="41"/>
      <c r="I16" s="41">
        <v>100</v>
      </c>
      <c r="J16" s="58">
        <v>350</v>
      </c>
      <c r="K16" s="62">
        <f t="shared" si="1"/>
        <v>450</v>
      </c>
      <c r="L16" s="57">
        <f t="shared" si="2"/>
        <v>46813.5</v>
      </c>
      <c r="M16" s="64">
        <f t="shared" si="3"/>
        <v>0</v>
      </c>
      <c r="N16" s="243">
        <f t="shared" si="4"/>
        <v>1</v>
      </c>
    </row>
    <row r="17" spans="1:16" s="6" customFormat="1" ht="19.5" customHeight="1" x14ac:dyDescent="0.2">
      <c r="A17" s="68">
        <v>4323</v>
      </c>
      <c r="B17" s="35" t="s">
        <v>42</v>
      </c>
      <c r="C17" s="102">
        <v>450</v>
      </c>
      <c r="D17" s="91">
        <v>26.78</v>
      </c>
      <c r="E17" s="56">
        <f t="shared" si="0"/>
        <v>12051</v>
      </c>
      <c r="F17" s="41">
        <v>450</v>
      </c>
      <c r="G17" s="40"/>
      <c r="H17" s="41"/>
      <c r="I17" s="41">
        <v>100</v>
      </c>
      <c r="J17" s="58">
        <v>350</v>
      </c>
      <c r="K17" s="62">
        <f t="shared" si="1"/>
        <v>450</v>
      </c>
      <c r="L17" s="57">
        <f t="shared" si="2"/>
        <v>12051</v>
      </c>
      <c r="M17" s="64">
        <f t="shared" si="3"/>
        <v>0</v>
      </c>
      <c r="N17" s="243">
        <f t="shared" si="4"/>
        <v>1</v>
      </c>
      <c r="P17" s="30"/>
    </row>
    <row r="18" spans="1:16" s="6" customFormat="1" ht="19.5" customHeight="1" x14ac:dyDescent="0.2">
      <c r="A18" s="68">
        <v>4325</v>
      </c>
      <c r="B18" s="35" t="s">
        <v>138</v>
      </c>
      <c r="C18" s="102">
        <v>450</v>
      </c>
      <c r="D18" s="91">
        <v>2.37</v>
      </c>
      <c r="E18" s="56">
        <f t="shared" si="0"/>
        <v>1066.5</v>
      </c>
      <c r="F18" s="41">
        <v>450</v>
      </c>
      <c r="G18" s="40"/>
      <c r="H18" s="41"/>
      <c r="I18" s="41">
        <v>100</v>
      </c>
      <c r="J18" s="58">
        <v>350</v>
      </c>
      <c r="K18" s="62">
        <f t="shared" si="1"/>
        <v>450</v>
      </c>
      <c r="L18" s="57">
        <f t="shared" si="2"/>
        <v>1066.5</v>
      </c>
      <c r="M18" s="64">
        <f t="shared" si="3"/>
        <v>0</v>
      </c>
      <c r="N18" s="243">
        <f t="shared" si="4"/>
        <v>1</v>
      </c>
    </row>
    <row r="19" spans="1:16" s="6" customFormat="1" ht="19.5" customHeight="1" x14ac:dyDescent="0.2">
      <c r="A19" s="68">
        <v>4326</v>
      </c>
      <c r="B19" s="35" t="s">
        <v>139</v>
      </c>
      <c r="C19" s="102">
        <v>450</v>
      </c>
      <c r="D19" s="91">
        <v>5.25</v>
      </c>
      <c r="E19" s="56">
        <f t="shared" si="0"/>
        <v>2362.5</v>
      </c>
      <c r="F19" s="41">
        <v>450</v>
      </c>
      <c r="G19" s="40"/>
      <c r="H19" s="41"/>
      <c r="I19" s="41">
        <v>100</v>
      </c>
      <c r="J19" s="58">
        <v>350</v>
      </c>
      <c r="K19" s="62">
        <f t="shared" si="1"/>
        <v>450</v>
      </c>
      <c r="L19" s="57">
        <f t="shared" si="2"/>
        <v>2362.5</v>
      </c>
      <c r="M19" s="64">
        <f t="shared" si="3"/>
        <v>0</v>
      </c>
      <c r="N19" s="243">
        <f t="shared" si="4"/>
        <v>1</v>
      </c>
    </row>
    <row r="20" spans="1:16" s="6" customFormat="1" ht="19.5" customHeight="1" x14ac:dyDescent="0.2">
      <c r="A20" s="68">
        <v>4327</v>
      </c>
      <c r="B20" s="35" t="s">
        <v>43</v>
      </c>
      <c r="C20" s="102">
        <v>450</v>
      </c>
      <c r="D20" s="91">
        <v>5.25</v>
      </c>
      <c r="E20" s="56">
        <f t="shared" si="0"/>
        <v>2362.5</v>
      </c>
      <c r="F20" s="41">
        <v>450</v>
      </c>
      <c r="G20" s="40"/>
      <c r="H20" s="41"/>
      <c r="I20" s="41">
        <v>100</v>
      </c>
      <c r="J20" s="58">
        <v>350</v>
      </c>
      <c r="K20" s="62">
        <f t="shared" si="1"/>
        <v>450</v>
      </c>
      <c r="L20" s="57">
        <f t="shared" si="2"/>
        <v>2362.5</v>
      </c>
      <c r="M20" s="64">
        <f t="shared" si="3"/>
        <v>0</v>
      </c>
      <c r="N20" s="243">
        <f t="shared" si="4"/>
        <v>1</v>
      </c>
    </row>
    <row r="21" spans="1:16" s="6" customFormat="1" ht="5.0999999999999996" customHeight="1" x14ac:dyDescent="0.2">
      <c r="A21" s="69"/>
      <c r="B21" s="48"/>
      <c r="C21" s="102"/>
      <c r="D21" s="91"/>
      <c r="E21" s="34"/>
      <c r="F21" s="41"/>
      <c r="G21" s="40"/>
      <c r="H21" s="41"/>
      <c r="I21" s="41"/>
      <c r="J21" s="58"/>
      <c r="K21" s="62"/>
      <c r="L21" s="60"/>
      <c r="M21" s="3"/>
      <c r="N21" s="243"/>
    </row>
    <row r="22" spans="1:16" s="6" customFormat="1" ht="19.5" customHeight="1" x14ac:dyDescent="0.2">
      <c r="A22" s="68">
        <v>4352</v>
      </c>
      <c r="B22" s="47" t="s">
        <v>44</v>
      </c>
      <c r="C22" s="33">
        <f>65+36+145+28+126+4+20+35</f>
        <v>459</v>
      </c>
      <c r="D22" s="91">
        <v>374.41</v>
      </c>
      <c r="E22" s="56">
        <f t="shared" ref="E22:E29" si="5">D22*C22</f>
        <v>171854.19</v>
      </c>
      <c r="F22" s="41">
        <v>459</v>
      </c>
      <c r="G22" s="40">
        <v>115</v>
      </c>
      <c r="H22" s="41">
        <f>83+97</f>
        <v>180</v>
      </c>
      <c r="I22" s="41"/>
      <c r="J22" s="58">
        <f>70+94</f>
        <v>164</v>
      </c>
      <c r="K22" s="62">
        <f t="shared" ref="K22:K29" si="6">G22+H22+I22+J22</f>
        <v>459</v>
      </c>
      <c r="L22" s="57">
        <f t="shared" ref="L22:L29" si="7">D22*K22</f>
        <v>171854.19</v>
      </c>
      <c r="M22" s="64">
        <f t="shared" ref="M22:M29" si="8">F22-K22</f>
        <v>0</v>
      </c>
      <c r="N22" s="243">
        <f t="shared" ref="N22:N29" si="9">K22/C22</f>
        <v>1</v>
      </c>
    </row>
    <row r="23" spans="1:16" s="6" customFormat="1" ht="19.5" customHeight="1" x14ac:dyDescent="0.2">
      <c r="A23" s="68">
        <v>4351</v>
      </c>
      <c r="B23" s="35" t="s">
        <v>45</v>
      </c>
      <c r="C23" s="33">
        <f>36+156+105+120+70+51</f>
        <v>538</v>
      </c>
      <c r="D23" s="91">
        <v>343.51</v>
      </c>
      <c r="E23" s="56">
        <f t="shared" si="5"/>
        <v>184808.38</v>
      </c>
      <c r="F23" s="41">
        <v>564</v>
      </c>
      <c r="G23" s="40">
        <v>104</v>
      </c>
      <c r="H23" s="41"/>
      <c r="I23" s="41">
        <f>284+86</f>
        <v>370</v>
      </c>
      <c r="J23" s="58">
        <f>20+70</f>
        <v>90</v>
      </c>
      <c r="K23" s="62">
        <f t="shared" si="6"/>
        <v>564</v>
      </c>
      <c r="L23" s="57">
        <f t="shared" si="7"/>
        <v>193739.63999999998</v>
      </c>
      <c r="M23" s="64">
        <f t="shared" si="8"/>
        <v>0</v>
      </c>
      <c r="N23" s="243">
        <f t="shared" si="9"/>
        <v>1.0483271375464684</v>
      </c>
    </row>
    <row r="24" spans="1:16" s="6" customFormat="1" ht="19.5" customHeight="1" x14ac:dyDescent="0.2">
      <c r="A24" s="68">
        <v>4355</v>
      </c>
      <c r="B24" s="36" t="s">
        <v>46</v>
      </c>
      <c r="C24" s="33"/>
      <c r="D24" s="91">
        <v>28.33</v>
      </c>
      <c r="E24" s="56">
        <f t="shared" si="5"/>
        <v>0</v>
      </c>
      <c r="F24" s="41"/>
      <c r="G24" s="40"/>
      <c r="H24" s="41"/>
      <c r="I24" s="41"/>
      <c r="J24" s="58"/>
      <c r="K24" s="62">
        <f t="shared" si="6"/>
        <v>0</v>
      </c>
      <c r="L24" s="57">
        <f t="shared" si="7"/>
        <v>0</v>
      </c>
      <c r="M24" s="64">
        <f t="shared" si="8"/>
        <v>0</v>
      </c>
      <c r="N24" s="243" t="e">
        <f t="shared" si="9"/>
        <v>#DIV/0!</v>
      </c>
    </row>
    <row r="25" spans="1:16" s="6" customFormat="1" ht="19.5" customHeight="1" x14ac:dyDescent="0.2">
      <c r="A25" s="68">
        <v>4353</v>
      </c>
      <c r="B25" s="47" t="s">
        <v>47</v>
      </c>
      <c r="C25" s="33">
        <f>28+4</f>
        <v>32</v>
      </c>
      <c r="D25" s="91">
        <v>28.33</v>
      </c>
      <c r="E25" s="56">
        <f t="shared" si="5"/>
        <v>906.56</v>
      </c>
      <c r="F25" s="41">
        <v>29</v>
      </c>
      <c r="G25" s="40"/>
      <c r="H25" s="41"/>
      <c r="I25" s="41">
        <v>26</v>
      </c>
      <c r="J25" s="58">
        <v>3</v>
      </c>
      <c r="K25" s="62">
        <f t="shared" si="6"/>
        <v>29</v>
      </c>
      <c r="L25" s="57">
        <f t="shared" si="7"/>
        <v>821.56999999999994</v>
      </c>
      <c r="M25" s="64">
        <f t="shared" si="8"/>
        <v>0</v>
      </c>
      <c r="N25" s="243">
        <f t="shared" si="9"/>
        <v>0.90625</v>
      </c>
    </row>
    <row r="26" spans="1:16" s="6" customFormat="1" ht="19.5" customHeight="1" x14ac:dyDescent="0.2">
      <c r="A26" s="68">
        <v>4354</v>
      </c>
      <c r="B26" s="35" t="s">
        <v>48</v>
      </c>
      <c r="C26" s="33">
        <f>65+36+36+156+145+28+105+126+120+4+20+70+35+51</f>
        <v>997</v>
      </c>
      <c r="D26" s="91">
        <v>24.21</v>
      </c>
      <c r="E26" s="56">
        <f t="shared" si="5"/>
        <v>24137.370000000003</v>
      </c>
      <c r="F26" s="41">
        <v>1023</v>
      </c>
      <c r="G26" s="40">
        <v>219</v>
      </c>
      <c r="H26" s="41">
        <f>83+97</f>
        <v>180</v>
      </c>
      <c r="I26" s="41">
        <f>284+86</f>
        <v>370</v>
      </c>
      <c r="J26" s="58">
        <f>20+140+94</f>
        <v>254</v>
      </c>
      <c r="K26" s="62">
        <f t="shared" si="6"/>
        <v>1023</v>
      </c>
      <c r="L26" s="57">
        <f t="shared" si="7"/>
        <v>24766.83</v>
      </c>
      <c r="M26" s="64">
        <f t="shared" si="8"/>
        <v>0</v>
      </c>
      <c r="N26" s="243">
        <f t="shared" si="9"/>
        <v>1.0260782347041124</v>
      </c>
    </row>
    <row r="27" spans="1:16" s="6" customFormat="1" ht="19.5" customHeight="1" x14ac:dyDescent="0.2">
      <c r="A27" s="68">
        <v>4356</v>
      </c>
      <c r="B27" s="45" t="s">
        <v>49</v>
      </c>
      <c r="C27" s="33">
        <f>36+36</f>
        <v>72</v>
      </c>
      <c r="D27" s="91">
        <v>48.93</v>
      </c>
      <c r="E27" s="56">
        <f t="shared" si="5"/>
        <v>3522.96</v>
      </c>
      <c r="F27" s="41"/>
      <c r="G27" s="40"/>
      <c r="H27" s="41"/>
      <c r="I27" s="41"/>
      <c r="J27" s="58"/>
      <c r="K27" s="62">
        <f t="shared" si="6"/>
        <v>0</v>
      </c>
      <c r="L27" s="57">
        <f t="shared" si="7"/>
        <v>0</v>
      </c>
      <c r="M27" s="64">
        <f t="shared" si="8"/>
        <v>0</v>
      </c>
      <c r="N27" s="243">
        <f t="shared" si="9"/>
        <v>0</v>
      </c>
    </row>
    <row r="28" spans="1:16" s="6" customFormat="1" ht="19.5" customHeight="1" x14ac:dyDescent="0.2">
      <c r="A28" s="68">
        <v>4357</v>
      </c>
      <c r="B28" s="35" t="s">
        <v>82</v>
      </c>
      <c r="C28" s="33"/>
      <c r="D28" s="91">
        <v>29.87</v>
      </c>
      <c r="E28" s="56">
        <f t="shared" si="5"/>
        <v>0</v>
      </c>
      <c r="F28" s="41"/>
      <c r="G28" s="40"/>
      <c r="H28" s="41"/>
      <c r="I28" s="41"/>
      <c r="J28" s="58"/>
      <c r="K28" s="62">
        <f t="shared" si="6"/>
        <v>0</v>
      </c>
      <c r="L28" s="57">
        <f t="shared" si="7"/>
        <v>0</v>
      </c>
      <c r="M28" s="64">
        <f t="shared" si="8"/>
        <v>0</v>
      </c>
      <c r="N28" s="243" t="e">
        <f t="shared" si="9"/>
        <v>#DIV/0!</v>
      </c>
    </row>
    <row r="29" spans="1:16" s="6" customFormat="1" ht="19.5" customHeight="1" x14ac:dyDescent="0.2">
      <c r="A29" s="68">
        <v>4349</v>
      </c>
      <c r="B29" s="36" t="s">
        <v>50</v>
      </c>
      <c r="C29" s="33">
        <f>36*2+156*2+105*2+120*2+70*2+51*2</f>
        <v>1076</v>
      </c>
      <c r="D29" s="93">
        <v>2.06</v>
      </c>
      <c r="E29" s="56">
        <f t="shared" si="5"/>
        <v>2216.56</v>
      </c>
      <c r="F29" s="41">
        <v>1128</v>
      </c>
      <c r="G29" s="40">
        <v>208</v>
      </c>
      <c r="H29" s="41"/>
      <c r="I29" s="241">
        <f>568+172</f>
        <v>740</v>
      </c>
      <c r="J29" s="263">
        <f>40+140</f>
        <v>180</v>
      </c>
      <c r="K29" s="62">
        <f t="shared" si="6"/>
        <v>1128</v>
      </c>
      <c r="L29" s="57">
        <f t="shared" si="7"/>
        <v>2323.6799999999998</v>
      </c>
      <c r="M29" s="64">
        <f t="shared" si="8"/>
        <v>0</v>
      </c>
      <c r="N29" s="243">
        <f t="shared" si="9"/>
        <v>1.0483271375464684</v>
      </c>
    </row>
    <row r="30" spans="1:16" s="6" customFormat="1" ht="5.0999999999999996" customHeight="1" x14ac:dyDescent="0.2">
      <c r="A30" s="69"/>
      <c r="B30" s="49"/>
      <c r="C30" s="33"/>
      <c r="D30" s="93"/>
      <c r="E30" s="34"/>
      <c r="F30" s="41"/>
      <c r="G30" s="40"/>
      <c r="H30" s="41"/>
      <c r="I30" s="41"/>
      <c r="J30" s="58"/>
      <c r="K30" s="62"/>
      <c r="L30" s="60"/>
      <c r="M30" s="3"/>
      <c r="N30" s="243"/>
    </row>
    <row r="31" spans="1:16" s="6" customFormat="1" ht="19.5" customHeight="1" x14ac:dyDescent="0.2">
      <c r="A31" s="68">
        <v>4344</v>
      </c>
      <c r="B31" s="35" t="s">
        <v>51</v>
      </c>
      <c r="C31" s="33">
        <v>168</v>
      </c>
      <c r="D31" s="91">
        <v>447.54</v>
      </c>
      <c r="E31" s="56">
        <f>D31*C31</f>
        <v>75186.720000000001</v>
      </c>
      <c r="F31" s="41">
        <v>168</v>
      </c>
      <c r="G31" s="40">
        <v>50</v>
      </c>
      <c r="H31" s="41">
        <v>108</v>
      </c>
      <c r="I31" s="41"/>
      <c r="J31" s="58">
        <v>10</v>
      </c>
      <c r="K31" s="62">
        <f>G31+H31+I31+J31</f>
        <v>168</v>
      </c>
      <c r="L31" s="57">
        <f>D31*K31</f>
        <v>75186.720000000001</v>
      </c>
      <c r="M31" s="64">
        <f>F31-K31</f>
        <v>0</v>
      </c>
      <c r="N31" s="243">
        <f>K31/C31</f>
        <v>1</v>
      </c>
    </row>
    <row r="32" spans="1:16" s="6" customFormat="1" ht="19.5" customHeight="1" x14ac:dyDescent="0.2">
      <c r="A32" s="68">
        <v>4345</v>
      </c>
      <c r="B32" s="35" t="s">
        <v>52</v>
      </c>
      <c r="C32" s="33">
        <v>168</v>
      </c>
      <c r="D32" s="91">
        <v>20.09</v>
      </c>
      <c r="E32" s="56">
        <f>D32*C32</f>
        <v>3375.12</v>
      </c>
      <c r="F32" s="41">
        <v>168</v>
      </c>
      <c r="G32" s="40">
        <v>50</v>
      </c>
      <c r="H32" s="41">
        <v>108</v>
      </c>
      <c r="I32" s="41"/>
      <c r="J32" s="58">
        <v>10</v>
      </c>
      <c r="K32" s="62">
        <f>G32+H32+I32+J32</f>
        <v>168</v>
      </c>
      <c r="L32" s="57">
        <f>D32*K32</f>
        <v>3375.12</v>
      </c>
      <c r="M32" s="64">
        <f>F32-K32</f>
        <v>0</v>
      </c>
      <c r="N32" s="243">
        <f>K32/C32</f>
        <v>1</v>
      </c>
    </row>
    <row r="33" spans="1:14" s="6" customFormat="1" ht="19.5" customHeight="1" x14ac:dyDescent="0.2">
      <c r="A33" s="68">
        <v>4346</v>
      </c>
      <c r="B33" s="35" t="s">
        <v>53</v>
      </c>
      <c r="C33" s="33"/>
      <c r="D33" s="91">
        <v>20.09</v>
      </c>
      <c r="E33" s="56">
        <f>D33*C33</f>
        <v>0</v>
      </c>
      <c r="F33" s="41">
        <v>50</v>
      </c>
      <c r="G33" s="40">
        <v>50</v>
      </c>
      <c r="H33" s="41"/>
      <c r="I33" s="41"/>
      <c r="J33" s="58"/>
      <c r="K33" s="62">
        <f>G33+H33+I33+J33</f>
        <v>50</v>
      </c>
      <c r="L33" s="57">
        <f>D33*K33</f>
        <v>1004.5</v>
      </c>
      <c r="M33" s="64">
        <f>F33-K33</f>
        <v>0</v>
      </c>
      <c r="N33" s="243" t="e">
        <f>K33/C33</f>
        <v>#DIV/0!</v>
      </c>
    </row>
    <row r="34" spans="1:14" s="6" customFormat="1" ht="19.5" customHeight="1" x14ac:dyDescent="0.2">
      <c r="A34" s="68">
        <v>4347</v>
      </c>
      <c r="B34" s="35" t="s">
        <v>81</v>
      </c>
      <c r="C34" s="33"/>
      <c r="D34" s="91">
        <v>51.5</v>
      </c>
      <c r="E34" s="56">
        <f>D34*C34</f>
        <v>0</v>
      </c>
      <c r="F34" s="40"/>
      <c r="G34" s="40"/>
      <c r="H34" s="41"/>
      <c r="I34" s="41"/>
      <c r="J34" s="58"/>
      <c r="K34" s="62">
        <f>G34+H34+I34+J34</f>
        <v>0</v>
      </c>
      <c r="L34" s="57">
        <f>D34*K34</f>
        <v>0</v>
      </c>
      <c r="M34" s="64">
        <f>F34-K34</f>
        <v>0</v>
      </c>
      <c r="N34" s="243" t="e">
        <f>K34/C34</f>
        <v>#DIV/0!</v>
      </c>
    </row>
    <row r="35" spans="1:14" s="6" customFormat="1" ht="19.5" customHeight="1" x14ac:dyDescent="0.2">
      <c r="A35" s="68">
        <v>4348</v>
      </c>
      <c r="B35" s="35" t="s">
        <v>54</v>
      </c>
      <c r="C35" s="33">
        <v>168</v>
      </c>
      <c r="D35" s="91">
        <v>59.74</v>
      </c>
      <c r="E35" s="56">
        <f>D35*C35</f>
        <v>10036.32</v>
      </c>
      <c r="F35" s="41">
        <v>168</v>
      </c>
      <c r="G35" s="40">
        <v>50</v>
      </c>
      <c r="H35" s="41">
        <v>108</v>
      </c>
      <c r="I35" s="41"/>
      <c r="J35" s="58">
        <v>10</v>
      </c>
      <c r="K35" s="62">
        <f>G35+H35+I35+J35</f>
        <v>168</v>
      </c>
      <c r="L35" s="57">
        <f>D35*K35</f>
        <v>10036.32</v>
      </c>
      <c r="M35" s="64">
        <f>F35-K35</f>
        <v>0</v>
      </c>
      <c r="N35" s="243">
        <f>K35/C35</f>
        <v>1</v>
      </c>
    </row>
    <row r="36" spans="1:14" s="6" customFormat="1" ht="5.0999999999999996" customHeight="1" x14ac:dyDescent="0.2">
      <c r="A36" s="69"/>
      <c r="B36" s="35"/>
      <c r="C36" s="33"/>
      <c r="D36" s="91"/>
      <c r="E36" s="34"/>
      <c r="F36" s="41"/>
      <c r="G36" s="40"/>
      <c r="H36" s="41"/>
      <c r="I36" s="41"/>
      <c r="J36" s="58"/>
      <c r="K36" s="62"/>
      <c r="L36" s="60"/>
      <c r="M36" s="3"/>
      <c r="N36" s="243"/>
    </row>
    <row r="37" spans="1:14" s="6" customFormat="1" ht="20.100000000000001" customHeight="1" x14ac:dyDescent="0.2">
      <c r="A37" s="68">
        <v>4350</v>
      </c>
      <c r="B37" s="35" t="s">
        <v>80</v>
      </c>
      <c r="C37" s="33">
        <f>36+80+200+16+170+57+44+70</f>
        <v>673</v>
      </c>
      <c r="D37" s="91">
        <v>301.79000000000002</v>
      </c>
      <c r="E37" s="56">
        <f>D37*C37</f>
        <v>203104.67</v>
      </c>
      <c r="F37" s="41">
        <v>706</v>
      </c>
      <c r="G37" s="50">
        <v>107</v>
      </c>
      <c r="H37" s="41">
        <f>129+107+138</f>
        <v>374</v>
      </c>
      <c r="I37" s="41">
        <v>115</v>
      </c>
      <c r="J37" s="58">
        <v>110</v>
      </c>
      <c r="K37" s="62">
        <f>G37+H37+I37+J37</f>
        <v>706</v>
      </c>
      <c r="L37" s="57">
        <f>D37*K37</f>
        <v>213063.74000000002</v>
      </c>
      <c r="M37" s="64">
        <f>F37-K37</f>
        <v>0</v>
      </c>
      <c r="N37" s="243">
        <f>K37/C37</f>
        <v>1.049034175334324</v>
      </c>
    </row>
    <row r="38" spans="1:14" s="6" customFormat="1" ht="5.0999999999999996" customHeight="1" x14ac:dyDescent="0.2">
      <c r="A38" s="69"/>
      <c r="B38" s="48"/>
      <c r="C38" s="33"/>
      <c r="D38" s="91"/>
      <c r="E38" s="34"/>
      <c r="F38" s="41"/>
      <c r="G38" s="40"/>
      <c r="H38" s="41"/>
      <c r="I38" s="41"/>
      <c r="J38" s="58"/>
      <c r="K38" s="62"/>
      <c r="L38" s="60"/>
      <c r="M38" s="3"/>
      <c r="N38" s="243"/>
    </row>
    <row r="39" spans="1:14" s="6" customFormat="1" ht="20.100000000000001" customHeight="1" x14ac:dyDescent="0.2">
      <c r="A39" s="68">
        <v>4328</v>
      </c>
      <c r="B39" s="35" t="s">
        <v>33</v>
      </c>
      <c r="C39" s="260"/>
      <c r="D39" s="91">
        <v>67.47</v>
      </c>
      <c r="E39" s="56">
        <f t="shared" ref="E39:E45" si="10">D39*C39</f>
        <v>0</v>
      </c>
      <c r="F39" s="41">
        <v>10</v>
      </c>
      <c r="G39" s="40"/>
      <c r="H39" s="41"/>
      <c r="I39" s="41"/>
      <c r="J39" s="6">
        <v>10</v>
      </c>
      <c r="K39" s="62">
        <f t="shared" ref="K39:K45" si="11">G39+H39+I39+J39</f>
        <v>10</v>
      </c>
      <c r="L39" s="57">
        <f t="shared" ref="L39:L45" si="12">D39*K39</f>
        <v>674.7</v>
      </c>
      <c r="M39" s="64">
        <f t="shared" ref="M39:M45" si="13">F39-K39</f>
        <v>0</v>
      </c>
      <c r="N39" s="243" t="e">
        <f t="shared" ref="N39:N45" si="14">K39/C39</f>
        <v>#DIV/0!</v>
      </c>
    </row>
    <row r="40" spans="1:14" s="6" customFormat="1" ht="20.100000000000001" customHeight="1" x14ac:dyDescent="0.2">
      <c r="A40" s="68">
        <v>4329</v>
      </c>
      <c r="B40" s="35" t="s">
        <v>32</v>
      </c>
      <c r="C40" s="33"/>
      <c r="D40" s="91">
        <v>32.96</v>
      </c>
      <c r="E40" s="56">
        <f t="shared" si="10"/>
        <v>0</v>
      </c>
      <c r="F40" s="41"/>
      <c r="G40" s="40"/>
      <c r="H40" s="41"/>
      <c r="I40" s="41"/>
      <c r="J40" s="58"/>
      <c r="K40" s="62">
        <f t="shared" si="11"/>
        <v>0</v>
      </c>
      <c r="L40" s="57">
        <f t="shared" si="12"/>
        <v>0</v>
      </c>
      <c r="M40" s="64">
        <f t="shared" si="13"/>
        <v>0</v>
      </c>
      <c r="N40" s="243" t="e">
        <f t="shared" si="14"/>
        <v>#DIV/0!</v>
      </c>
    </row>
    <row r="41" spans="1:14" s="6" customFormat="1" ht="20.100000000000001" customHeight="1" x14ac:dyDescent="0.2">
      <c r="A41" s="68">
        <v>4330</v>
      </c>
      <c r="B41" s="45" t="s">
        <v>79</v>
      </c>
      <c r="C41" s="37"/>
      <c r="D41" s="91">
        <v>61.8</v>
      </c>
      <c r="E41" s="56">
        <f t="shared" si="10"/>
        <v>0</v>
      </c>
      <c r="F41" s="41">
        <v>400</v>
      </c>
      <c r="G41" s="42"/>
      <c r="H41" s="43"/>
      <c r="I41" s="43"/>
      <c r="J41" s="59">
        <v>400</v>
      </c>
      <c r="K41" s="62">
        <f t="shared" si="11"/>
        <v>400</v>
      </c>
      <c r="L41" s="57">
        <f t="shared" si="12"/>
        <v>24720</v>
      </c>
      <c r="M41" s="64">
        <f t="shared" si="13"/>
        <v>0</v>
      </c>
      <c r="N41" s="243" t="e">
        <f t="shared" si="14"/>
        <v>#DIV/0!</v>
      </c>
    </row>
    <row r="42" spans="1:14" s="6" customFormat="1" ht="20.100000000000001" customHeight="1" x14ac:dyDescent="0.2">
      <c r="A42" s="68">
        <v>4331</v>
      </c>
      <c r="B42" s="35" t="s">
        <v>78</v>
      </c>
      <c r="C42" s="102"/>
      <c r="D42" s="91">
        <v>122.06</v>
      </c>
      <c r="E42" s="56">
        <f t="shared" si="10"/>
        <v>0</v>
      </c>
      <c r="F42" s="41"/>
      <c r="G42" s="40"/>
      <c r="H42" s="41"/>
      <c r="I42" s="41"/>
      <c r="J42" s="58"/>
      <c r="K42" s="62">
        <f t="shared" si="11"/>
        <v>0</v>
      </c>
      <c r="L42" s="57">
        <f t="shared" si="12"/>
        <v>0</v>
      </c>
      <c r="M42" s="64">
        <f t="shared" si="13"/>
        <v>0</v>
      </c>
      <c r="N42" s="243" t="e">
        <f t="shared" si="14"/>
        <v>#DIV/0!</v>
      </c>
    </row>
    <row r="43" spans="1:14" s="6" customFormat="1" ht="20.100000000000001" customHeight="1" x14ac:dyDescent="0.2">
      <c r="A43" s="68" t="s">
        <v>136</v>
      </c>
      <c r="B43" s="101" t="s">
        <v>128</v>
      </c>
      <c r="C43" s="252"/>
      <c r="D43" s="90">
        <v>114.85</v>
      </c>
      <c r="E43" s="56">
        <f t="shared" si="10"/>
        <v>0</v>
      </c>
      <c r="F43" s="267">
        <v>289</v>
      </c>
      <c r="G43" s="42"/>
      <c r="H43" s="43">
        <v>289</v>
      </c>
      <c r="I43" s="43"/>
      <c r="J43" s="59"/>
      <c r="K43" s="62">
        <f t="shared" si="11"/>
        <v>289</v>
      </c>
      <c r="L43" s="57">
        <f t="shared" si="12"/>
        <v>33191.65</v>
      </c>
      <c r="M43" s="64">
        <f t="shared" si="13"/>
        <v>0</v>
      </c>
      <c r="N43" s="243" t="e">
        <f t="shared" si="14"/>
        <v>#DIV/0!</v>
      </c>
    </row>
    <row r="44" spans="1:14" s="6" customFormat="1" ht="20.100000000000001" customHeight="1" x14ac:dyDescent="0.2">
      <c r="A44" s="68">
        <v>4358</v>
      </c>
      <c r="B44" s="38" t="s">
        <v>77</v>
      </c>
      <c r="C44" s="253"/>
      <c r="D44" s="118">
        <v>13.39</v>
      </c>
      <c r="E44" s="56">
        <f t="shared" si="10"/>
        <v>0</v>
      </c>
      <c r="F44" s="267"/>
      <c r="G44" s="42"/>
      <c r="H44" s="43"/>
      <c r="I44" s="43"/>
      <c r="J44" s="59"/>
      <c r="K44" s="62">
        <f t="shared" si="11"/>
        <v>0</v>
      </c>
      <c r="L44" s="57">
        <f t="shared" si="12"/>
        <v>0</v>
      </c>
      <c r="M44" s="64">
        <f t="shared" si="13"/>
        <v>0</v>
      </c>
      <c r="N44" s="243" t="e">
        <f t="shared" si="14"/>
        <v>#DIV/0!</v>
      </c>
    </row>
    <row r="45" spans="1:14" s="6" customFormat="1" ht="20.100000000000001" customHeight="1" x14ac:dyDescent="0.2">
      <c r="A45" s="68">
        <v>4359</v>
      </c>
      <c r="B45" s="45" t="s">
        <v>76</v>
      </c>
      <c r="C45" s="46"/>
      <c r="D45" s="65">
        <v>23.69</v>
      </c>
      <c r="E45" s="56">
        <f t="shared" si="10"/>
        <v>0</v>
      </c>
      <c r="F45" s="41">
        <v>1064</v>
      </c>
      <c r="G45" s="42"/>
      <c r="H45" s="43"/>
      <c r="I45" s="43">
        <v>1064</v>
      </c>
      <c r="J45" s="59"/>
      <c r="K45" s="62">
        <f t="shared" si="11"/>
        <v>1064</v>
      </c>
      <c r="L45" s="57">
        <f t="shared" si="12"/>
        <v>25206.16</v>
      </c>
      <c r="M45" s="64">
        <f t="shared" si="13"/>
        <v>0</v>
      </c>
      <c r="N45" s="243" t="e">
        <f t="shared" si="14"/>
        <v>#DIV/0!</v>
      </c>
    </row>
    <row r="46" spans="1:14" s="6" customFormat="1" ht="5.0999999999999996" customHeight="1" x14ac:dyDescent="0.2">
      <c r="A46" s="68"/>
      <c r="B46" s="100"/>
      <c r="C46" s="103"/>
      <c r="D46" s="94"/>
      <c r="E46" s="56"/>
      <c r="F46" s="41"/>
      <c r="G46" s="42"/>
      <c r="H46" s="43"/>
      <c r="I46" s="43"/>
      <c r="J46" s="59"/>
      <c r="K46" s="62"/>
      <c r="L46" s="57"/>
      <c r="M46" s="64"/>
      <c r="N46" s="243"/>
    </row>
    <row r="47" spans="1:14" s="6" customFormat="1" ht="19.5" customHeight="1" x14ac:dyDescent="0.2">
      <c r="A47" s="68">
        <v>4332</v>
      </c>
      <c r="B47" s="54" t="s">
        <v>144</v>
      </c>
      <c r="C47" s="103"/>
      <c r="D47" s="94">
        <v>3.81</v>
      </c>
      <c r="E47" s="56">
        <f t="shared" ref="E47:E54" si="15">D47*C47</f>
        <v>0</v>
      </c>
      <c r="F47" s="41"/>
      <c r="G47" s="42"/>
      <c r="H47" s="43"/>
      <c r="I47" s="43"/>
      <c r="J47" s="59"/>
      <c r="K47" s="62">
        <f t="shared" ref="K47:K54" si="16">G47+H47+I47+J47</f>
        <v>0</v>
      </c>
      <c r="L47" s="57">
        <f t="shared" ref="L47:L54" si="17">D47*K47</f>
        <v>0</v>
      </c>
      <c r="M47" s="64">
        <f t="shared" ref="M47:M54" si="18">F47-K47</f>
        <v>0</v>
      </c>
      <c r="N47" s="243" t="e">
        <f t="shared" ref="N47:N54" si="19">K47/C47</f>
        <v>#DIV/0!</v>
      </c>
    </row>
    <row r="48" spans="1:14" s="6" customFormat="1" ht="19.149999999999999" customHeight="1" x14ac:dyDescent="0.2">
      <c r="A48" s="250">
        <v>4567</v>
      </c>
      <c r="B48" s="54" t="s">
        <v>143</v>
      </c>
      <c r="C48" s="103">
        <v>600</v>
      </c>
      <c r="D48" s="245">
        <v>19.78</v>
      </c>
      <c r="E48" s="56">
        <f t="shared" si="15"/>
        <v>11868</v>
      </c>
      <c r="F48" s="41">
        <v>600</v>
      </c>
      <c r="G48" s="42"/>
      <c r="H48" s="43">
        <v>300</v>
      </c>
      <c r="I48" s="43"/>
      <c r="J48" s="59">
        <v>300</v>
      </c>
      <c r="K48" s="62">
        <f t="shared" si="16"/>
        <v>600</v>
      </c>
      <c r="L48" s="57">
        <f t="shared" si="17"/>
        <v>11868</v>
      </c>
      <c r="M48" s="64">
        <f t="shared" si="18"/>
        <v>0</v>
      </c>
      <c r="N48" s="243">
        <f t="shared" si="19"/>
        <v>1</v>
      </c>
    </row>
    <row r="49" spans="1:14" s="6" customFormat="1" ht="19.149999999999999" customHeight="1" x14ac:dyDescent="0.2">
      <c r="A49" s="250">
        <v>4563</v>
      </c>
      <c r="B49" s="54" t="s">
        <v>142</v>
      </c>
      <c r="C49" s="103">
        <v>600</v>
      </c>
      <c r="D49" s="245">
        <v>57.63</v>
      </c>
      <c r="E49" s="56">
        <f t="shared" si="15"/>
        <v>34578</v>
      </c>
      <c r="F49" s="41">
        <v>600</v>
      </c>
      <c r="G49" s="42"/>
      <c r="H49" s="43">
        <v>300</v>
      </c>
      <c r="I49" s="43"/>
      <c r="J49" s="59">
        <v>300</v>
      </c>
      <c r="K49" s="62">
        <f>J49+I49+H49+G49</f>
        <v>600</v>
      </c>
      <c r="L49" s="57">
        <f t="shared" si="17"/>
        <v>34578</v>
      </c>
      <c r="M49" s="64">
        <f t="shared" si="18"/>
        <v>0</v>
      </c>
      <c r="N49" s="243">
        <f t="shared" si="19"/>
        <v>1</v>
      </c>
    </row>
    <row r="50" spans="1:14" s="6" customFormat="1" ht="19.149999999999999" customHeight="1" x14ac:dyDescent="0.2">
      <c r="A50" s="250">
        <v>4525</v>
      </c>
      <c r="B50" s="54" t="s">
        <v>141</v>
      </c>
      <c r="C50" s="103">
        <v>600</v>
      </c>
      <c r="D50" s="245">
        <v>116.95</v>
      </c>
      <c r="E50" s="56">
        <f t="shared" si="15"/>
        <v>70170</v>
      </c>
      <c r="F50" s="42">
        <v>600</v>
      </c>
      <c r="G50" s="42"/>
      <c r="H50" s="43">
        <v>300</v>
      </c>
      <c r="I50" s="43"/>
      <c r="J50" s="59">
        <v>300</v>
      </c>
      <c r="K50" s="62">
        <f t="shared" si="16"/>
        <v>600</v>
      </c>
      <c r="L50" s="57">
        <f t="shared" si="17"/>
        <v>70170</v>
      </c>
      <c r="M50" s="64">
        <f t="shared" si="18"/>
        <v>0</v>
      </c>
      <c r="N50" s="243">
        <f t="shared" si="19"/>
        <v>1</v>
      </c>
    </row>
    <row r="51" spans="1:14" s="6" customFormat="1" ht="19.149999999999999" customHeight="1" x14ac:dyDescent="0.2">
      <c r="A51" s="250">
        <v>4526</v>
      </c>
      <c r="B51" s="54" t="s">
        <v>75</v>
      </c>
      <c r="C51" s="103">
        <v>300</v>
      </c>
      <c r="D51" s="245">
        <v>57.63</v>
      </c>
      <c r="E51" s="56">
        <f t="shared" si="15"/>
        <v>17289</v>
      </c>
      <c r="F51" s="42">
        <v>300</v>
      </c>
      <c r="G51" s="42"/>
      <c r="H51" s="43">
        <v>300</v>
      </c>
      <c r="I51" s="43"/>
      <c r="J51" s="264"/>
      <c r="K51" s="62">
        <f>G51+H51+I51+J51</f>
        <v>300</v>
      </c>
      <c r="L51" s="57">
        <f t="shared" si="17"/>
        <v>17289</v>
      </c>
      <c r="M51" s="64">
        <f t="shared" si="18"/>
        <v>0</v>
      </c>
      <c r="N51" s="243">
        <f t="shared" si="19"/>
        <v>1</v>
      </c>
    </row>
    <row r="52" spans="1:14" s="6" customFormat="1" ht="19.149999999999999" customHeight="1" x14ac:dyDescent="0.2">
      <c r="A52" s="250">
        <v>4564</v>
      </c>
      <c r="B52" s="54" t="s">
        <v>145</v>
      </c>
      <c r="C52" s="103">
        <v>600</v>
      </c>
      <c r="D52" s="245">
        <v>55.93</v>
      </c>
      <c r="E52" s="56">
        <f t="shared" si="15"/>
        <v>33558</v>
      </c>
      <c r="F52" s="41">
        <v>600</v>
      </c>
      <c r="G52" s="42"/>
      <c r="H52" s="43">
        <v>300</v>
      </c>
      <c r="I52" s="43"/>
      <c r="J52" s="59">
        <v>300</v>
      </c>
      <c r="K52" s="62">
        <f t="shared" si="16"/>
        <v>600</v>
      </c>
      <c r="L52" s="57">
        <f t="shared" si="17"/>
        <v>33558</v>
      </c>
      <c r="M52" s="64">
        <f t="shared" si="18"/>
        <v>0</v>
      </c>
      <c r="N52" s="243">
        <f t="shared" si="19"/>
        <v>1</v>
      </c>
    </row>
    <row r="53" spans="1:14" s="6" customFormat="1" ht="19.149999999999999" customHeight="1" x14ac:dyDescent="0.2">
      <c r="A53" s="250">
        <v>4566</v>
      </c>
      <c r="B53" s="54" t="s">
        <v>146</v>
      </c>
      <c r="C53" s="103">
        <v>600</v>
      </c>
      <c r="D53" s="245">
        <v>58.48</v>
      </c>
      <c r="E53" s="56">
        <f t="shared" si="15"/>
        <v>35088</v>
      </c>
      <c r="F53" s="41">
        <v>600</v>
      </c>
      <c r="G53" s="42"/>
      <c r="H53" s="43">
        <v>300</v>
      </c>
      <c r="I53" s="43"/>
      <c r="J53" s="59">
        <v>300</v>
      </c>
      <c r="K53" s="62">
        <f t="shared" si="16"/>
        <v>600</v>
      </c>
      <c r="L53" s="57">
        <f t="shared" si="17"/>
        <v>35088</v>
      </c>
      <c r="M53" s="64">
        <f t="shared" si="18"/>
        <v>0</v>
      </c>
      <c r="N53" s="243">
        <f t="shared" si="19"/>
        <v>1</v>
      </c>
    </row>
    <row r="54" spans="1:14" s="6" customFormat="1" ht="19.149999999999999" customHeight="1" x14ac:dyDescent="0.2">
      <c r="A54" s="250">
        <v>4565</v>
      </c>
      <c r="B54" s="54" t="s">
        <v>74</v>
      </c>
      <c r="C54" s="103">
        <v>600</v>
      </c>
      <c r="D54" s="245">
        <v>116.39</v>
      </c>
      <c r="E54" s="266">
        <f t="shared" si="15"/>
        <v>69834</v>
      </c>
      <c r="F54" s="41">
        <v>600</v>
      </c>
      <c r="G54" s="42">
        <v>300</v>
      </c>
      <c r="H54" s="43"/>
      <c r="I54" s="43"/>
      <c r="J54" s="59">
        <v>300</v>
      </c>
      <c r="K54" s="62">
        <f t="shared" si="16"/>
        <v>600</v>
      </c>
      <c r="L54" s="57">
        <f t="shared" si="17"/>
        <v>69834</v>
      </c>
      <c r="M54" s="64">
        <f t="shared" si="18"/>
        <v>0</v>
      </c>
      <c r="N54" s="243">
        <f t="shared" si="19"/>
        <v>1</v>
      </c>
    </row>
    <row r="55" spans="1:14" s="6" customFormat="1" ht="19.149999999999999" customHeight="1" x14ac:dyDescent="0.2">
      <c r="A55" s="250">
        <v>4561</v>
      </c>
      <c r="B55" s="54" t="s">
        <v>147</v>
      </c>
      <c r="C55" s="103"/>
      <c r="D55" s="245">
        <v>140.68</v>
      </c>
      <c r="E55" s="56">
        <f>D55*C55</f>
        <v>0</v>
      </c>
      <c r="F55" s="41"/>
      <c r="G55" s="42"/>
      <c r="H55" s="43"/>
      <c r="I55" s="43"/>
      <c r="J55" s="59"/>
      <c r="K55" s="62">
        <f>G55+H55+I55+J55</f>
        <v>0</v>
      </c>
      <c r="L55" s="57">
        <f>D55*K55</f>
        <v>0</v>
      </c>
      <c r="M55" s="64">
        <f>F55-K55</f>
        <v>0</v>
      </c>
      <c r="N55" s="243" t="e">
        <f>K55/C55</f>
        <v>#DIV/0!</v>
      </c>
    </row>
    <row r="56" spans="1:14" s="6" customFormat="1" ht="19.149999999999999" customHeight="1" x14ac:dyDescent="0.2">
      <c r="A56" s="250">
        <v>4562</v>
      </c>
      <c r="B56" s="54" t="s">
        <v>148</v>
      </c>
      <c r="C56" s="103"/>
      <c r="D56" s="245">
        <v>81.36</v>
      </c>
      <c r="E56" s="56">
        <f>D56*C56</f>
        <v>0</v>
      </c>
      <c r="F56" s="41"/>
      <c r="G56" s="42"/>
      <c r="H56" s="43"/>
      <c r="I56" s="43"/>
      <c r="J56" s="59"/>
      <c r="K56" s="62">
        <f>G56+H56+I56+J56</f>
        <v>0</v>
      </c>
      <c r="L56" s="57">
        <f>D56*K56</f>
        <v>0</v>
      </c>
      <c r="M56" s="64">
        <f>F56-K56</f>
        <v>0</v>
      </c>
      <c r="N56" s="243" t="e">
        <f>K56/C56</f>
        <v>#DIV/0!</v>
      </c>
    </row>
    <row r="57" spans="1:14" s="6" customFormat="1" ht="5.0999999999999996" customHeight="1" x14ac:dyDescent="0.2">
      <c r="A57" s="68"/>
      <c r="B57" s="45"/>
      <c r="C57" s="103"/>
      <c r="D57" s="95"/>
      <c r="E57" s="56"/>
      <c r="F57" s="41"/>
      <c r="G57" s="42"/>
      <c r="H57" s="43"/>
      <c r="I57" s="43"/>
      <c r="J57" s="59"/>
      <c r="K57" s="62"/>
      <c r="L57" s="57"/>
      <c r="M57" s="64"/>
      <c r="N57" s="243"/>
    </row>
    <row r="58" spans="1:14" s="6" customFormat="1" ht="19.149999999999999" customHeight="1" x14ac:dyDescent="0.2">
      <c r="A58" s="68">
        <v>4335</v>
      </c>
      <c r="B58" s="45" t="s">
        <v>64</v>
      </c>
      <c r="C58" s="103">
        <v>1000</v>
      </c>
      <c r="D58" s="95">
        <v>25.24</v>
      </c>
      <c r="E58" s="56">
        <f>D58*C58</f>
        <v>25240</v>
      </c>
      <c r="F58" s="41">
        <v>1000</v>
      </c>
      <c r="G58" s="42">
        <v>1000</v>
      </c>
      <c r="H58" s="43"/>
      <c r="I58" s="43"/>
      <c r="J58" s="59"/>
      <c r="K58" s="62">
        <f>G58+H58+I58+J58</f>
        <v>1000</v>
      </c>
      <c r="L58" s="57">
        <f>D58*K58</f>
        <v>25240</v>
      </c>
      <c r="M58" s="64">
        <f>F58-K58</f>
        <v>0</v>
      </c>
      <c r="N58" s="243">
        <f>K58/C58</f>
        <v>1</v>
      </c>
    </row>
    <row r="59" spans="1:14" s="6" customFormat="1" ht="19.149999999999999" customHeight="1" x14ac:dyDescent="0.2">
      <c r="A59" s="68">
        <v>4336</v>
      </c>
      <c r="B59" s="45" t="s">
        <v>65</v>
      </c>
      <c r="C59" s="103">
        <v>1000</v>
      </c>
      <c r="D59" s="95">
        <v>20.6</v>
      </c>
      <c r="E59" s="56">
        <f>D59*C59</f>
        <v>20600</v>
      </c>
      <c r="F59" s="41">
        <v>1000</v>
      </c>
      <c r="G59" s="42">
        <v>1000</v>
      </c>
      <c r="H59" s="43"/>
      <c r="I59" s="43"/>
      <c r="J59" s="59"/>
      <c r="K59" s="62">
        <f>G59+H59+I59+J59</f>
        <v>1000</v>
      </c>
      <c r="L59" s="57">
        <f>D59*K59</f>
        <v>20600</v>
      </c>
      <c r="M59" s="64">
        <f>F59-K59</f>
        <v>0</v>
      </c>
      <c r="N59" s="243">
        <f>K59/C59</f>
        <v>1</v>
      </c>
    </row>
    <row r="60" spans="1:14" s="6" customFormat="1" ht="19.149999999999999" customHeight="1" x14ac:dyDescent="0.2">
      <c r="A60" s="68">
        <v>4337</v>
      </c>
      <c r="B60" s="45" t="s">
        <v>89</v>
      </c>
      <c r="C60" s="103"/>
      <c r="D60" s="95">
        <v>9.3699999999999992</v>
      </c>
      <c r="E60" s="56">
        <f>D60*C60</f>
        <v>0</v>
      </c>
      <c r="F60" s="41"/>
      <c r="G60" s="42"/>
      <c r="H60" s="43"/>
      <c r="I60" s="43"/>
      <c r="J60" s="59"/>
      <c r="K60" s="62">
        <f>G60+H60+I60+J60</f>
        <v>0</v>
      </c>
      <c r="L60" s="57">
        <f>D60*K60</f>
        <v>0</v>
      </c>
      <c r="M60" s="64">
        <f>F60-K60</f>
        <v>0</v>
      </c>
      <c r="N60" s="243" t="e">
        <f>K60/C60</f>
        <v>#DIV/0!</v>
      </c>
    </row>
    <row r="61" spans="1:14" s="6" customFormat="1" ht="19.149999999999999" customHeight="1" x14ac:dyDescent="0.2">
      <c r="A61" s="68">
        <v>4338</v>
      </c>
      <c r="B61" s="45" t="s">
        <v>73</v>
      </c>
      <c r="C61" s="103">
        <v>500</v>
      </c>
      <c r="D61" s="95">
        <v>5.77</v>
      </c>
      <c r="E61" s="56">
        <f>D61*C61</f>
        <v>2885</v>
      </c>
      <c r="F61" s="41">
        <v>500</v>
      </c>
      <c r="G61" s="42">
        <v>500</v>
      </c>
      <c r="H61" s="43"/>
      <c r="I61" s="43"/>
      <c r="J61" s="59"/>
      <c r="K61" s="62">
        <f>G61+H61+I61+J61</f>
        <v>500</v>
      </c>
      <c r="L61" s="57">
        <f>D61*K61</f>
        <v>2885</v>
      </c>
      <c r="M61" s="64">
        <f>F61-K61</f>
        <v>0</v>
      </c>
      <c r="N61" s="243">
        <f>K61/C61</f>
        <v>1</v>
      </c>
    </row>
    <row r="62" spans="1:14" s="6" customFormat="1" ht="19.149999999999999" customHeight="1" x14ac:dyDescent="0.2">
      <c r="A62" s="68">
        <v>4339</v>
      </c>
      <c r="B62" s="45" t="s">
        <v>62</v>
      </c>
      <c r="C62" s="103">
        <v>254</v>
      </c>
      <c r="D62" s="95">
        <v>5.77</v>
      </c>
      <c r="E62" s="56">
        <f>D62*C62</f>
        <v>1465.58</v>
      </c>
      <c r="F62" s="41">
        <v>254</v>
      </c>
      <c r="G62" s="42">
        <v>254</v>
      </c>
      <c r="H62" s="43"/>
      <c r="I62" s="43"/>
      <c r="J62" s="59"/>
      <c r="K62" s="62">
        <f>G62+H62+I62+J62</f>
        <v>254</v>
      </c>
      <c r="L62" s="57">
        <f>D62*K62</f>
        <v>1465.58</v>
      </c>
      <c r="M62" s="64">
        <f>F62-K62</f>
        <v>0</v>
      </c>
      <c r="N62" s="243">
        <f>K62/C62</f>
        <v>1</v>
      </c>
    </row>
    <row r="63" spans="1:14" s="6" customFormat="1" ht="5.0999999999999996" customHeight="1" x14ac:dyDescent="0.2">
      <c r="A63" s="68"/>
      <c r="B63" s="45"/>
      <c r="C63" s="103"/>
      <c r="D63" s="96"/>
      <c r="E63" s="56"/>
      <c r="F63" s="41"/>
      <c r="G63" s="42"/>
      <c r="H63" s="43"/>
      <c r="I63" s="43"/>
      <c r="J63" s="59"/>
      <c r="K63" s="62"/>
      <c r="L63" s="57"/>
      <c r="M63" s="64"/>
      <c r="N63" s="243"/>
    </row>
    <row r="64" spans="1:14" s="6" customFormat="1" ht="19.149999999999999" customHeight="1" x14ac:dyDescent="0.2">
      <c r="A64" s="68">
        <v>4360</v>
      </c>
      <c r="B64" s="45" t="s">
        <v>35</v>
      </c>
      <c r="C64" s="103"/>
      <c r="D64" s="96">
        <v>20.6</v>
      </c>
      <c r="E64" s="56">
        <f t="shared" ref="E64:E71" si="20">D64*C64</f>
        <v>0</v>
      </c>
      <c r="F64" s="41"/>
      <c r="G64" s="42"/>
      <c r="H64" s="43"/>
      <c r="I64" s="43"/>
      <c r="J64" s="59"/>
      <c r="K64" s="62">
        <f t="shared" ref="K64:K70" si="21">G64+H64+I64+J64</f>
        <v>0</v>
      </c>
      <c r="L64" s="57">
        <f t="shared" ref="L64:L69" si="22">D64*K64</f>
        <v>0</v>
      </c>
      <c r="M64" s="64">
        <f t="shared" ref="M64:M71" si="23">F64-K64</f>
        <v>0</v>
      </c>
      <c r="N64" s="243" t="e">
        <f t="shared" ref="N64:N71" si="24">K64/C64</f>
        <v>#DIV/0!</v>
      </c>
    </row>
    <row r="65" spans="1:14" s="6" customFormat="1" ht="19.149999999999999" customHeight="1" x14ac:dyDescent="0.2">
      <c r="A65" s="68">
        <v>4361</v>
      </c>
      <c r="B65" s="45" t="s">
        <v>36</v>
      </c>
      <c r="C65" s="261"/>
      <c r="D65" s="96">
        <v>20.09</v>
      </c>
      <c r="E65" s="56">
        <f t="shared" si="20"/>
        <v>0</v>
      </c>
      <c r="F65" s="41"/>
      <c r="G65" s="42"/>
      <c r="H65" s="43"/>
      <c r="I65" s="43"/>
      <c r="J65" s="59"/>
      <c r="K65" s="62">
        <f t="shared" si="21"/>
        <v>0</v>
      </c>
      <c r="L65" s="57">
        <f t="shared" si="22"/>
        <v>0</v>
      </c>
      <c r="M65" s="64">
        <f t="shared" si="23"/>
        <v>0</v>
      </c>
      <c r="N65" s="243" t="e">
        <f t="shared" si="24"/>
        <v>#DIV/0!</v>
      </c>
    </row>
    <row r="66" spans="1:14" s="6" customFormat="1" ht="19.149999999999999" customHeight="1" x14ac:dyDescent="0.2">
      <c r="A66" s="68">
        <v>4362</v>
      </c>
      <c r="B66" s="45" t="s">
        <v>37</v>
      </c>
      <c r="C66" s="261"/>
      <c r="D66" s="96">
        <v>20.09</v>
      </c>
      <c r="E66" s="56">
        <f t="shared" si="20"/>
        <v>0</v>
      </c>
      <c r="F66" s="41"/>
      <c r="G66" s="42"/>
      <c r="H66" s="43"/>
      <c r="I66" s="43"/>
      <c r="J66" s="59"/>
      <c r="K66" s="62">
        <f t="shared" si="21"/>
        <v>0</v>
      </c>
      <c r="L66" s="57">
        <f t="shared" si="22"/>
        <v>0</v>
      </c>
      <c r="M66" s="64">
        <f t="shared" si="23"/>
        <v>0</v>
      </c>
      <c r="N66" s="243" t="e">
        <f t="shared" si="24"/>
        <v>#DIV/0!</v>
      </c>
    </row>
    <row r="67" spans="1:14" s="6" customFormat="1" ht="19.149999999999999" customHeight="1" x14ac:dyDescent="0.2">
      <c r="A67" s="68">
        <v>4363</v>
      </c>
      <c r="B67" s="45" t="s">
        <v>38</v>
      </c>
      <c r="C67" s="103"/>
      <c r="D67" s="96">
        <v>20.09</v>
      </c>
      <c r="E67" s="56">
        <f t="shared" si="20"/>
        <v>0</v>
      </c>
      <c r="F67" s="267">
        <v>108</v>
      </c>
      <c r="G67" s="42">
        <v>108</v>
      </c>
      <c r="H67" s="235"/>
      <c r="I67" s="43"/>
      <c r="J67" s="59"/>
      <c r="K67" s="62">
        <f t="shared" si="21"/>
        <v>108</v>
      </c>
      <c r="L67" s="57">
        <f t="shared" si="22"/>
        <v>2169.7199999999998</v>
      </c>
      <c r="M67" s="64">
        <f t="shared" si="23"/>
        <v>0</v>
      </c>
      <c r="N67" s="243" t="e">
        <f t="shared" si="24"/>
        <v>#DIV/0!</v>
      </c>
    </row>
    <row r="68" spans="1:14" s="6" customFormat="1" ht="19.149999999999999" customHeight="1" x14ac:dyDescent="0.2">
      <c r="A68" s="68">
        <v>4364</v>
      </c>
      <c r="B68" s="45" t="s">
        <v>39</v>
      </c>
      <c r="C68" s="103"/>
      <c r="D68" s="96">
        <v>20.09</v>
      </c>
      <c r="E68" s="56">
        <f t="shared" si="20"/>
        <v>0</v>
      </c>
      <c r="F68" s="267">
        <v>129</v>
      </c>
      <c r="G68" s="42">
        <v>129</v>
      </c>
      <c r="H68" s="43"/>
      <c r="I68" s="43"/>
      <c r="J68" s="59"/>
      <c r="K68" s="62">
        <f>G68+H68+I68+J68</f>
        <v>129</v>
      </c>
      <c r="L68" s="57">
        <f t="shared" si="22"/>
        <v>2591.61</v>
      </c>
      <c r="M68" s="64">
        <f t="shared" si="23"/>
        <v>0</v>
      </c>
      <c r="N68" s="243" t="e">
        <f t="shared" si="24"/>
        <v>#DIV/0!</v>
      </c>
    </row>
    <row r="69" spans="1:14" s="6" customFormat="1" ht="19.149999999999999" customHeight="1" x14ac:dyDescent="0.2">
      <c r="A69" s="68">
        <v>4366</v>
      </c>
      <c r="B69" s="45" t="s">
        <v>58</v>
      </c>
      <c r="C69" s="261"/>
      <c r="D69" s="96">
        <v>20.09</v>
      </c>
      <c r="E69" s="56">
        <f t="shared" si="20"/>
        <v>0</v>
      </c>
      <c r="F69" s="267">
        <f>32+71</f>
        <v>103</v>
      </c>
      <c r="G69" s="42">
        <v>103</v>
      </c>
      <c r="H69" s="43"/>
      <c r="I69" s="43"/>
      <c r="J69" s="59"/>
      <c r="K69" s="62">
        <f t="shared" si="21"/>
        <v>103</v>
      </c>
      <c r="L69" s="57">
        <f t="shared" si="22"/>
        <v>2069.27</v>
      </c>
      <c r="M69" s="64">
        <f t="shared" si="23"/>
        <v>0</v>
      </c>
      <c r="N69" s="243" t="e">
        <f t="shared" si="24"/>
        <v>#DIV/0!</v>
      </c>
    </row>
    <row r="70" spans="1:14" s="6" customFormat="1" ht="20.100000000000001" customHeight="1" x14ac:dyDescent="0.2">
      <c r="A70" s="68">
        <v>4367</v>
      </c>
      <c r="B70" s="45" t="s">
        <v>123</v>
      </c>
      <c r="C70" s="262"/>
      <c r="D70" s="90">
        <v>20.09</v>
      </c>
      <c r="E70" s="56">
        <f t="shared" si="20"/>
        <v>0</v>
      </c>
      <c r="F70" s="267"/>
      <c r="G70" s="42"/>
      <c r="H70" s="43"/>
      <c r="I70" s="43"/>
      <c r="J70" s="59"/>
      <c r="K70" s="62">
        <f t="shared" si="21"/>
        <v>0</v>
      </c>
      <c r="L70" s="57">
        <f>D70*K70</f>
        <v>0</v>
      </c>
      <c r="M70" s="64">
        <f t="shared" si="23"/>
        <v>0</v>
      </c>
      <c r="N70" s="243" t="e">
        <f t="shared" si="24"/>
        <v>#DIV/0!</v>
      </c>
    </row>
    <row r="71" spans="1:14" s="6" customFormat="1" ht="20.100000000000001" customHeight="1" x14ac:dyDescent="0.2">
      <c r="A71" s="68">
        <v>4365</v>
      </c>
      <c r="B71" s="45" t="s">
        <v>124</v>
      </c>
      <c r="C71" s="261"/>
      <c r="D71" s="118">
        <v>21.12</v>
      </c>
      <c r="E71" s="56">
        <f t="shared" si="20"/>
        <v>0</v>
      </c>
      <c r="F71" s="267">
        <v>201</v>
      </c>
      <c r="G71" s="42"/>
      <c r="H71" s="43"/>
      <c r="I71" s="43">
        <v>201</v>
      </c>
      <c r="J71" s="59"/>
      <c r="K71" s="316">
        <f>G71+H71+I71+J71</f>
        <v>201</v>
      </c>
      <c r="L71" s="57">
        <f>D71*K71</f>
        <v>4245.12</v>
      </c>
      <c r="M71" s="64">
        <f t="shared" si="23"/>
        <v>0</v>
      </c>
      <c r="N71" s="243" t="e">
        <f t="shared" si="24"/>
        <v>#DIV/0!</v>
      </c>
    </row>
    <row r="72" spans="1:14" s="6" customFormat="1" ht="5.0999999999999996" customHeight="1" x14ac:dyDescent="0.2">
      <c r="A72" s="68"/>
      <c r="B72" s="45"/>
      <c r="C72" s="103"/>
      <c r="D72" s="96"/>
      <c r="E72" s="56"/>
      <c r="F72" s="41"/>
      <c r="G72" s="42"/>
      <c r="H72" s="43"/>
      <c r="I72" s="43"/>
      <c r="J72" s="59"/>
      <c r="K72" s="62"/>
      <c r="L72" s="57"/>
      <c r="M72" s="64"/>
      <c r="N72" s="243"/>
    </row>
    <row r="73" spans="1:14" s="6" customFormat="1" ht="20.100000000000001" customHeight="1" x14ac:dyDescent="0.2">
      <c r="A73" s="68">
        <v>4333</v>
      </c>
      <c r="B73" s="45" t="s">
        <v>87</v>
      </c>
      <c r="C73" s="103">
        <v>50</v>
      </c>
      <c r="D73" s="118">
        <v>382.85</v>
      </c>
      <c r="E73" s="56">
        <f>D73*C73</f>
        <v>19142.5</v>
      </c>
      <c r="F73" s="41">
        <v>52</v>
      </c>
      <c r="G73" s="42"/>
      <c r="H73" s="43"/>
      <c r="I73" s="43"/>
      <c r="J73" s="59">
        <v>52</v>
      </c>
      <c r="K73" s="62">
        <f>G73+H73+I73+J73</f>
        <v>52</v>
      </c>
      <c r="L73" s="57">
        <f>D73*K73</f>
        <v>19908.2</v>
      </c>
      <c r="M73" s="64">
        <f>F73-K73</f>
        <v>0</v>
      </c>
      <c r="N73" s="243">
        <f>K73/C73</f>
        <v>1.04</v>
      </c>
    </row>
    <row r="74" spans="1:14" s="6" customFormat="1" ht="20.100000000000001" customHeight="1" x14ac:dyDescent="0.2">
      <c r="A74" s="68">
        <v>4334</v>
      </c>
      <c r="B74" s="38" t="s">
        <v>88</v>
      </c>
      <c r="C74" s="103">
        <v>50</v>
      </c>
      <c r="D74" s="90">
        <v>413.91</v>
      </c>
      <c r="E74" s="56">
        <f>D74*C74</f>
        <v>20695.5</v>
      </c>
      <c r="F74" s="41">
        <v>52</v>
      </c>
      <c r="G74" s="42"/>
      <c r="H74" s="43"/>
      <c r="I74" s="43"/>
      <c r="J74" s="59">
        <v>52</v>
      </c>
      <c r="K74" s="62">
        <f>G74+H74+I74+J74</f>
        <v>52</v>
      </c>
      <c r="L74" s="57">
        <f>D74*K74</f>
        <v>21523.32</v>
      </c>
      <c r="M74" s="64">
        <f>F74-K74</f>
        <v>0</v>
      </c>
      <c r="N74" s="243">
        <f>K74/C74</f>
        <v>1.04</v>
      </c>
    </row>
    <row r="75" spans="1:14" s="6" customFormat="1" ht="5.0999999999999996" customHeight="1" x14ac:dyDescent="0.2">
      <c r="A75" s="68"/>
      <c r="B75" s="45"/>
      <c r="C75" s="103"/>
      <c r="D75" s="96"/>
      <c r="E75" s="56"/>
      <c r="F75" s="41"/>
      <c r="G75" s="42"/>
      <c r="H75" s="43"/>
      <c r="I75" s="43"/>
      <c r="J75" s="59"/>
      <c r="K75" s="62"/>
      <c r="L75" s="57"/>
      <c r="M75" s="64"/>
      <c r="N75" s="243"/>
    </row>
    <row r="76" spans="1:14" s="6" customFormat="1" ht="20.100000000000001" customHeight="1" x14ac:dyDescent="0.2">
      <c r="A76" s="68">
        <v>4389</v>
      </c>
      <c r="B76" s="45" t="s">
        <v>135</v>
      </c>
      <c r="C76" s="103"/>
      <c r="D76" s="118">
        <v>328.06</v>
      </c>
      <c r="E76" s="56">
        <f t="shared" ref="E76:E96" si="25">D76*C76</f>
        <v>0</v>
      </c>
      <c r="F76" s="41"/>
      <c r="G76" s="42"/>
      <c r="H76" s="43"/>
      <c r="I76" s="43"/>
      <c r="J76" s="59"/>
      <c r="K76" s="62">
        <f t="shared" ref="K76:K96" si="26">G76+H76+I76+J76</f>
        <v>0</v>
      </c>
      <c r="L76" s="57">
        <f t="shared" ref="L76:L93" si="27">D76*K76</f>
        <v>0</v>
      </c>
      <c r="M76" s="64">
        <f t="shared" ref="M76:M96" si="28">F76-K76</f>
        <v>0</v>
      </c>
      <c r="N76" s="243" t="e">
        <f t="shared" ref="N76:N96" si="29">K76/C76</f>
        <v>#DIV/0!</v>
      </c>
    </row>
    <row r="77" spans="1:14" s="6" customFormat="1" ht="20.100000000000001" customHeight="1" x14ac:dyDescent="0.2">
      <c r="A77" s="68">
        <v>4390</v>
      </c>
      <c r="B77" s="244" t="s">
        <v>137</v>
      </c>
      <c r="C77" s="46"/>
      <c r="D77" s="118">
        <v>358.96</v>
      </c>
      <c r="E77" s="56">
        <f t="shared" si="25"/>
        <v>0</v>
      </c>
      <c r="F77" s="41"/>
      <c r="G77" s="42"/>
      <c r="H77" s="43"/>
      <c r="I77" s="43"/>
      <c r="J77" s="59"/>
      <c r="K77" s="62">
        <f t="shared" si="26"/>
        <v>0</v>
      </c>
      <c r="L77" s="57">
        <f t="shared" si="27"/>
        <v>0</v>
      </c>
      <c r="M77" s="64">
        <f t="shared" si="28"/>
        <v>0</v>
      </c>
      <c r="N77" s="243" t="e">
        <f t="shared" si="29"/>
        <v>#DIV/0!</v>
      </c>
    </row>
    <row r="78" spans="1:14" s="6" customFormat="1" ht="20.100000000000001" customHeight="1" x14ac:dyDescent="0.2">
      <c r="A78" s="68" t="s">
        <v>346</v>
      </c>
      <c r="B78" s="362" t="s">
        <v>347</v>
      </c>
      <c r="C78" s="46"/>
      <c r="D78" s="118">
        <v>433</v>
      </c>
      <c r="E78" s="56">
        <f t="shared" si="25"/>
        <v>0</v>
      </c>
      <c r="F78" s="41"/>
      <c r="G78" s="42"/>
      <c r="H78" s="43"/>
      <c r="I78" s="43"/>
      <c r="J78" s="59"/>
      <c r="K78" s="62">
        <f t="shared" si="26"/>
        <v>0</v>
      </c>
      <c r="L78" s="57">
        <f t="shared" si="27"/>
        <v>0</v>
      </c>
      <c r="M78" s="64">
        <f t="shared" si="28"/>
        <v>0</v>
      </c>
      <c r="N78" s="243" t="e">
        <f t="shared" si="29"/>
        <v>#DIV/0!</v>
      </c>
    </row>
    <row r="79" spans="1:14" s="6" customFormat="1" ht="20.100000000000001" customHeight="1" x14ac:dyDescent="0.2">
      <c r="A79" s="68" t="s">
        <v>149</v>
      </c>
      <c r="B79" s="244" t="s">
        <v>348</v>
      </c>
      <c r="C79" s="46"/>
      <c r="D79" s="118">
        <v>55</v>
      </c>
      <c r="E79" s="56">
        <f t="shared" si="25"/>
        <v>0</v>
      </c>
      <c r="F79" s="267">
        <v>607</v>
      </c>
      <c r="G79" s="42"/>
      <c r="H79" s="43">
        <v>7</v>
      </c>
      <c r="I79" s="43"/>
      <c r="J79" s="59"/>
      <c r="K79" s="62">
        <f t="shared" si="26"/>
        <v>7</v>
      </c>
      <c r="L79" s="57">
        <f t="shared" si="27"/>
        <v>385</v>
      </c>
      <c r="M79" s="64">
        <f t="shared" si="28"/>
        <v>600</v>
      </c>
      <c r="N79" s="243" t="e">
        <f t="shared" si="29"/>
        <v>#DIV/0!</v>
      </c>
    </row>
    <row r="80" spans="1:14" s="6" customFormat="1" ht="20.100000000000001" customHeight="1" x14ac:dyDescent="0.2">
      <c r="A80" s="68"/>
      <c r="B80" s="244"/>
      <c r="C80" s="46"/>
      <c r="D80" s="118"/>
      <c r="E80" s="56">
        <f t="shared" si="25"/>
        <v>0</v>
      </c>
      <c r="F80" s="41"/>
      <c r="G80" s="42"/>
      <c r="H80" s="43"/>
      <c r="I80" s="43"/>
      <c r="J80" s="59"/>
      <c r="K80" s="62">
        <f t="shared" si="26"/>
        <v>0</v>
      </c>
      <c r="L80" s="57">
        <f t="shared" si="27"/>
        <v>0</v>
      </c>
      <c r="M80" s="64">
        <f t="shared" si="28"/>
        <v>0</v>
      </c>
      <c r="N80" s="243" t="e">
        <f t="shared" si="29"/>
        <v>#DIV/0!</v>
      </c>
    </row>
    <row r="81" spans="1:15" s="6" customFormat="1" ht="20.100000000000001" customHeight="1" x14ac:dyDescent="0.2">
      <c r="A81" s="68" t="s">
        <v>150</v>
      </c>
      <c r="B81" s="244" t="s">
        <v>151</v>
      </c>
      <c r="C81" s="265"/>
      <c r="D81" s="248">
        <v>99.5</v>
      </c>
      <c r="E81" s="56">
        <f t="shared" si="25"/>
        <v>0</v>
      </c>
      <c r="F81" s="267"/>
      <c r="G81" s="42"/>
      <c r="H81" s="43"/>
      <c r="I81" s="43"/>
      <c r="J81" s="59"/>
      <c r="K81" s="62">
        <f>G81+H81+I81+J81</f>
        <v>0</v>
      </c>
      <c r="L81" s="57">
        <f>D81*K81</f>
        <v>0</v>
      </c>
      <c r="M81" s="64">
        <f>F81-K81</f>
        <v>0</v>
      </c>
      <c r="N81" s="243" t="e">
        <f>K81/C81</f>
        <v>#DIV/0!</v>
      </c>
    </row>
    <row r="82" spans="1:15" s="6" customFormat="1" ht="20.100000000000001" customHeight="1" x14ac:dyDescent="0.2">
      <c r="A82" s="68">
        <v>4656</v>
      </c>
      <c r="B82" s="244" t="s">
        <v>152</v>
      </c>
      <c r="C82" s="265"/>
      <c r="D82" s="118">
        <v>99.5</v>
      </c>
      <c r="E82" s="56">
        <f t="shared" si="25"/>
        <v>0</v>
      </c>
      <c r="F82" s="267"/>
      <c r="G82" s="42"/>
      <c r="H82" s="43"/>
      <c r="I82" s="43"/>
      <c r="J82" s="59"/>
      <c r="K82" s="62">
        <f t="shared" si="26"/>
        <v>0</v>
      </c>
      <c r="L82" s="57">
        <f t="shared" si="27"/>
        <v>0</v>
      </c>
      <c r="M82" s="64">
        <f t="shared" si="28"/>
        <v>0</v>
      </c>
      <c r="N82" s="243" t="e">
        <f t="shared" si="29"/>
        <v>#DIV/0!</v>
      </c>
    </row>
    <row r="83" spans="1:15" s="6" customFormat="1" ht="20.100000000000001" customHeight="1" x14ac:dyDescent="0.2">
      <c r="A83" s="68"/>
      <c r="B83" s="247"/>
      <c r="C83" s="46"/>
      <c r="D83" s="96"/>
      <c r="E83" s="56">
        <f t="shared" si="25"/>
        <v>0</v>
      </c>
      <c r="F83" s="41"/>
      <c r="G83" s="42"/>
      <c r="H83" s="43"/>
      <c r="I83" s="43"/>
      <c r="J83" s="59"/>
      <c r="K83" s="62">
        <f t="shared" si="26"/>
        <v>0</v>
      </c>
      <c r="L83" s="57">
        <f t="shared" si="27"/>
        <v>0</v>
      </c>
      <c r="M83" s="64">
        <f t="shared" si="28"/>
        <v>0</v>
      </c>
      <c r="N83" s="243" t="e">
        <f t="shared" si="29"/>
        <v>#DIV/0!</v>
      </c>
    </row>
    <row r="84" spans="1:15" s="6" customFormat="1" ht="20.100000000000001" customHeight="1" x14ac:dyDescent="0.2">
      <c r="A84" s="270">
        <v>4717</v>
      </c>
      <c r="B84" s="269" t="s">
        <v>153</v>
      </c>
      <c r="C84" s="265"/>
      <c r="D84" s="271">
        <v>362</v>
      </c>
      <c r="E84" s="56">
        <f>D84*C84</f>
        <v>0</v>
      </c>
      <c r="F84" s="267"/>
      <c r="G84" s="42"/>
      <c r="H84" s="43"/>
      <c r="I84" s="43"/>
      <c r="J84" s="59"/>
      <c r="K84" s="62">
        <f>G84+H84+I84+J84</f>
        <v>0</v>
      </c>
      <c r="L84" s="57">
        <f>D84*K84</f>
        <v>0</v>
      </c>
      <c r="M84" s="64">
        <f>F84-K84</f>
        <v>0</v>
      </c>
      <c r="N84" s="243" t="e">
        <f>K84/C84</f>
        <v>#DIV/0!</v>
      </c>
    </row>
    <row r="85" spans="1:15" s="6" customFormat="1" ht="20.100000000000001" customHeight="1" x14ac:dyDescent="0.2">
      <c r="A85" s="275"/>
      <c r="B85" s="387"/>
      <c r="C85" s="46"/>
      <c r="D85" s="65"/>
      <c r="E85" s="56">
        <f t="shared" si="25"/>
        <v>0</v>
      </c>
      <c r="F85" s="41"/>
      <c r="G85" s="42"/>
      <c r="H85" s="43"/>
      <c r="I85" s="43"/>
      <c r="J85" s="59"/>
      <c r="K85" s="62">
        <f t="shared" si="26"/>
        <v>0</v>
      </c>
      <c r="L85" s="57">
        <f t="shared" si="27"/>
        <v>0</v>
      </c>
      <c r="M85" s="64">
        <f t="shared" si="28"/>
        <v>0</v>
      </c>
      <c r="N85" s="243" t="e">
        <f t="shared" si="29"/>
        <v>#DIV/0!</v>
      </c>
    </row>
    <row r="86" spans="1:15" s="6" customFormat="1" ht="20.100000000000001" customHeight="1" x14ac:dyDescent="0.2">
      <c r="A86" s="382">
        <v>4989</v>
      </c>
      <c r="B86" s="269" t="s">
        <v>399</v>
      </c>
      <c r="C86" s="265">
        <v>1</v>
      </c>
      <c r="D86" s="248">
        <v>8950</v>
      </c>
      <c r="E86" s="56">
        <f>D86*C86</f>
        <v>8950</v>
      </c>
      <c r="F86" s="267">
        <v>1</v>
      </c>
      <c r="G86" s="42">
        <v>1</v>
      </c>
      <c r="H86" s="43"/>
      <c r="I86" s="43"/>
      <c r="J86" s="59"/>
      <c r="K86" s="62">
        <f>G86+H86+I86+J86</f>
        <v>1</v>
      </c>
      <c r="L86" s="57">
        <f>D86*K86</f>
        <v>8950</v>
      </c>
      <c r="M86" s="64">
        <f>F86-K86</f>
        <v>0</v>
      </c>
      <c r="N86" s="243">
        <f>K86/C86</f>
        <v>1</v>
      </c>
    </row>
    <row r="87" spans="1:15" s="6" customFormat="1" ht="20.100000000000001" customHeight="1" x14ac:dyDescent="0.2">
      <c r="A87" s="276"/>
      <c r="B87" s="244"/>
      <c r="C87" s="46"/>
      <c r="D87" s="248"/>
      <c r="E87" s="56">
        <f>D87*C87</f>
        <v>0</v>
      </c>
      <c r="F87" s="267"/>
      <c r="G87" s="42"/>
      <c r="H87" s="43"/>
      <c r="I87" s="43"/>
      <c r="J87" s="59"/>
      <c r="K87" s="62">
        <f>G87+H87+I87+J87</f>
        <v>0</v>
      </c>
      <c r="L87" s="57">
        <f t="shared" ref="L87:L92" si="30">D87*K87</f>
        <v>0</v>
      </c>
      <c r="M87" s="64">
        <f t="shared" ref="M87:M92" si="31">F87-K87</f>
        <v>0</v>
      </c>
      <c r="N87" s="243" t="e">
        <f t="shared" ref="N87:N92" si="32">K87/C87</f>
        <v>#DIV/0!</v>
      </c>
    </row>
    <row r="88" spans="1:15" s="6" customFormat="1" ht="20.100000000000001" customHeight="1" x14ac:dyDescent="0.2">
      <c r="A88" s="426">
        <v>3791</v>
      </c>
      <c r="B88" s="45" t="s">
        <v>506</v>
      </c>
      <c r="C88" s="102"/>
      <c r="D88" s="427">
        <v>79</v>
      </c>
      <c r="E88" s="56">
        <f t="shared" si="25"/>
        <v>0</v>
      </c>
      <c r="F88" s="267">
        <v>61</v>
      </c>
      <c r="G88" s="42"/>
      <c r="H88" s="43"/>
      <c r="I88" s="43"/>
      <c r="J88" s="59">
        <v>61</v>
      </c>
      <c r="K88" s="62">
        <f t="shared" si="26"/>
        <v>61</v>
      </c>
      <c r="L88" s="57">
        <f t="shared" si="30"/>
        <v>4819</v>
      </c>
      <c r="M88" s="64">
        <f t="shared" si="31"/>
        <v>0</v>
      </c>
      <c r="N88" s="243" t="e">
        <f t="shared" si="32"/>
        <v>#DIV/0!</v>
      </c>
    </row>
    <row r="89" spans="1:15" s="6" customFormat="1" ht="20.100000000000001" customHeight="1" x14ac:dyDescent="0.2">
      <c r="A89" s="276"/>
      <c r="B89" s="244"/>
      <c r="C89" s="46"/>
      <c r="D89" s="248"/>
      <c r="E89" s="56">
        <f>D89*C89</f>
        <v>0</v>
      </c>
      <c r="F89" s="267"/>
      <c r="G89" s="42"/>
      <c r="H89" s="43"/>
      <c r="I89" s="43"/>
      <c r="J89" s="59"/>
      <c r="K89" s="62">
        <f>G89+H89+I89+J89</f>
        <v>0</v>
      </c>
      <c r="L89" s="57">
        <f>D89*K89</f>
        <v>0</v>
      </c>
      <c r="M89" s="64">
        <f>F89-K89</f>
        <v>0</v>
      </c>
      <c r="N89" s="243" t="e">
        <f>K89/C89</f>
        <v>#DIV/0!</v>
      </c>
    </row>
    <row r="90" spans="1:15" s="6" customFormat="1" ht="20.100000000000001" customHeight="1" x14ac:dyDescent="0.2">
      <c r="A90" s="274"/>
      <c r="B90" s="247"/>
      <c r="C90" s="46"/>
      <c r="D90" s="272"/>
      <c r="E90" s="56">
        <f t="shared" si="25"/>
        <v>0</v>
      </c>
      <c r="F90" s="267"/>
      <c r="G90" s="42"/>
      <c r="H90" s="43"/>
      <c r="I90" s="43"/>
      <c r="J90" s="59"/>
      <c r="K90" s="62">
        <f t="shared" si="26"/>
        <v>0</v>
      </c>
      <c r="L90" s="57">
        <f t="shared" si="30"/>
        <v>0</v>
      </c>
      <c r="M90" s="64">
        <f t="shared" si="31"/>
        <v>0</v>
      </c>
      <c r="N90" s="243" t="e">
        <f t="shared" si="32"/>
        <v>#DIV/0!</v>
      </c>
    </row>
    <row r="91" spans="1:15" s="6" customFormat="1" ht="20.100000000000001" customHeight="1" x14ac:dyDescent="0.2">
      <c r="A91" s="274"/>
      <c r="B91" s="247"/>
      <c r="C91" s="46"/>
      <c r="D91" s="272"/>
      <c r="E91" s="56">
        <f t="shared" si="25"/>
        <v>0</v>
      </c>
      <c r="F91" s="267"/>
      <c r="G91" s="42"/>
      <c r="H91" s="43"/>
      <c r="I91" s="43"/>
      <c r="J91" s="59"/>
      <c r="K91" s="62">
        <f t="shared" si="26"/>
        <v>0</v>
      </c>
      <c r="L91" s="57">
        <f t="shared" si="30"/>
        <v>0</v>
      </c>
      <c r="M91" s="64">
        <f t="shared" si="31"/>
        <v>0</v>
      </c>
      <c r="N91" s="243" t="e">
        <f t="shared" si="32"/>
        <v>#DIV/0!</v>
      </c>
    </row>
    <row r="92" spans="1:15" s="6" customFormat="1" ht="20.100000000000001" customHeight="1" x14ac:dyDescent="0.3">
      <c r="A92" s="273"/>
      <c r="B92" s="88" t="s">
        <v>131</v>
      </c>
      <c r="C92" s="46"/>
      <c r="D92" s="65"/>
      <c r="E92" s="56">
        <f t="shared" si="25"/>
        <v>0</v>
      </c>
      <c r="F92" s="41"/>
      <c r="G92" s="42"/>
      <c r="H92" s="43"/>
      <c r="I92" s="43"/>
      <c r="J92" s="59"/>
      <c r="K92" s="62">
        <f t="shared" si="26"/>
        <v>0</v>
      </c>
      <c r="L92" s="57">
        <f t="shared" si="30"/>
        <v>0</v>
      </c>
      <c r="M92" s="64">
        <f t="shared" si="31"/>
        <v>0</v>
      </c>
      <c r="N92" s="243" t="e">
        <f t="shared" si="32"/>
        <v>#DIV/0!</v>
      </c>
    </row>
    <row r="93" spans="1:15" s="6" customFormat="1" ht="20.100000000000001" customHeight="1" x14ac:dyDescent="0.2">
      <c r="A93" s="68"/>
      <c r="B93" s="85" t="s">
        <v>31</v>
      </c>
      <c r="C93" s="103">
        <v>31</v>
      </c>
      <c r="D93" s="93">
        <v>1500</v>
      </c>
      <c r="E93" s="56">
        <f t="shared" si="25"/>
        <v>46500</v>
      </c>
      <c r="F93" s="41">
        <v>31</v>
      </c>
      <c r="G93" s="42">
        <v>6</v>
      </c>
      <c r="H93" s="43">
        <v>6</v>
      </c>
      <c r="I93" s="43">
        <v>9</v>
      </c>
      <c r="J93" s="59">
        <f>4+6</f>
        <v>10</v>
      </c>
      <c r="K93" s="62">
        <f t="shared" si="26"/>
        <v>31</v>
      </c>
      <c r="L93" s="57">
        <f t="shared" si="27"/>
        <v>46500</v>
      </c>
      <c r="M93" s="64">
        <f t="shared" si="28"/>
        <v>0</v>
      </c>
      <c r="N93" s="243">
        <f t="shared" si="29"/>
        <v>1</v>
      </c>
    </row>
    <row r="94" spans="1:15" s="6" customFormat="1" ht="20.100000000000001" customHeight="1" x14ac:dyDescent="0.2">
      <c r="A94" s="68"/>
      <c r="B94" s="88" t="s">
        <v>29</v>
      </c>
      <c r="C94" s="103">
        <v>4</v>
      </c>
      <c r="D94" s="97">
        <v>600</v>
      </c>
      <c r="E94" s="56">
        <f t="shared" si="25"/>
        <v>2400</v>
      </c>
      <c r="F94" s="41">
        <v>4</v>
      </c>
      <c r="G94" s="42">
        <v>4</v>
      </c>
      <c r="H94" s="43"/>
      <c r="I94" s="43"/>
      <c r="J94" s="59"/>
      <c r="K94" s="62">
        <f t="shared" si="26"/>
        <v>4</v>
      </c>
      <c r="L94" s="57">
        <f>D94*K94</f>
        <v>2400</v>
      </c>
      <c r="M94" s="64">
        <f t="shared" si="28"/>
        <v>0</v>
      </c>
      <c r="N94" s="243">
        <f>K94/C94</f>
        <v>1</v>
      </c>
      <c r="O94" s="86"/>
    </row>
    <row r="95" spans="1:15" s="6" customFormat="1" ht="19.5" customHeight="1" x14ac:dyDescent="0.2">
      <c r="A95" s="68"/>
      <c r="B95" s="89"/>
      <c r="C95" s="103"/>
      <c r="D95" s="98"/>
      <c r="E95" s="56">
        <f t="shared" si="25"/>
        <v>0</v>
      </c>
      <c r="F95" s="41"/>
      <c r="G95" s="42"/>
      <c r="H95" s="43"/>
      <c r="I95" s="43"/>
      <c r="J95" s="59"/>
      <c r="K95" s="62">
        <f t="shared" si="26"/>
        <v>0</v>
      </c>
      <c r="L95" s="57">
        <f>D95*K95</f>
        <v>0</v>
      </c>
      <c r="M95" s="64">
        <f t="shared" si="28"/>
        <v>0</v>
      </c>
      <c r="N95" s="243" t="e">
        <f>K95/C95</f>
        <v>#DIV/0!</v>
      </c>
      <c r="O95" s="86"/>
    </row>
    <row r="96" spans="1:15" s="6" customFormat="1" ht="20.100000000000001" customHeight="1" thickBot="1" x14ac:dyDescent="0.25">
      <c r="A96" s="68"/>
      <c r="B96" s="39" t="s">
        <v>18</v>
      </c>
      <c r="C96" s="104">
        <v>1</v>
      </c>
      <c r="D96" s="94">
        <v>1695</v>
      </c>
      <c r="E96" s="56">
        <f t="shared" si="25"/>
        <v>1695</v>
      </c>
      <c r="F96" s="41">
        <v>1</v>
      </c>
      <c r="G96" s="42"/>
      <c r="H96" s="43"/>
      <c r="I96" s="43"/>
      <c r="J96" s="59">
        <v>1</v>
      </c>
      <c r="K96" s="62">
        <f t="shared" si="26"/>
        <v>1</v>
      </c>
      <c r="L96" s="57">
        <f>D96*K96</f>
        <v>1695</v>
      </c>
      <c r="M96" s="64">
        <f t="shared" si="28"/>
        <v>0</v>
      </c>
      <c r="N96" s="243">
        <f t="shared" si="29"/>
        <v>1</v>
      </c>
    </row>
    <row r="97" spans="1:14" s="6" customFormat="1" ht="20.100000000000001" customHeight="1" thickBot="1" x14ac:dyDescent="0.25">
      <c r="A97" s="84"/>
      <c r="B97" s="84"/>
      <c r="C97" s="84"/>
      <c r="D97" s="84"/>
      <c r="E97" s="84">
        <f>D97*C97</f>
        <v>0</v>
      </c>
      <c r="F97" s="18">
        <f>G97+H97+I97+J97</f>
        <v>0</v>
      </c>
      <c r="G97" s="20"/>
      <c r="H97" s="20"/>
      <c r="I97" s="20"/>
      <c r="J97" s="20"/>
      <c r="K97" s="18">
        <f>D97*F97</f>
        <v>0</v>
      </c>
      <c r="L97" s="72"/>
      <c r="M97" s="73"/>
    </row>
    <row r="98" spans="1:14" s="6" customFormat="1" ht="20.100000000000001" customHeight="1" thickBot="1" x14ac:dyDescent="0.3">
      <c r="A98" s="12"/>
      <c r="B98" s="574" t="s">
        <v>19</v>
      </c>
      <c r="C98" s="575"/>
      <c r="D98" s="576"/>
      <c r="E98" s="66">
        <f>SUM(E7:E96)</f>
        <v>2437995.9300000002</v>
      </c>
      <c r="F98" s="562" t="s">
        <v>28</v>
      </c>
      <c r="G98" s="563"/>
      <c r="H98" s="563"/>
      <c r="I98" s="563"/>
      <c r="J98" s="563"/>
      <c r="K98" s="564"/>
      <c r="L98" s="25">
        <f>SUM(L7:L97)</f>
        <v>2257906.75</v>
      </c>
      <c r="M98" s="25"/>
      <c r="N98" s="119">
        <f>L98/E98</f>
        <v>0.92613228849811902</v>
      </c>
    </row>
    <row r="99" spans="1:14" s="6" customFormat="1" ht="20.100000000000001" customHeight="1" thickBot="1" x14ac:dyDescent="0.3">
      <c r="A99" s="13"/>
      <c r="B99" s="559" t="s">
        <v>20</v>
      </c>
      <c r="C99" s="560"/>
      <c r="D99" s="561"/>
      <c r="E99" s="66">
        <f>'февраль 2019'!F234</f>
        <v>4702928</v>
      </c>
      <c r="F99" s="562" t="s">
        <v>28</v>
      </c>
      <c r="G99" s="563"/>
      <c r="H99" s="563"/>
      <c r="I99" s="563"/>
      <c r="J99" s="563"/>
      <c r="K99" s="564"/>
      <c r="L99" s="25">
        <f>'февраль 2019'!L234</f>
        <v>4335470.8</v>
      </c>
      <c r="M99" s="25"/>
      <c r="N99" s="119">
        <f>L99/E99</f>
        <v>0.92186629265853104</v>
      </c>
    </row>
    <row r="100" spans="1:14" s="6" customFormat="1" ht="20.100000000000001" customHeight="1" thickBot="1" x14ac:dyDescent="0.35">
      <c r="A100" s="10"/>
      <c r="B100" s="565" t="s">
        <v>21</v>
      </c>
      <c r="C100" s="566"/>
      <c r="D100" s="567"/>
      <c r="E100" s="67">
        <f>SUM(E98:E99)</f>
        <v>7140923.9299999997</v>
      </c>
      <c r="F100" s="562" t="s">
        <v>28</v>
      </c>
      <c r="G100" s="563"/>
      <c r="H100" s="563"/>
      <c r="I100" s="563"/>
      <c r="J100" s="563"/>
      <c r="K100" s="564"/>
      <c r="L100" s="71">
        <f>SUM(L98:L99)</f>
        <v>6593377.5499999998</v>
      </c>
      <c r="M100" s="53"/>
      <c r="N100" s="119">
        <f>L100/E100</f>
        <v>0.92332275411873765</v>
      </c>
    </row>
    <row r="101" spans="1:14" s="6" customFormat="1" ht="20.100000000000001" customHeight="1" x14ac:dyDescent="0.2">
      <c r="A101" s="10"/>
      <c r="B101" s="10"/>
      <c r="C101" s="10"/>
      <c r="D101" s="10"/>
      <c r="E101" s="10"/>
      <c r="F101" s="13"/>
      <c r="G101" s="13"/>
      <c r="H101" s="13"/>
      <c r="I101" s="13" t="s">
        <v>25</v>
      </c>
      <c r="J101" s="13"/>
      <c r="K101" s="13"/>
      <c r="L101" s="240"/>
      <c r="M101" s="51"/>
      <c r="N101" s="23"/>
    </row>
    <row r="102" spans="1:14" s="6" customFormat="1" ht="20.100000000000001" customHeight="1" thickBot="1" x14ac:dyDescent="0.25">
      <c r="A102" s="10"/>
      <c r="B102" s="10"/>
      <c r="C102" s="14"/>
      <c r="D102" s="10"/>
      <c r="E102" s="10"/>
      <c r="F102" s="14"/>
      <c r="G102" s="14"/>
      <c r="H102" s="14"/>
      <c r="I102" s="26" t="s">
        <v>27</v>
      </c>
      <c r="J102" s="14"/>
      <c r="K102" s="14"/>
      <c r="L102" s="87"/>
      <c r="M102" s="52"/>
      <c r="N102" s="23"/>
    </row>
    <row r="103" spans="1:14" s="6" customFormat="1" ht="20.100000000000001" customHeight="1" thickBot="1" x14ac:dyDescent="0.25">
      <c r="A103" s="10"/>
      <c r="B103" s="10"/>
      <c r="C103" s="10"/>
      <c r="D103" s="10"/>
      <c r="E103" s="10"/>
      <c r="F103" s="13"/>
      <c r="G103" s="13"/>
      <c r="H103" s="13"/>
      <c r="I103" s="31" t="s">
        <v>26</v>
      </c>
      <c r="J103" s="13"/>
      <c r="K103" s="13"/>
      <c r="L103" s="71">
        <f>L100+L101+L102</f>
        <v>6593377.5499999998</v>
      </c>
      <c r="M103" s="63"/>
      <c r="N103" s="23"/>
    </row>
    <row r="104" spans="1:14" s="6" customFormat="1" ht="20.100000000000001" customHeight="1" x14ac:dyDescent="0.2">
      <c r="A104" s="15"/>
      <c r="B104" s="11"/>
      <c r="C104" s="15"/>
      <c r="D104" s="236" t="s">
        <v>24</v>
      </c>
      <c r="E104" s="17"/>
      <c r="F104" s="19"/>
      <c r="G104" s="21"/>
      <c r="H104" s="13"/>
      <c r="I104" s="13"/>
      <c r="J104" s="13"/>
      <c r="K104" s="13"/>
      <c r="L104" s="23"/>
    </row>
    <row r="105" spans="1:14" s="6" customFormat="1" ht="20.100000000000001" customHeight="1" x14ac:dyDescent="0.2">
      <c r="A105" s="10"/>
      <c r="B105" s="10"/>
      <c r="C105" s="10"/>
      <c r="D105" s="10"/>
      <c r="E105" s="10"/>
      <c r="F105" s="13"/>
      <c r="G105" s="13"/>
      <c r="H105" s="13"/>
      <c r="I105" s="13"/>
      <c r="J105" s="13"/>
      <c r="K105" s="13"/>
    </row>
    <row r="106" spans="1:14" s="6" customFormat="1" ht="20.100000000000001" customHeight="1" x14ac:dyDescent="0.2">
      <c r="A106" s="10"/>
      <c r="B106" s="10"/>
      <c r="C106" s="255">
        <v>1000</v>
      </c>
      <c r="D106" s="254" t="s">
        <v>140</v>
      </c>
      <c r="E106" s="251"/>
      <c r="F106" s="13"/>
      <c r="G106" s="13"/>
      <c r="H106" s="13"/>
      <c r="I106" s="13"/>
      <c r="J106" s="13"/>
      <c r="K106" s="13"/>
    </row>
    <row r="107" spans="1:14" s="6" customFormat="1" ht="20.100000000000001" customHeight="1" x14ac:dyDescent="0.2">
      <c r="A107" s="10"/>
      <c r="B107" s="10"/>
      <c r="C107" s="10"/>
      <c r="D107" s="10"/>
      <c r="E107" s="10"/>
      <c r="F107" s="13"/>
      <c r="G107" s="13"/>
      <c r="H107" s="13"/>
      <c r="I107" s="13"/>
      <c r="K107" s="13"/>
      <c r="L107" s="24"/>
    </row>
    <row r="108" spans="1:14" s="6" customFormat="1" ht="20.100000000000001" customHeight="1" x14ac:dyDescent="0.2">
      <c r="A108" s="10"/>
      <c r="B108" s="10"/>
      <c r="C108" s="10"/>
      <c r="D108" s="10"/>
      <c r="E108" s="10"/>
      <c r="F108" s="13"/>
      <c r="G108" s="13"/>
      <c r="H108" s="13"/>
      <c r="I108" s="13"/>
      <c r="J108" s="13"/>
      <c r="K108" s="13"/>
      <c r="L108" s="23"/>
    </row>
    <row r="109" spans="1:14" s="6" customFormat="1" ht="20.100000000000001" customHeight="1" x14ac:dyDescent="0.2">
      <c r="A109" s="10"/>
      <c r="B109" s="10"/>
      <c r="C109" s="10"/>
      <c r="D109" s="10"/>
      <c r="E109" s="10"/>
      <c r="F109" s="13"/>
      <c r="G109" s="13"/>
      <c r="H109" s="13"/>
      <c r="I109" s="13"/>
      <c r="J109" s="13"/>
      <c r="K109" s="13"/>
      <c r="L109" s="23"/>
    </row>
    <row r="110" spans="1:14" s="6" customFormat="1" ht="20.100000000000001" customHeight="1" x14ac:dyDescent="0.2">
      <c r="A110" s="10"/>
      <c r="B110" s="10"/>
      <c r="C110" s="10"/>
      <c r="D110" s="10"/>
      <c r="E110" s="10"/>
      <c r="F110" s="13"/>
      <c r="G110" s="13"/>
      <c r="H110" s="13"/>
      <c r="I110" s="13"/>
      <c r="J110" s="13"/>
      <c r="K110" s="13"/>
      <c r="L110" s="23"/>
    </row>
    <row r="111" spans="1:14" s="6" customFormat="1" ht="15" customHeight="1" x14ac:dyDescent="0.2">
      <c r="A111" s="10"/>
      <c r="B111" s="10"/>
      <c r="C111" s="10"/>
      <c r="D111" s="10"/>
      <c r="E111" s="10"/>
      <c r="F111" s="13"/>
      <c r="G111" s="13"/>
      <c r="H111" s="13"/>
      <c r="I111" s="13"/>
      <c r="J111" s="13"/>
      <c r="K111" s="13"/>
      <c r="L111" s="23"/>
    </row>
    <row r="112" spans="1:14" s="6" customFormat="1" ht="15" customHeight="1" x14ac:dyDescent="0.2">
      <c r="A112" s="10"/>
      <c r="B112" s="10"/>
      <c r="C112" s="10"/>
      <c r="D112" s="10"/>
      <c r="E112" s="10"/>
      <c r="F112" s="13"/>
      <c r="G112" s="13"/>
      <c r="H112" s="13"/>
      <c r="I112" s="13"/>
      <c r="J112" s="13"/>
      <c r="K112" s="13"/>
      <c r="L112" s="13"/>
    </row>
    <row r="113" spans="1:16" s="7" customFormat="1" ht="15" customHeight="1" x14ac:dyDescent="0.2">
      <c r="A113" s="10"/>
      <c r="B113" s="10"/>
      <c r="C113" s="10"/>
      <c r="D113" s="10"/>
      <c r="E113" s="10"/>
      <c r="F113" s="13"/>
      <c r="G113" s="13"/>
      <c r="H113" s="13"/>
      <c r="I113" s="13"/>
      <c r="J113" s="13"/>
      <c r="K113" s="13"/>
      <c r="L113" s="10"/>
    </row>
    <row r="114" spans="1:16" s="8" customFormat="1" ht="15" customHeight="1" x14ac:dyDescent="0.2">
      <c r="A114" s="10"/>
      <c r="B114" s="10"/>
      <c r="C114" s="10"/>
      <c r="D114" s="10"/>
      <c r="E114" s="10"/>
      <c r="F114" s="13"/>
      <c r="G114" s="13"/>
      <c r="H114" s="13"/>
      <c r="I114" s="13"/>
      <c r="J114" s="13"/>
      <c r="K114" s="13"/>
      <c r="L114" s="10"/>
    </row>
    <row r="115" spans="1:16" s="8" customFormat="1" ht="15" customHeight="1" x14ac:dyDescent="0.2">
      <c r="A115" s="10"/>
      <c r="B115" s="10"/>
      <c r="C115" s="10"/>
      <c r="D115" s="10"/>
      <c r="E115" s="10"/>
      <c r="F115" s="13"/>
      <c r="G115" s="13"/>
      <c r="H115" s="13"/>
      <c r="I115" s="13"/>
      <c r="J115" s="13"/>
      <c r="K115" s="13"/>
      <c r="L115" s="9"/>
    </row>
    <row r="116" spans="1:16" ht="15" customHeight="1" x14ac:dyDescent="0.25">
      <c r="A116" s="10"/>
      <c r="B116" s="10"/>
      <c r="C116" s="10"/>
      <c r="D116" s="10"/>
      <c r="E116" s="10"/>
      <c r="F116" s="13"/>
      <c r="G116" s="13"/>
      <c r="H116" s="13"/>
      <c r="I116" s="13"/>
      <c r="J116" s="13"/>
      <c r="K116" s="13"/>
    </row>
    <row r="117" spans="1:16" s="9" customFormat="1" ht="15" customHeight="1" x14ac:dyDescent="0.25">
      <c r="A117" s="10"/>
      <c r="B117" s="10"/>
      <c r="C117" s="10"/>
      <c r="D117" s="10"/>
      <c r="E117" s="10"/>
      <c r="F117" s="13"/>
      <c r="G117" s="13"/>
      <c r="H117" s="13"/>
      <c r="I117" s="13"/>
      <c r="J117" s="13"/>
      <c r="K117" s="13"/>
      <c r="M117" s="4"/>
      <c r="N117" s="4"/>
      <c r="O117" s="5"/>
      <c r="P117" s="5"/>
    </row>
    <row r="118" spans="1:16" s="9" customFormat="1" ht="15" customHeight="1" x14ac:dyDescent="0.25">
      <c r="A118" s="10"/>
      <c r="B118" s="10"/>
      <c r="C118" s="10"/>
      <c r="D118" s="10"/>
      <c r="E118" s="10"/>
      <c r="F118" s="13"/>
      <c r="G118" s="13"/>
      <c r="H118" s="13"/>
      <c r="I118" s="13"/>
      <c r="J118" s="13"/>
      <c r="K118" s="13"/>
      <c r="M118" s="4"/>
      <c r="N118" s="4"/>
      <c r="O118" s="5"/>
      <c r="P118" s="5"/>
    </row>
    <row r="119" spans="1:16" s="9" customFormat="1" ht="15" customHeight="1" x14ac:dyDescent="0.25">
      <c r="A119" s="10"/>
      <c r="B119" s="10"/>
      <c r="C119" s="10"/>
      <c r="D119" s="10"/>
      <c r="E119" s="10"/>
      <c r="F119" s="13"/>
      <c r="G119" s="13"/>
      <c r="H119" s="13"/>
      <c r="I119" s="13"/>
      <c r="J119" s="13"/>
      <c r="K119" s="13"/>
      <c r="M119" s="4"/>
      <c r="N119" s="4"/>
      <c r="O119" s="5"/>
      <c r="P119" s="5"/>
    </row>
    <row r="120" spans="1:16" s="9" customFormat="1" ht="15" customHeight="1" x14ac:dyDescent="0.25">
      <c r="A120" s="10"/>
      <c r="B120" s="10"/>
      <c r="C120" s="10"/>
      <c r="D120" s="10"/>
      <c r="E120" s="10"/>
      <c r="F120" s="13"/>
      <c r="G120" s="13"/>
      <c r="H120" s="13"/>
      <c r="I120" s="13"/>
      <c r="J120" s="13"/>
      <c r="K120" s="13"/>
      <c r="M120" s="4"/>
      <c r="N120" s="4"/>
      <c r="O120" s="5"/>
      <c r="P120" s="5"/>
    </row>
    <row r="121" spans="1:16" s="9" customFormat="1" ht="15" customHeight="1" x14ac:dyDescent="0.25">
      <c r="A121" s="10"/>
      <c r="B121" s="10"/>
      <c r="C121" s="10"/>
      <c r="D121" s="10"/>
      <c r="E121" s="10"/>
      <c r="F121" s="13"/>
      <c r="G121" s="13"/>
      <c r="H121" s="13"/>
      <c r="I121" s="13"/>
      <c r="J121" s="13"/>
      <c r="K121" s="13"/>
      <c r="M121" s="4"/>
      <c r="N121" s="4"/>
      <c r="O121" s="5"/>
      <c r="P121" s="5"/>
    </row>
    <row r="122" spans="1:16" s="9" customFormat="1" ht="15" customHeight="1" x14ac:dyDescent="0.25">
      <c r="A122" s="10"/>
      <c r="B122" s="10"/>
      <c r="C122" s="10"/>
      <c r="D122" s="10"/>
      <c r="E122" s="10"/>
      <c r="F122" s="13"/>
      <c r="G122" s="13"/>
      <c r="H122" s="13"/>
      <c r="I122" s="13"/>
      <c r="J122" s="13"/>
      <c r="K122" s="13"/>
      <c r="M122" s="4"/>
      <c r="N122" s="4"/>
      <c r="O122" s="5"/>
      <c r="P122" s="5"/>
    </row>
    <row r="123" spans="1:16" s="9" customFormat="1" ht="15" customHeight="1" x14ac:dyDescent="0.25">
      <c r="A123" s="10"/>
      <c r="B123" s="10"/>
      <c r="C123" s="10"/>
      <c r="D123" s="10"/>
      <c r="E123" s="10"/>
      <c r="F123" s="13"/>
      <c r="G123" s="13"/>
      <c r="H123" s="13"/>
      <c r="I123" s="13"/>
      <c r="J123" s="13"/>
      <c r="K123" s="13"/>
      <c r="M123" s="4"/>
      <c r="N123" s="4"/>
      <c r="O123" s="5"/>
      <c r="P123" s="5"/>
    </row>
    <row r="124" spans="1:16" s="9" customFormat="1" ht="15" customHeight="1" x14ac:dyDescent="0.25">
      <c r="A124" s="10"/>
      <c r="B124" s="10"/>
      <c r="C124" s="10"/>
      <c r="D124" s="10"/>
      <c r="E124" s="10"/>
      <c r="F124" s="13"/>
      <c r="G124" s="13"/>
      <c r="H124" s="13"/>
      <c r="I124" s="13"/>
      <c r="J124" s="13"/>
      <c r="K124" s="13"/>
      <c r="M124" s="4"/>
      <c r="N124" s="4"/>
      <c r="O124" s="5"/>
      <c r="P124" s="5"/>
    </row>
    <row r="125" spans="1:16" s="9" customFormat="1" ht="15" customHeight="1" x14ac:dyDescent="0.25">
      <c r="A125" s="10"/>
      <c r="B125" s="10"/>
      <c r="C125" s="10"/>
      <c r="D125" s="10"/>
      <c r="E125" s="10"/>
      <c r="F125" s="13"/>
      <c r="G125" s="13"/>
      <c r="H125" s="13"/>
      <c r="I125" s="13"/>
      <c r="J125" s="13"/>
      <c r="K125" s="13"/>
      <c r="M125" s="4"/>
      <c r="N125" s="4"/>
      <c r="O125" s="5"/>
      <c r="P125" s="5"/>
    </row>
    <row r="126" spans="1:16" s="9" customFormat="1" ht="15" customHeight="1" x14ac:dyDescent="0.25">
      <c r="A126" s="10"/>
      <c r="B126" s="10"/>
      <c r="C126" s="10"/>
      <c r="D126" s="10"/>
      <c r="E126" s="10"/>
      <c r="F126" s="13"/>
      <c r="G126" s="13"/>
      <c r="H126" s="13"/>
      <c r="I126" s="13"/>
      <c r="J126" s="13"/>
      <c r="K126" s="13"/>
      <c r="M126" s="4"/>
      <c r="N126" s="4"/>
      <c r="O126" s="5"/>
      <c r="P126" s="5"/>
    </row>
    <row r="127" spans="1:16" s="9" customFormat="1" ht="15" customHeight="1" x14ac:dyDescent="0.25">
      <c r="A127" s="10"/>
      <c r="B127" s="10"/>
      <c r="C127" s="10"/>
      <c r="D127" s="10"/>
      <c r="E127" s="10"/>
      <c r="F127" s="13"/>
      <c r="G127" s="13"/>
      <c r="H127" s="13"/>
      <c r="I127" s="13"/>
      <c r="J127" s="13"/>
      <c r="K127" s="13"/>
      <c r="M127" s="4"/>
      <c r="N127" s="4"/>
      <c r="O127" s="5"/>
      <c r="P127" s="5"/>
    </row>
    <row r="128" spans="1:16" s="9" customFormat="1" ht="15" customHeight="1" x14ac:dyDescent="0.25">
      <c r="A128" s="10"/>
      <c r="B128" s="10"/>
      <c r="C128" s="10"/>
      <c r="D128" s="10"/>
      <c r="E128" s="10"/>
      <c r="F128" s="13"/>
      <c r="G128" s="13"/>
      <c r="H128" s="13"/>
      <c r="I128" s="13"/>
      <c r="J128" s="13"/>
      <c r="K128" s="13"/>
      <c r="M128" s="4"/>
      <c r="N128" s="4"/>
      <c r="O128" s="5"/>
      <c r="P128" s="5"/>
    </row>
    <row r="129" spans="1:16" s="9" customFormat="1" ht="15" customHeight="1" x14ac:dyDescent="0.25">
      <c r="A129" s="10"/>
      <c r="B129" s="10"/>
      <c r="C129" s="10"/>
      <c r="D129" s="10"/>
      <c r="E129" s="10"/>
      <c r="F129" s="13"/>
      <c r="G129" s="13"/>
      <c r="H129" s="13"/>
      <c r="I129" s="13"/>
      <c r="J129" s="13"/>
      <c r="K129" s="13"/>
      <c r="M129" s="4"/>
      <c r="N129" s="4"/>
      <c r="O129" s="5"/>
      <c r="P129" s="5"/>
    </row>
    <row r="130" spans="1:16" s="9" customFormat="1" ht="15" customHeight="1" x14ac:dyDescent="0.25">
      <c r="A130" s="10"/>
      <c r="B130" s="10"/>
      <c r="C130" s="10"/>
      <c r="D130" s="10"/>
      <c r="E130" s="10"/>
      <c r="F130" s="13"/>
      <c r="G130" s="13"/>
      <c r="H130" s="13"/>
      <c r="I130" s="13"/>
      <c r="J130" s="13"/>
      <c r="K130" s="13"/>
      <c r="M130" s="4"/>
      <c r="N130" s="4"/>
      <c r="O130" s="5"/>
      <c r="P130" s="5"/>
    </row>
    <row r="131" spans="1:16" s="9" customFormat="1" ht="15" customHeight="1" x14ac:dyDescent="0.25">
      <c r="A131" s="10"/>
      <c r="B131" s="10"/>
      <c r="C131" s="10"/>
      <c r="D131" s="10"/>
      <c r="E131" s="10"/>
      <c r="F131" s="13"/>
      <c r="G131" s="13"/>
      <c r="H131" s="13"/>
      <c r="I131" s="13"/>
      <c r="J131" s="13"/>
      <c r="K131" s="13"/>
      <c r="M131" s="4"/>
      <c r="N131" s="4"/>
      <c r="O131" s="5"/>
      <c r="P131" s="5"/>
    </row>
    <row r="132" spans="1:16" s="9" customFormat="1" ht="15" customHeight="1" x14ac:dyDescent="0.25">
      <c r="A132" s="10"/>
      <c r="B132" s="10"/>
      <c r="C132" s="10"/>
      <c r="D132" s="10"/>
      <c r="E132" s="10"/>
      <c r="F132" s="13"/>
      <c r="G132" s="13"/>
      <c r="H132" s="13"/>
      <c r="I132" s="13"/>
      <c r="J132" s="13"/>
      <c r="K132" s="13"/>
      <c r="M132" s="4"/>
      <c r="N132" s="4"/>
      <c r="O132" s="5"/>
      <c r="P132" s="5"/>
    </row>
    <row r="133" spans="1:16" s="9" customFormat="1" ht="15" customHeight="1" x14ac:dyDescent="0.25">
      <c r="A133" s="10"/>
      <c r="B133" s="10"/>
      <c r="C133" s="10"/>
      <c r="D133" s="10"/>
      <c r="E133" s="10"/>
      <c r="F133" s="13"/>
      <c r="G133" s="13"/>
      <c r="H133" s="13"/>
      <c r="I133" s="13"/>
      <c r="J133" s="13"/>
      <c r="K133" s="13"/>
      <c r="M133" s="4"/>
      <c r="N133" s="4"/>
      <c r="O133" s="5"/>
      <c r="P133" s="5"/>
    </row>
    <row r="134" spans="1:16" s="9" customFormat="1" ht="15" customHeight="1" x14ac:dyDescent="0.25">
      <c r="A134" s="10"/>
      <c r="B134" s="10"/>
      <c r="C134" s="10"/>
      <c r="D134" s="10"/>
      <c r="E134" s="10"/>
      <c r="F134" s="13"/>
      <c r="G134" s="13"/>
      <c r="H134" s="13"/>
      <c r="I134" s="13"/>
      <c r="J134" s="13"/>
      <c r="K134" s="13"/>
      <c r="M134" s="4"/>
      <c r="N134" s="4"/>
      <c r="O134" s="5"/>
      <c r="P134" s="5"/>
    </row>
    <row r="135" spans="1:16" s="9" customFormat="1" ht="15" customHeight="1" x14ac:dyDescent="0.25">
      <c r="A135" s="10"/>
      <c r="B135" s="10"/>
      <c r="C135" s="10"/>
      <c r="D135" s="10"/>
      <c r="E135" s="10"/>
      <c r="F135" s="13"/>
      <c r="G135" s="13"/>
      <c r="H135" s="13"/>
      <c r="I135" s="13"/>
      <c r="J135" s="13"/>
      <c r="K135" s="13"/>
      <c r="M135" s="4"/>
      <c r="N135" s="4"/>
      <c r="O135" s="5"/>
      <c r="P135" s="5"/>
    </row>
    <row r="136" spans="1:16" s="9" customFormat="1" ht="15" customHeight="1" x14ac:dyDescent="0.25">
      <c r="A136" s="10"/>
      <c r="B136" s="10"/>
      <c r="C136" s="10"/>
      <c r="D136" s="10"/>
      <c r="E136" s="10"/>
      <c r="F136" s="13"/>
      <c r="G136" s="13"/>
      <c r="H136" s="13"/>
      <c r="I136" s="13"/>
      <c r="J136" s="13"/>
      <c r="K136" s="13"/>
      <c r="M136" s="4"/>
      <c r="N136" s="4"/>
      <c r="O136" s="5"/>
      <c r="P136" s="5"/>
    </row>
    <row r="137" spans="1:16" s="9" customFormat="1" ht="15" customHeight="1" x14ac:dyDescent="0.25">
      <c r="A137" s="10"/>
      <c r="B137" s="10"/>
      <c r="C137" s="10"/>
      <c r="D137" s="10"/>
      <c r="E137" s="10"/>
      <c r="F137" s="13"/>
      <c r="G137" s="13"/>
      <c r="H137" s="13"/>
      <c r="I137" s="13"/>
      <c r="J137" s="13"/>
      <c r="K137" s="13"/>
      <c r="M137" s="4"/>
      <c r="N137" s="4"/>
      <c r="O137" s="5"/>
      <c r="P137" s="5"/>
    </row>
    <row r="138" spans="1:16" s="9" customFormat="1" ht="15" customHeight="1" x14ac:dyDescent="0.25">
      <c r="A138" s="10"/>
      <c r="B138" s="10"/>
      <c r="C138" s="10"/>
      <c r="D138" s="10"/>
      <c r="E138" s="10"/>
      <c r="F138" s="13"/>
      <c r="G138" s="13"/>
      <c r="H138" s="13"/>
      <c r="I138" s="13"/>
      <c r="J138" s="13"/>
      <c r="K138" s="13"/>
      <c r="M138" s="4"/>
      <c r="N138" s="4"/>
      <c r="O138" s="5"/>
      <c r="P138" s="5"/>
    </row>
    <row r="139" spans="1:16" s="9" customFormat="1" ht="15" customHeight="1" x14ac:dyDescent="0.25">
      <c r="A139" s="10"/>
      <c r="B139" s="10"/>
      <c r="C139" s="10"/>
      <c r="D139" s="10"/>
      <c r="E139" s="10"/>
      <c r="F139" s="13"/>
      <c r="G139" s="13"/>
      <c r="H139" s="13"/>
      <c r="I139" s="13"/>
      <c r="J139" s="13"/>
      <c r="K139" s="13"/>
      <c r="M139" s="4"/>
      <c r="N139" s="4"/>
      <c r="O139" s="5"/>
      <c r="P139" s="5"/>
    </row>
    <row r="140" spans="1:16" s="9" customFormat="1" ht="15" customHeight="1" x14ac:dyDescent="0.25">
      <c r="A140" s="10"/>
      <c r="B140" s="10"/>
      <c r="C140" s="10"/>
      <c r="D140" s="10"/>
      <c r="E140" s="10"/>
      <c r="F140" s="13"/>
      <c r="G140" s="13"/>
      <c r="H140" s="13"/>
      <c r="I140" s="13"/>
      <c r="J140" s="13"/>
      <c r="K140" s="13"/>
      <c r="M140" s="4"/>
      <c r="N140" s="4"/>
      <c r="O140" s="5"/>
      <c r="P140" s="5"/>
    </row>
    <row r="141" spans="1:16" s="9" customFormat="1" ht="15" customHeight="1" x14ac:dyDescent="0.25">
      <c r="A141" s="10"/>
      <c r="B141" s="10"/>
      <c r="C141" s="10"/>
      <c r="D141" s="10"/>
      <c r="E141" s="10"/>
      <c r="F141" s="13"/>
      <c r="G141" s="13"/>
      <c r="H141" s="13"/>
      <c r="I141" s="13"/>
      <c r="J141" s="13"/>
      <c r="K141" s="13"/>
      <c r="M141" s="4"/>
      <c r="N141" s="4"/>
      <c r="O141" s="5"/>
      <c r="P141" s="5"/>
    </row>
    <row r="142" spans="1:16" s="9" customFormat="1" ht="15" customHeight="1" x14ac:dyDescent="0.25">
      <c r="A142" s="10"/>
      <c r="B142" s="10"/>
      <c r="C142" s="10"/>
      <c r="D142" s="10"/>
      <c r="E142" s="10"/>
      <c r="F142" s="13"/>
      <c r="G142" s="13"/>
      <c r="H142" s="13"/>
      <c r="I142" s="13"/>
      <c r="J142" s="13"/>
      <c r="K142" s="13"/>
      <c r="M142" s="4"/>
      <c r="N142" s="4"/>
      <c r="O142" s="5"/>
      <c r="P142" s="5"/>
    </row>
    <row r="143" spans="1:16" s="9" customFormat="1" ht="15" customHeight="1" x14ac:dyDescent="0.25">
      <c r="A143" s="10"/>
      <c r="B143" s="10"/>
      <c r="C143" s="10"/>
      <c r="D143" s="10"/>
      <c r="E143" s="10"/>
      <c r="F143" s="13"/>
      <c r="G143" s="13"/>
      <c r="H143" s="13"/>
      <c r="I143" s="13"/>
      <c r="J143" s="13"/>
      <c r="K143" s="13"/>
      <c r="M143" s="4"/>
      <c r="N143" s="4"/>
      <c r="O143" s="5"/>
      <c r="P143" s="5"/>
    </row>
    <row r="144" spans="1:16" s="9" customFormat="1" ht="15" customHeight="1" x14ac:dyDescent="0.25">
      <c r="A144" s="10"/>
      <c r="B144" s="10"/>
      <c r="C144" s="10"/>
      <c r="D144" s="10"/>
      <c r="E144" s="10"/>
      <c r="F144" s="13"/>
      <c r="G144" s="13"/>
      <c r="H144" s="13"/>
      <c r="I144" s="13"/>
      <c r="J144" s="13"/>
      <c r="K144" s="13"/>
      <c r="M144" s="4"/>
      <c r="N144" s="4"/>
      <c r="O144" s="5"/>
      <c r="P144" s="5"/>
    </row>
    <row r="145" spans="1:16" s="9" customFormat="1" ht="15" customHeight="1" x14ac:dyDescent="0.25">
      <c r="A145" s="10"/>
      <c r="B145" s="10"/>
      <c r="C145" s="10"/>
      <c r="D145" s="10"/>
      <c r="E145" s="10"/>
      <c r="F145" s="13"/>
      <c r="G145" s="13"/>
      <c r="H145" s="13"/>
      <c r="I145" s="13"/>
      <c r="J145" s="13"/>
      <c r="K145" s="13"/>
      <c r="M145" s="4"/>
      <c r="N145" s="4"/>
      <c r="O145" s="5"/>
      <c r="P145" s="5"/>
    </row>
    <row r="146" spans="1:16" s="9" customFormat="1" ht="15" customHeight="1" x14ac:dyDescent="0.25">
      <c r="A146" s="10"/>
      <c r="B146" s="10"/>
      <c r="C146" s="10"/>
      <c r="D146" s="10"/>
      <c r="E146" s="10"/>
      <c r="F146" s="13"/>
      <c r="G146" s="13"/>
      <c r="H146" s="13"/>
      <c r="I146" s="13"/>
      <c r="J146" s="13"/>
      <c r="K146" s="13"/>
      <c r="M146" s="4"/>
      <c r="N146" s="4"/>
      <c r="O146" s="5"/>
      <c r="P146" s="5"/>
    </row>
    <row r="147" spans="1:16" s="9" customFormat="1" ht="15" customHeight="1" x14ac:dyDescent="0.25">
      <c r="A147" s="10"/>
      <c r="B147" s="10"/>
      <c r="C147" s="10"/>
      <c r="D147" s="10"/>
      <c r="E147" s="10"/>
      <c r="F147" s="13"/>
      <c r="G147" s="13"/>
      <c r="H147" s="13"/>
      <c r="I147" s="13"/>
      <c r="J147" s="13"/>
      <c r="K147" s="13"/>
      <c r="M147" s="4"/>
      <c r="N147" s="4"/>
      <c r="O147" s="5"/>
      <c r="P147" s="5"/>
    </row>
    <row r="148" spans="1:16" s="9" customFormat="1" ht="15" customHeight="1" x14ac:dyDescent="0.25">
      <c r="A148" s="10"/>
      <c r="B148" s="10"/>
      <c r="C148" s="10"/>
      <c r="D148" s="10"/>
      <c r="E148" s="10"/>
      <c r="F148" s="13"/>
      <c r="G148" s="13"/>
      <c r="H148" s="13"/>
      <c r="I148" s="13"/>
      <c r="J148" s="13"/>
      <c r="K148" s="13"/>
      <c r="M148" s="4"/>
      <c r="N148" s="4"/>
      <c r="O148" s="5"/>
      <c r="P148" s="5"/>
    </row>
    <row r="149" spans="1:16" s="9" customFormat="1" ht="15" customHeight="1" x14ac:dyDescent="0.25">
      <c r="A149" s="10"/>
      <c r="B149" s="10"/>
      <c r="C149" s="10"/>
      <c r="D149" s="10"/>
      <c r="E149" s="10"/>
      <c r="F149" s="13"/>
      <c r="G149" s="13"/>
      <c r="H149" s="13"/>
      <c r="I149" s="13"/>
      <c r="J149" s="13"/>
      <c r="K149" s="13"/>
      <c r="M149" s="4"/>
      <c r="N149" s="4"/>
      <c r="O149" s="5"/>
      <c r="P149" s="5"/>
    </row>
    <row r="150" spans="1:16" s="9" customFormat="1" ht="15" customHeight="1" x14ac:dyDescent="0.25">
      <c r="A150" s="10"/>
      <c r="B150" s="10"/>
      <c r="C150" s="10"/>
      <c r="D150" s="10"/>
      <c r="E150" s="10"/>
      <c r="F150" s="13"/>
      <c r="G150" s="13"/>
      <c r="H150" s="13"/>
      <c r="I150" s="13"/>
      <c r="J150" s="13"/>
      <c r="K150" s="13"/>
      <c r="M150" s="4"/>
      <c r="N150" s="4"/>
      <c r="O150" s="5"/>
      <c r="P150" s="5"/>
    </row>
    <row r="151" spans="1:16" s="9" customFormat="1" ht="15" customHeight="1" x14ac:dyDescent="0.25">
      <c r="A151" s="10"/>
      <c r="B151" s="10"/>
      <c r="C151" s="10"/>
      <c r="D151" s="10"/>
      <c r="E151" s="10"/>
      <c r="F151" s="13"/>
      <c r="G151" s="13"/>
      <c r="H151" s="13"/>
      <c r="I151" s="13"/>
      <c r="J151" s="13"/>
      <c r="K151" s="13"/>
      <c r="M151" s="4"/>
      <c r="N151" s="4"/>
      <c r="O151" s="5"/>
      <c r="P151" s="5"/>
    </row>
    <row r="152" spans="1:16" s="9" customFormat="1" ht="15" customHeight="1" x14ac:dyDescent="0.25">
      <c r="A152" s="10"/>
      <c r="B152" s="10"/>
      <c r="C152" s="10"/>
      <c r="D152" s="10"/>
      <c r="E152" s="10"/>
      <c r="F152" s="13"/>
      <c r="G152" s="13"/>
      <c r="H152" s="13"/>
      <c r="I152" s="13"/>
      <c r="J152" s="13"/>
      <c r="K152" s="13"/>
      <c r="M152" s="4"/>
      <c r="N152" s="4"/>
      <c r="O152" s="5"/>
      <c r="P152" s="5"/>
    </row>
    <row r="153" spans="1:16" s="9" customFormat="1" ht="15" customHeight="1" x14ac:dyDescent="0.25">
      <c r="A153" s="10"/>
      <c r="B153" s="10"/>
      <c r="C153" s="10"/>
      <c r="D153" s="10"/>
      <c r="E153" s="10"/>
      <c r="F153" s="13"/>
      <c r="G153" s="13"/>
      <c r="H153" s="13"/>
      <c r="I153" s="13"/>
      <c r="J153" s="13"/>
      <c r="K153" s="13"/>
      <c r="M153" s="4"/>
      <c r="N153" s="4"/>
      <c r="O153" s="5"/>
      <c r="P153" s="5"/>
    </row>
    <row r="154" spans="1:16" s="9" customFormat="1" ht="15" customHeight="1" x14ac:dyDescent="0.25">
      <c r="A154" s="10"/>
      <c r="B154" s="10"/>
      <c r="C154" s="10"/>
      <c r="D154" s="10"/>
      <c r="E154" s="10"/>
      <c r="F154" s="13"/>
      <c r="G154" s="13"/>
      <c r="H154" s="13"/>
      <c r="I154" s="13"/>
      <c r="J154" s="13"/>
      <c r="K154" s="13"/>
      <c r="M154" s="4"/>
      <c r="N154" s="4"/>
      <c r="O154" s="5"/>
      <c r="P154" s="5"/>
    </row>
    <row r="155" spans="1:16" s="9" customFormat="1" ht="15" customHeight="1" x14ac:dyDescent="0.25">
      <c r="A155" s="10"/>
      <c r="B155" s="10"/>
      <c r="C155" s="10"/>
      <c r="D155" s="10"/>
      <c r="E155" s="10"/>
      <c r="F155" s="13"/>
      <c r="G155" s="13"/>
      <c r="H155" s="13"/>
      <c r="I155" s="13"/>
      <c r="J155" s="13"/>
      <c r="K155" s="13"/>
      <c r="M155" s="4"/>
      <c r="N155" s="4"/>
      <c r="O155" s="5"/>
      <c r="P155" s="5"/>
    </row>
    <row r="156" spans="1:16" s="9" customFormat="1" ht="15" customHeight="1" x14ac:dyDescent="0.25">
      <c r="A156" s="10"/>
      <c r="B156" s="10"/>
      <c r="C156" s="10"/>
      <c r="D156" s="10"/>
      <c r="E156" s="10"/>
      <c r="F156" s="13"/>
      <c r="G156" s="13"/>
      <c r="H156" s="13"/>
      <c r="I156" s="13"/>
      <c r="J156" s="13"/>
      <c r="K156" s="13"/>
      <c r="M156" s="4"/>
      <c r="N156" s="4"/>
      <c r="O156" s="5"/>
      <c r="P156" s="5"/>
    </row>
    <row r="157" spans="1:16" s="9" customFormat="1" ht="15" customHeight="1" x14ac:dyDescent="0.25">
      <c r="A157" s="10"/>
      <c r="B157" s="10"/>
      <c r="C157" s="10"/>
      <c r="D157" s="10"/>
      <c r="E157" s="10"/>
      <c r="F157" s="13"/>
      <c r="G157" s="13"/>
      <c r="H157" s="13"/>
      <c r="I157" s="13"/>
      <c r="J157" s="13"/>
      <c r="K157" s="13"/>
      <c r="M157" s="4"/>
      <c r="N157" s="4"/>
      <c r="O157" s="5"/>
      <c r="P157" s="5"/>
    </row>
    <row r="158" spans="1:16" s="9" customFormat="1" ht="15" customHeight="1" x14ac:dyDescent="0.25">
      <c r="A158" s="10"/>
      <c r="B158" s="10"/>
      <c r="C158" s="10"/>
      <c r="D158" s="10"/>
      <c r="E158" s="10"/>
      <c r="F158" s="13"/>
      <c r="G158" s="13"/>
      <c r="H158" s="13"/>
      <c r="I158" s="13"/>
      <c r="J158" s="13"/>
      <c r="K158" s="13"/>
      <c r="M158" s="4"/>
      <c r="N158" s="4"/>
      <c r="O158" s="5"/>
      <c r="P158" s="5"/>
    </row>
    <row r="159" spans="1:16" s="9" customFormat="1" ht="15" customHeight="1" x14ac:dyDescent="0.25">
      <c r="A159" s="10"/>
      <c r="B159" s="10"/>
      <c r="C159" s="10"/>
      <c r="D159" s="10"/>
      <c r="E159" s="10"/>
      <c r="F159" s="13"/>
      <c r="G159" s="13"/>
      <c r="H159" s="13"/>
      <c r="I159" s="13"/>
      <c r="J159" s="13"/>
      <c r="K159" s="13"/>
      <c r="M159" s="4"/>
      <c r="N159" s="4"/>
      <c r="O159" s="5"/>
      <c r="P159" s="5"/>
    </row>
    <row r="160" spans="1:16" s="9" customFormat="1" ht="15" customHeight="1" x14ac:dyDescent="0.25">
      <c r="A160" s="10"/>
      <c r="B160" s="10"/>
      <c r="C160" s="10"/>
      <c r="D160" s="10"/>
      <c r="E160" s="10"/>
      <c r="F160" s="13"/>
      <c r="G160" s="13"/>
      <c r="H160" s="13"/>
      <c r="I160" s="13"/>
      <c r="J160" s="13"/>
      <c r="K160" s="13"/>
      <c r="M160" s="4"/>
      <c r="N160" s="4"/>
      <c r="O160" s="5"/>
      <c r="P160" s="5"/>
    </row>
    <row r="161" spans="1:16" s="9" customFormat="1" ht="15" customHeight="1" x14ac:dyDescent="0.25">
      <c r="A161" s="10"/>
      <c r="B161" s="10"/>
      <c r="C161" s="10"/>
      <c r="D161" s="10"/>
      <c r="E161" s="10"/>
      <c r="F161" s="13"/>
      <c r="G161" s="13"/>
      <c r="H161" s="13"/>
      <c r="I161" s="13"/>
      <c r="J161" s="13"/>
      <c r="K161" s="13"/>
      <c r="M161" s="4"/>
      <c r="N161" s="4"/>
      <c r="O161" s="5"/>
      <c r="P161" s="5"/>
    </row>
    <row r="162" spans="1:16" s="9" customFormat="1" ht="15" customHeight="1" x14ac:dyDescent="0.25">
      <c r="A162" s="10"/>
      <c r="B162" s="10"/>
      <c r="C162" s="10"/>
      <c r="D162" s="10"/>
      <c r="E162" s="10"/>
      <c r="F162" s="13"/>
      <c r="G162" s="13"/>
      <c r="H162" s="13"/>
      <c r="I162" s="13"/>
      <c r="J162" s="13"/>
      <c r="K162" s="13"/>
      <c r="M162" s="4"/>
      <c r="N162" s="4"/>
      <c r="O162" s="5"/>
      <c r="P162" s="5"/>
    </row>
    <row r="163" spans="1:16" s="9" customFormat="1" ht="15" customHeight="1" x14ac:dyDescent="0.25">
      <c r="A163" s="10"/>
      <c r="B163" s="10"/>
      <c r="C163" s="10"/>
      <c r="D163" s="10"/>
      <c r="E163" s="10"/>
      <c r="F163" s="13"/>
      <c r="G163" s="13"/>
      <c r="H163" s="13"/>
      <c r="I163" s="13"/>
      <c r="J163" s="13"/>
      <c r="K163" s="13"/>
      <c r="M163" s="4"/>
      <c r="N163" s="4"/>
      <c r="O163" s="5"/>
      <c r="P163" s="5"/>
    </row>
    <row r="164" spans="1:16" s="9" customFormat="1" ht="15" customHeight="1" x14ac:dyDescent="0.25">
      <c r="A164" s="10"/>
      <c r="B164" s="10"/>
      <c r="C164" s="10"/>
      <c r="D164" s="10"/>
      <c r="E164" s="10"/>
      <c r="F164" s="13"/>
      <c r="G164" s="13"/>
      <c r="H164" s="13"/>
      <c r="I164" s="13"/>
      <c r="J164" s="13"/>
      <c r="K164" s="13"/>
      <c r="M164" s="4"/>
      <c r="N164" s="4"/>
      <c r="O164" s="5"/>
      <c r="P164" s="5"/>
    </row>
    <row r="165" spans="1:16" s="9" customFormat="1" ht="15" customHeight="1" x14ac:dyDescent="0.25">
      <c r="A165" s="10"/>
      <c r="B165" s="10"/>
      <c r="C165" s="10"/>
      <c r="D165" s="10"/>
      <c r="E165" s="10"/>
      <c r="F165" s="13"/>
      <c r="G165" s="13"/>
      <c r="H165" s="13"/>
      <c r="I165" s="13"/>
      <c r="J165" s="13"/>
      <c r="K165" s="13"/>
      <c r="M165" s="4"/>
      <c r="N165" s="4"/>
      <c r="O165" s="5"/>
      <c r="P165" s="5"/>
    </row>
    <row r="166" spans="1:16" s="9" customFormat="1" ht="15" customHeight="1" x14ac:dyDescent="0.25">
      <c r="A166" s="10"/>
      <c r="B166" s="10"/>
      <c r="C166" s="10"/>
      <c r="D166" s="10"/>
      <c r="E166" s="10"/>
      <c r="F166" s="13"/>
      <c r="G166" s="13"/>
      <c r="H166" s="13"/>
      <c r="I166" s="13"/>
      <c r="J166" s="13"/>
      <c r="K166" s="13"/>
      <c r="M166" s="4"/>
      <c r="N166" s="4"/>
      <c r="O166" s="5"/>
      <c r="P166" s="5"/>
    </row>
    <row r="167" spans="1:16" s="9" customFormat="1" ht="15" customHeight="1" x14ac:dyDescent="0.25">
      <c r="A167" s="10"/>
      <c r="B167" s="10"/>
      <c r="C167" s="10"/>
      <c r="D167" s="10"/>
      <c r="E167" s="10"/>
      <c r="F167" s="10"/>
      <c r="G167" s="13"/>
      <c r="H167" s="13"/>
      <c r="I167" s="13"/>
      <c r="J167" s="13"/>
      <c r="K167" s="13"/>
      <c r="M167" s="4"/>
      <c r="N167" s="4"/>
      <c r="O167" s="5"/>
      <c r="P167" s="5"/>
    </row>
    <row r="168" spans="1:16" s="9" customFormat="1" ht="1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M168" s="4"/>
      <c r="N168" s="4"/>
      <c r="O168" s="5"/>
      <c r="P168" s="5"/>
    </row>
    <row r="169" spans="1:16" s="9" customFormat="1" ht="1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M169" s="4"/>
      <c r="N169" s="4"/>
      <c r="O169" s="5"/>
      <c r="P169" s="5"/>
    </row>
    <row r="170" spans="1:16" s="9" customFormat="1" ht="1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M170" s="4"/>
      <c r="N170" s="4"/>
      <c r="O170" s="5"/>
      <c r="P170" s="5"/>
    </row>
    <row r="171" spans="1:16" s="9" customFormat="1" ht="1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M171" s="4"/>
      <c r="N171" s="4"/>
      <c r="O171" s="5"/>
      <c r="P171" s="5"/>
    </row>
    <row r="172" spans="1:16" s="9" customFormat="1" ht="1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M172" s="4"/>
      <c r="N172" s="4"/>
      <c r="O172" s="5"/>
      <c r="P172" s="5"/>
    </row>
    <row r="173" spans="1:16" s="9" customFormat="1" ht="1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M173" s="4"/>
      <c r="N173" s="4"/>
      <c r="O173" s="5"/>
      <c r="P173" s="5"/>
    </row>
    <row r="174" spans="1:16" s="9" customFormat="1" ht="1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M174" s="4"/>
      <c r="N174" s="4"/>
      <c r="O174" s="5"/>
      <c r="P174" s="5"/>
    </row>
    <row r="175" spans="1:16" s="9" customFormat="1" ht="1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M175" s="4"/>
      <c r="N175" s="4"/>
      <c r="O175" s="5"/>
      <c r="P175" s="5"/>
    </row>
    <row r="176" spans="1:16" s="9" customFormat="1" ht="1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M176" s="4"/>
      <c r="N176" s="4"/>
      <c r="O176" s="5"/>
      <c r="P176" s="5"/>
    </row>
    <row r="177" spans="1:16" s="9" customFormat="1" ht="1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M177" s="4"/>
      <c r="N177" s="4"/>
      <c r="O177" s="5"/>
      <c r="P177" s="5"/>
    </row>
    <row r="178" spans="1:16" s="9" customFormat="1" ht="1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M178" s="4"/>
      <c r="N178" s="4"/>
      <c r="O178" s="5"/>
      <c r="P178" s="5"/>
    </row>
    <row r="179" spans="1:16" s="9" customFormat="1" ht="1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M179" s="4"/>
      <c r="N179" s="4"/>
      <c r="O179" s="5"/>
      <c r="P179" s="5"/>
    </row>
    <row r="180" spans="1:16" s="9" customFormat="1" ht="1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M180" s="4"/>
      <c r="N180" s="4"/>
      <c r="O180" s="5"/>
      <c r="P180" s="5"/>
    </row>
    <row r="181" spans="1:16" s="9" customFormat="1" ht="1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M181" s="4"/>
      <c r="N181" s="4"/>
      <c r="O181" s="5"/>
      <c r="P181" s="5"/>
    </row>
    <row r="182" spans="1:16" s="9" customFormat="1" ht="1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M182" s="4"/>
      <c r="N182" s="4"/>
      <c r="O182" s="5"/>
      <c r="P182" s="5"/>
    </row>
    <row r="183" spans="1:16" s="9" customFormat="1" ht="1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M183" s="4"/>
      <c r="N183" s="4"/>
      <c r="O183" s="5"/>
      <c r="P183" s="5"/>
    </row>
    <row r="184" spans="1:16" s="9" customFormat="1" ht="1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M184" s="4"/>
      <c r="N184" s="4"/>
      <c r="O184" s="5"/>
      <c r="P184" s="5"/>
    </row>
    <row r="185" spans="1:16" s="9" customFormat="1" ht="1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M185" s="4"/>
      <c r="N185" s="4"/>
      <c r="O185" s="5"/>
      <c r="P185" s="5"/>
    </row>
    <row r="186" spans="1:16" s="9" customFormat="1" ht="1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M186" s="4"/>
      <c r="N186" s="4"/>
      <c r="O186" s="5"/>
      <c r="P186" s="5"/>
    </row>
    <row r="187" spans="1:16" s="9" customFormat="1" ht="1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M187" s="4"/>
      <c r="N187" s="4"/>
      <c r="O187" s="5"/>
      <c r="P187" s="5"/>
    </row>
    <row r="188" spans="1:16" s="9" customFormat="1" ht="1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M188" s="4"/>
      <c r="N188" s="4"/>
      <c r="O188" s="5"/>
      <c r="P188" s="5"/>
    </row>
    <row r="189" spans="1:16" s="9" customFormat="1" ht="1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M189" s="4"/>
      <c r="N189" s="4"/>
      <c r="O189" s="5"/>
      <c r="P189" s="5"/>
    </row>
    <row r="190" spans="1:16" s="9" customFormat="1" ht="1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M190" s="4"/>
      <c r="N190" s="4"/>
      <c r="O190" s="5"/>
      <c r="P190" s="5"/>
    </row>
    <row r="191" spans="1:16" s="9" customFormat="1" ht="1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M191" s="4"/>
      <c r="N191" s="4"/>
      <c r="O191" s="5"/>
      <c r="P191" s="5"/>
    </row>
    <row r="192" spans="1:16" s="9" customFormat="1" ht="1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M192" s="4"/>
      <c r="N192" s="4"/>
      <c r="O192" s="5"/>
      <c r="P192" s="5"/>
    </row>
    <row r="193" spans="1:16" s="9" customFormat="1" ht="1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M193" s="4"/>
      <c r="N193" s="4"/>
      <c r="O193" s="5"/>
      <c r="P193" s="5"/>
    </row>
    <row r="194" spans="1:16" s="9" customFormat="1" ht="1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M194" s="4"/>
      <c r="N194" s="4"/>
      <c r="O194" s="5"/>
      <c r="P194" s="5"/>
    </row>
    <row r="195" spans="1:16" s="9" customFormat="1" ht="1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M195" s="4"/>
      <c r="N195" s="4"/>
      <c r="O195" s="5"/>
      <c r="P195" s="5"/>
    </row>
    <row r="196" spans="1:16" s="9" customFormat="1" ht="1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M196" s="4"/>
      <c r="N196" s="4"/>
      <c r="O196" s="5"/>
      <c r="P196" s="5"/>
    </row>
    <row r="197" spans="1:16" s="9" customFormat="1" ht="1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M197" s="4"/>
      <c r="N197" s="4"/>
      <c r="O197" s="5"/>
      <c r="P197" s="5"/>
    </row>
    <row r="198" spans="1:16" s="9" customFormat="1" ht="1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M198" s="4"/>
      <c r="N198" s="4"/>
      <c r="O198" s="5"/>
      <c r="P198" s="5"/>
    </row>
    <row r="199" spans="1:16" s="9" customFormat="1" ht="1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M199" s="4"/>
      <c r="N199" s="4"/>
      <c r="O199" s="5"/>
      <c r="P199" s="5"/>
    </row>
    <row r="200" spans="1:16" s="9" customFormat="1" ht="1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M200" s="4"/>
      <c r="N200" s="4"/>
      <c r="O200" s="5"/>
      <c r="P200" s="5"/>
    </row>
    <row r="201" spans="1:16" s="9" customFormat="1" ht="1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M201" s="4"/>
      <c r="N201" s="4"/>
      <c r="O201" s="5"/>
      <c r="P201" s="5"/>
    </row>
    <row r="202" spans="1:16" s="9" customFormat="1" ht="1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M202" s="4"/>
      <c r="N202" s="4"/>
      <c r="O202" s="5"/>
      <c r="P202" s="5"/>
    </row>
    <row r="203" spans="1:16" s="9" customFormat="1" ht="1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M203" s="4"/>
      <c r="N203" s="4"/>
      <c r="O203" s="5"/>
      <c r="P203" s="5"/>
    </row>
    <row r="204" spans="1:16" s="9" customFormat="1" ht="1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M204" s="4"/>
      <c r="N204" s="4"/>
      <c r="O204" s="5"/>
      <c r="P204" s="5"/>
    </row>
    <row r="205" spans="1:16" s="9" customFormat="1" ht="1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4"/>
      <c r="N205" s="4"/>
      <c r="O205" s="5"/>
      <c r="P205" s="5"/>
    </row>
    <row r="206" spans="1:16" s="9" customFormat="1" ht="1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M206" s="4"/>
      <c r="N206" s="4"/>
      <c r="O206" s="5"/>
      <c r="P206" s="5"/>
    </row>
    <row r="207" spans="1:16" s="9" customFormat="1" ht="1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M207" s="4"/>
      <c r="N207" s="4"/>
      <c r="O207" s="5"/>
      <c r="P207" s="5"/>
    </row>
    <row r="208" spans="1:16" s="9" customFormat="1" ht="1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M208" s="4"/>
      <c r="N208" s="4"/>
      <c r="O208" s="5"/>
      <c r="P208" s="5"/>
    </row>
    <row r="209" spans="1:16" s="9" customFormat="1" ht="1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M209" s="4"/>
      <c r="N209" s="4"/>
      <c r="O209" s="5"/>
      <c r="P209" s="5"/>
    </row>
    <row r="210" spans="1:16" s="9" customFormat="1" ht="1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M210" s="4"/>
      <c r="N210" s="4"/>
      <c r="O210" s="5"/>
      <c r="P210" s="5"/>
    </row>
    <row r="211" spans="1:16" s="9" customFormat="1" ht="1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M211" s="4"/>
      <c r="N211" s="4"/>
      <c r="O211" s="5"/>
      <c r="P211" s="5"/>
    </row>
    <row r="212" spans="1:16" s="9" customFormat="1" ht="1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M212" s="4"/>
      <c r="N212" s="4"/>
      <c r="O212" s="5"/>
      <c r="P212" s="5"/>
    </row>
    <row r="213" spans="1:16" s="9" customFormat="1" ht="1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M213" s="4"/>
      <c r="N213" s="4"/>
      <c r="O213" s="5"/>
      <c r="P213" s="5"/>
    </row>
    <row r="214" spans="1:16" s="9" customFormat="1" ht="1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M214" s="4"/>
      <c r="N214" s="4"/>
      <c r="O214" s="5"/>
      <c r="P214" s="5"/>
    </row>
    <row r="215" spans="1:16" s="9" customFormat="1" ht="1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M215" s="4"/>
      <c r="N215" s="4"/>
      <c r="O215" s="5"/>
      <c r="P215" s="5"/>
    </row>
    <row r="216" spans="1:16" s="9" customFormat="1" ht="1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M216" s="4"/>
      <c r="N216" s="4"/>
      <c r="O216" s="5"/>
      <c r="P216" s="5"/>
    </row>
    <row r="217" spans="1:16" s="9" customFormat="1" ht="1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M217" s="4"/>
      <c r="N217" s="4"/>
      <c r="O217" s="5"/>
      <c r="P217" s="5"/>
    </row>
    <row r="218" spans="1:16" s="9" customFormat="1" ht="1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M218" s="4"/>
      <c r="N218" s="4"/>
      <c r="O218" s="5"/>
      <c r="P218" s="5"/>
    </row>
    <row r="219" spans="1:16" s="9" customFormat="1" ht="1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M219" s="4"/>
      <c r="N219" s="4"/>
      <c r="O219" s="5"/>
      <c r="P219" s="5"/>
    </row>
    <row r="220" spans="1:16" s="9" customFormat="1" ht="1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M220" s="4"/>
      <c r="N220" s="4"/>
      <c r="O220" s="5"/>
      <c r="P220" s="5"/>
    </row>
    <row r="221" spans="1:16" s="9" customFormat="1" ht="1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M221" s="4"/>
      <c r="N221" s="4"/>
      <c r="O221" s="5"/>
      <c r="P221" s="5"/>
    </row>
    <row r="222" spans="1:16" s="9" customFormat="1" ht="1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M222" s="4"/>
      <c r="N222" s="4"/>
      <c r="O222" s="5"/>
      <c r="P222" s="5"/>
    </row>
    <row r="223" spans="1:16" s="9" customFormat="1" ht="1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M223" s="4"/>
      <c r="N223" s="4"/>
      <c r="O223" s="5"/>
      <c r="P223" s="5"/>
    </row>
    <row r="224" spans="1:16" s="9" customFormat="1" ht="1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M224" s="4"/>
      <c r="N224" s="4"/>
      <c r="O224" s="5"/>
      <c r="P224" s="5"/>
    </row>
    <row r="225" spans="1:16" s="9" customFormat="1" ht="1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M225" s="4"/>
      <c r="N225" s="4"/>
      <c r="O225" s="5"/>
      <c r="P225" s="5"/>
    </row>
    <row r="226" spans="1:16" s="9" customFormat="1" ht="1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M226" s="4"/>
      <c r="N226" s="4"/>
      <c r="O226" s="5"/>
      <c r="P226" s="5"/>
    </row>
    <row r="227" spans="1:16" s="9" customFormat="1" ht="1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M227" s="4"/>
      <c r="N227" s="4"/>
      <c r="O227" s="5"/>
      <c r="P227" s="5"/>
    </row>
    <row r="228" spans="1:16" s="9" customFormat="1" ht="1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M228" s="4"/>
      <c r="N228" s="4"/>
      <c r="O228" s="5"/>
      <c r="P228" s="5"/>
    </row>
    <row r="229" spans="1:16" s="9" customFormat="1" ht="1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M229" s="4"/>
      <c r="N229" s="4"/>
      <c r="O229" s="5"/>
      <c r="P229" s="5"/>
    </row>
    <row r="230" spans="1:16" s="9" customFormat="1" ht="1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M230" s="4"/>
      <c r="N230" s="4"/>
      <c r="O230" s="5"/>
      <c r="P230" s="5"/>
    </row>
    <row r="231" spans="1:16" s="9" customFormat="1" ht="1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M231" s="4"/>
      <c r="N231" s="4"/>
      <c r="O231" s="5"/>
      <c r="P231" s="5"/>
    </row>
    <row r="232" spans="1:16" s="9" customFormat="1" ht="1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M232" s="4"/>
      <c r="N232" s="4"/>
      <c r="O232" s="5"/>
      <c r="P232" s="5"/>
    </row>
    <row r="233" spans="1:16" s="9" customFormat="1" ht="1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M233" s="4"/>
      <c r="N233" s="4"/>
      <c r="O233" s="5"/>
      <c r="P233" s="5"/>
    </row>
    <row r="234" spans="1:16" s="9" customFormat="1" ht="1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M234" s="4"/>
      <c r="N234" s="4"/>
      <c r="O234" s="5"/>
      <c r="P234" s="5"/>
    </row>
    <row r="235" spans="1:16" s="9" customFormat="1" ht="1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M235" s="4"/>
      <c r="N235" s="4"/>
      <c r="O235" s="5"/>
      <c r="P235" s="5"/>
    </row>
    <row r="236" spans="1:16" s="9" customFormat="1" ht="1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M236" s="4"/>
      <c r="N236" s="4"/>
      <c r="O236" s="5"/>
      <c r="P236" s="5"/>
    </row>
    <row r="237" spans="1:16" s="9" customFormat="1" ht="1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M237" s="4"/>
      <c r="N237" s="4"/>
      <c r="O237" s="5"/>
      <c r="P237" s="5"/>
    </row>
    <row r="238" spans="1:16" s="9" customForma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M238" s="4"/>
      <c r="N238" s="4"/>
      <c r="O238" s="5"/>
      <c r="P238" s="5"/>
    </row>
    <row r="239" spans="1:16" s="9" customForma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M239" s="4"/>
      <c r="N239" s="4"/>
      <c r="O239" s="5"/>
      <c r="P239" s="5"/>
    </row>
    <row r="240" spans="1:16" s="9" customForma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M240" s="4"/>
      <c r="N240" s="4"/>
      <c r="O240" s="5"/>
      <c r="P240" s="5"/>
    </row>
    <row r="241" spans="1:16" s="9" customForma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M241" s="4"/>
      <c r="N241" s="4"/>
      <c r="O241" s="5"/>
      <c r="P241" s="5"/>
    </row>
    <row r="242" spans="1:16" s="9" customForma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M242" s="4"/>
      <c r="N242" s="4"/>
      <c r="O242" s="5"/>
      <c r="P242" s="5"/>
    </row>
    <row r="243" spans="1:16" s="9" customForma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M243" s="4"/>
      <c r="N243" s="4"/>
      <c r="O243" s="5"/>
      <c r="P243" s="5"/>
    </row>
    <row r="244" spans="1:16" s="9" customForma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M244" s="4"/>
      <c r="N244" s="4"/>
      <c r="O244" s="5"/>
      <c r="P244" s="5"/>
    </row>
    <row r="245" spans="1:16" s="9" customForma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M245" s="4"/>
      <c r="N245" s="4"/>
      <c r="O245" s="5"/>
      <c r="P245" s="5"/>
    </row>
    <row r="246" spans="1:16" s="9" customForma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M246" s="4"/>
      <c r="N246" s="4"/>
      <c r="O246" s="5"/>
      <c r="P246" s="5"/>
    </row>
    <row r="247" spans="1:16" s="9" customForma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M247" s="4"/>
      <c r="N247" s="4"/>
      <c r="O247" s="5"/>
      <c r="P247" s="5"/>
    </row>
    <row r="248" spans="1:16" s="9" customForma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M248" s="4"/>
      <c r="N248" s="4"/>
      <c r="O248" s="5"/>
      <c r="P248" s="5"/>
    </row>
    <row r="249" spans="1:16" s="9" customForma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M249" s="4"/>
      <c r="N249" s="4"/>
      <c r="O249" s="5"/>
      <c r="P249" s="5"/>
    </row>
    <row r="250" spans="1:16" s="9" customForma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M250" s="4"/>
      <c r="N250" s="4"/>
      <c r="O250" s="5"/>
      <c r="P250" s="5"/>
    </row>
    <row r="251" spans="1:16" s="9" customForma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M251" s="4"/>
      <c r="N251" s="4"/>
      <c r="O251" s="5"/>
      <c r="P251" s="5"/>
    </row>
    <row r="252" spans="1:16" s="9" customForma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M252" s="4"/>
      <c r="N252" s="4"/>
      <c r="O252" s="5"/>
      <c r="P252" s="5"/>
    </row>
    <row r="253" spans="1:16" s="9" customForma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M253" s="4"/>
      <c r="N253" s="4"/>
      <c r="O253" s="5"/>
      <c r="P253" s="5"/>
    </row>
    <row r="254" spans="1:16" s="9" customForma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M254" s="4"/>
      <c r="N254" s="4"/>
      <c r="O254" s="5"/>
      <c r="P254" s="5"/>
    </row>
    <row r="255" spans="1:16" s="9" customForma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M255" s="4"/>
      <c r="N255" s="4"/>
      <c r="O255" s="5"/>
      <c r="P255" s="5"/>
    </row>
    <row r="256" spans="1:16" s="9" customForma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M256" s="4"/>
      <c r="N256" s="4"/>
      <c r="O256" s="5"/>
      <c r="P256" s="5"/>
    </row>
    <row r="257" spans="1:16" s="9" customForma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M257" s="4"/>
      <c r="N257" s="4"/>
      <c r="O257" s="5"/>
      <c r="P257" s="5"/>
    </row>
    <row r="258" spans="1:16" s="9" customForma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M258" s="4"/>
      <c r="N258" s="4"/>
      <c r="O258" s="5"/>
      <c r="P258" s="5"/>
    </row>
    <row r="259" spans="1:16" s="9" customForma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M259" s="4"/>
      <c r="N259" s="4"/>
      <c r="O259" s="5"/>
      <c r="P259" s="5"/>
    </row>
    <row r="260" spans="1:16" s="9" customForma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M260" s="4"/>
      <c r="N260" s="4"/>
      <c r="O260" s="5"/>
      <c r="P260" s="5"/>
    </row>
    <row r="261" spans="1:16" s="9" customForma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M261" s="4"/>
      <c r="N261" s="4"/>
      <c r="O261" s="5"/>
      <c r="P261" s="5"/>
    </row>
    <row r="262" spans="1:16" s="9" customForma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M262" s="4"/>
      <c r="N262" s="4"/>
      <c r="O262" s="5"/>
      <c r="P262" s="5"/>
    </row>
    <row r="263" spans="1:16" s="9" customForma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M263" s="4"/>
      <c r="N263" s="4"/>
      <c r="O263" s="5"/>
      <c r="P263" s="5"/>
    </row>
    <row r="264" spans="1:16" s="9" customForma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M264" s="4"/>
      <c r="N264" s="4"/>
      <c r="O264" s="5"/>
      <c r="P264" s="5"/>
    </row>
    <row r="265" spans="1:16" s="9" customForma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M265" s="4"/>
      <c r="N265" s="4"/>
      <c r="O265" s="5"/>
      <c r="P265" s="5"/>
    </row>
    <row r="266" spans="1:16" s="9" customForma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M266" s="4"/>
      <c r="N266" s="4"/>
      <c r="O266" s="5"/>
      <c r="P266" s="5"/>
    </row>
    <row r="267" spans="1:16" s="9" customForma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M267" s="4"/>
      <c r="N267" s="4"/>
      <c r="O267" s="5"/>
      <c r="P267" s="5"/>
    </row>
    <row r="268" spans="1:16" s="9" customForma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M268" s="4"/>
      <c r="N268" s="4"/>
      <c r="O268" s="5"/>
      <c r="P268" s="5"/>
    </row>
    <row r="269" spans="1:16" s="9" customForma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M269" s="4"/>
      <c r="N269" s="4"/>
      <c r="O269" s="5"/>
      <c r="P269" s="5"/>
    </row>
    <row r="270" spans="1:16" s="9" customForma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M270" s="4"/>
      <c r="N270" s="4"/>
      <c r="O270" s="5"/>
      <c r="P270" s="5"/>
    </row>
    <row r="271" spans="1:16" s="9" customForma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M271" s="4"/>
      <c r="N271" s="4"/>
      <c r="O271" s="5"/>
      <c r="P271" s="5"/>
    </row>
    <row r="272" spans="1:16" s="9" customForma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M272" s="4"/>
      <c r="N272" s="4"/>
      <c r="O272" s="5"/>
      <c r="P272" s="5"/>
    </row>
    <row r="273" spans="1:16" s="9" customForma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M273" s="4"/>
      <c r="N273" s="4"/>
      <c r="O273" s="5"/>
      <c r="P273" s="5"/>
    </row>
    <row r="274" spans="1:16" s="9" customFormat="1" x14ac:dyDescent="0.25">
      <c r="A274" s="10"/>
      <c r="B274" s="10"/>
      <c r="D274" s="10"/>
      <c r="F274" s="10"/>
      <c r="G274" s="10"/>
      <c r="H274" s="10"/>
      <c r="I274" s="10"/>
      <c r="J274" s="10"/>
      <c r="K274" s="10"/>
      <c r="M274" s="4"/>
      <c r="N274" s="4"/>
      <c r="O274" s="5"/>
      <c r="P274" s="5"/>
    </row>
    <row r="275" spans="1:16" s="9" customFormat="1" x14ac:dyDescent="0.25">
      <c r="A275" s="10"/>
      <c r="B275" s="10"/>
      <c r="D275" s="10"/>
      <c r="F275" s="10"/>
      <c r="G275" s="10"/>
      <c r="H275" s="10"/>
      <c r="I275" s="10"/>
      <c r="J275" s="10"/>
      <c r="K275" s="10"/>
      <c r="M275" s="4"/>
      <c r="N275" s="4"/>
      <c r="O275" s="5"/>
      <c r="P275" s="5"/>
    </row>
    <row r="276" spans="1:16" s="9" customFormat="1" x14ac:dyDescent="0.25">
      <c r="A276" s="10"/>
      <c r="B276" s="10"/>
      <c r="D276" s="10"/>
      <c r="F276" s="10"/>
      <c r="G276" s="10"/>
      <c r="H276" s="10"/>
      <c r="I276" s="10"/>
      <c r="J276" s="10"/>
      <c r="K276" s="10"/>
      <c r="M276" s="4"/>
      <c r="N276" s="4"/>
      <c r="O276" s="5"/>
      <c r="P276" s="5"/>
    </row>
    <row r="277" spans="1:16" s="9" customFormat="1" x14ac:dyDescent="0.25">
      <c r="A277" s="10"/>
      <c r="D277" s="10"/>
      <c r="F277" s="10"/>
      <c r="G277" s="10"/>
      <c r="H277" s="10"/>
      <c r="I277" s="10"/>
      <c r="J277" s="10"/>
      <c r="K277" s="10"/>
      <c r="M277" s="4"/>
      <c r="N277" s="4"/>
      <c r="O277" s="5"/>
      <c r="P277" s="5"/>
    </row>
    <row r="278" spans="1:16" s="9" customFormat="1" x14ac:dyDescent="0.25">
      <c r="A278" s="10"/>
      <c r="F278" s="10"/>
      <c r="G278" s="10"/>
      <c r="H278" s="10"/>
      <c r="I278" s="10"/>
      <c r="J278" s="10"/>
      <c r="K278" s="10"/>
      <c r="M278" s="4"/>
      <c r="N278" s="4"/>
      <c r="O278" s="5"/>
      <c r="P278" s="5"/>
    </row>
    <row r="279" spans="1:16" s="9" customFormat="1" x14ac:dyDescent="0.25">
      <c r="A279" s="10"/>
      <c r="F279" s="10"/>
      <c r="G279" s="10"/>
      <c r="H279" s="10"/>
      <c r="I279" s="10"/>
      <c r="J279" s="10"/>
      <c r="K279" s="10"/>
      <c r="M279" s="4"/>
      <c r="N279" s="4"/>
      <c r="O279" s="5"/>
      <c r="P279" s="5"/>
    </row>
    <row r="280" spans="1:16" s="9" customFormat="1" x14ac:dyDescent="0.25">
      <c r="A280" s="10"/>
      <c r="F280" s="10"/>
      <c r="G280" s="10"/>
      <c r="H280" s="10"/>
      <c r="I280" s="10"/>
      <c r="J280" s="10"/>
      <c r="K280" s="10"/>
      <c r="M280" s="4"/>
      <c r="N280" s="4"/>
      <c r="O280" s="5"/>
      <c r="P280" s="5"/>
    </row>
    <row r="281" spans="1:16" s="9" customFormat="1" x14ac:dyDescent="0.25">
      <c r="A281" s="10"/>
      <c r="F281" s="10"/>
      <c r="G281" s="10"/>
      <c r="H281" s="10"/>
      <c r="I281" s="10"/>
      <c r="J281" s="10"/>
      <c r="K281" s="10"/>
      <c r="M281" s="4"/>
      <c r="N281" s="4"/>
      <c r="O281" s="5"/>
      <c r="P281" s="5"/>
    </row>
    <row r="282" spans="1:16" s="9" customFormat="1" x14ac:dyDescent="0.25">
      <c r="A282" s="10"/>
      <c r="F282" s="10"/>
      <c r="G282" s="10"/>
      <c r="H282" s="10"/>
      <c r="I282" s="10"/>
      <c r="J282" s="10"/>
      <c r="K282" s="10"/>
      <c r="M282" s="4"/>
      <c r="N282" s="4"/>
      <c r="O282" s="5"/>
      <c r="P282" s="5"/>
    </row>
    <row r="283" spans="1:16" s="9" customFormat="1" x14ac:dyDescent="0.25">
      <c r="A283" s="10"/>
      <c r="F283" s="10"/>
      <c r="G283" s="10"/>
      <c r="H283" s="10"/>
      <c r="I283" s="10"/>
      <c r="J283" s="10"/>
      <c r="K283" s="10"/>
      <c r="M283" s="4"/>
      <c r="N283" s="4"/>
      <c r="O283" s="5"/>
      <c r="P283" s="5"/>
    </row>
    <row r="284" spans="1:16" s="9" customFormat="1" x14ac:dyDescent="0.25">
      <c r="A284" s="10"/>
      <c r="F284" s="10"/>
      <c r="G284" s="10"/>
      <c r="H284" s="10"/>
      <c r="I284" s="10"/>
      <c r="J284" s="10"/>
      <c r="K284" s="10"/>
      <c r="M284" s="4"/>
      <c r="N284" s="4"/>
      <c r="O284" s="5"/>
      <c r="P284" s="5"/>
    </row>
    <row r="285" spans="1:16" s="9" customFormat="1" x14ac:dyDescent="0.25">
      <c r="A285" s="10"/>
      <c r="F285" s="10"/>
      <c r="G285" s="10"/>
      <c r="H285" s="10"/>
      <c r="I285" s="10"/>
      <c r="J285" s="10"/>
      <c r="K285" s="10"/>
      <c r="M285" s="4"/>
      <c r="N285" s="4"/>
      <c r="O285" s="5"/>
      <c r="P285" s="5"/>
    </row>
    <row r="286" spans="1:16" s="9" customFormat="1" x14ac:dyDescent="0.25">
      <c r="F286" s="10"/>
      <c r="G286" s="10"/>
      <c r="H286" s="10"/>
      <c r="I286" s="10"/>
      <c r="J286" s="10"/>
      <c r="K286" s="10"/>
      <c r="M286" s="4"/>
      <c r="N286" s="4"/>
      <c r="O286" s="5"/>
      <c r="P286" s="5"/>
    </row>
    <row r="287" spans="1:16" s="9" customFormat="1" x14ac:dyDescent="0.25">
      <c r="G287" s="10"/>
      <c r="H287" s="10"/>
      <c r="I287" s="10"/>
      <c r="J287" s="10"/>
      <c r="K287" s="10"/>
      <c r="M287" s="4"/>
      <c r="N287" s="4"/>
      <c r="O287" s="5"/>
      <c r="P287" s="5"/>
    </row>
    <row r="20072" spans="10:16" s="9" customFormat="1" x14ac:dyDescent="0.25">
      <c r="J20072" s="9">
        <v>0</v>
      </c>
      <c r="M20072" s="4"/>
      <c r="N20072" s="4"/>
      <c r="O20072" s="5"/>
      <c r="P20072" s="5"/>
    </row>
  </sheetData>
  <sheetProtection formatColumns="0"/>
  <customSheetViews>
    <customSheetView guid="{06317133-151B-4DBC-8EB3-9345BA061F91}" scale="60" showPageBreaks="1" fitToPage="1">
      <pane ySplit="6" topLeftCell="A31" activePane="bottomLeft" state="frozen"/>
      <selection pane="bottomLeft" activeCell="I105" sqref="I105"/>
      <pageMargins left="0.11811023622047245" right="0" top="0.11811023622047245" bottom="0.11811023622047245" header="0" footer="0"/>
      <printOptions horizontalCentered="1"/>
      <pageSetup paperSize="9" scale="10" orientation="portrait" r:id="rId1"/>
      <headerFooter>
        <oddFooter>&amp;L&amp;A&amp;Rлист &amp;P    листов &amp;N</oddFooter>
      </headerFooter>
    </customSheetView>
    <customSheetView guid="{375BA386-B398-4A0E-AF86-4319F1FDDF11}" scale="90" showPageBreaks="1" fitToPage="1" printArea="1">
      <pane ySplit="6" topLeftCell="A25" activePane="bottomLeft" state="frozen"/>
      <selection pane="bottomLeft" activeCell="C83" sqref="C83"/>
      <pageMargins left="0.11811023622047245" right="0" top="0.11811023622047245" bottom="0.11811023622047245" header="0" footer="0"/>
      <printOptions horizontalCentered="1"/>
      <pageSetup paperSize="9" scale="51" orientation="portrait" r:id="rId2"/>
      <headerFooter>
        <oddFooter>&amp;L&amp;A&amp;Rлист &amp;P    листов &amp;N</oddFooter>
      </headerFooter>
    </customSheetView>
    <customSheetView guid="{45C31AC1-6FB2-488C-94EA-BCF9E79D0043}" scale="90" showPageBreaks="1" fitToPage="1" printArea="1">
      <pane ySplit="6" topLeftCell="A25" activePane="bottomLeft" state="frozen"/>
      <selection pane="bottomLeft" activeCell="C83" sqref="C83"/>
      <pageMargins left="0.11811023622047245" right="0" top="0.11811023622047245" bottom="0.11811023622047245" header="0" footer="0"/>
      <printOptions horizontalCentered="1"/>
      <pageSetup paperSize="9" scale="51" orientation="portrait" r:id="rId3"/>
      <headerFooter>
        <oddFooter>&amp;L&amp;A&amp;Rлист &amp;P    листов &amp;N</oddFooter>
      </headerFooter>
    </customSheetView>
    <customSheetView guid="{368B64E8-7AD6-4BC7-A731-9903B52ABB0C}" scale="80" fitToPage="1">
      <pane ySplit="6" topLeftCell="A43" activePane="bottomLeft" state="frozen"/>
      <selection pane="bottomLeft" activeCell="E87" sqref="E87"/>
      <pageMargins left="0.11811023622047245" right="0" top="0.11811023622047245" bottom="0.11811023622047245" header="0" footer="0"/>
      <printOptions horizontalCentered="1"/>
      <pageSetup paperSize="9" scale="10" orientation="portrait" r:id="rId4"/>
      <headerFooter>
        <oddFooter>&amp;L&amp;A&amp;Rлист &amp;P    листов &amp;N</oddFooter>
      </headerFooter>
    </customSheetView>
    <customSheetView guid="{845EA106-2CB5-4F86-BBCF-D0DE18153B1C}" scale="90" showPageBreaks="1" fitToPage="1">
      <pane ySplit="6" topLeftCell="A82" activePane="bottomLeft" state="frozen"/>
      <selection pane="bottomLeft" activeCell="F46" sqref="F46"/>
      <pageMargins left="0.11811023622047245" right="0" top="0.11811023622047245" bottom="0.11811023622047245" header="0" footer="0"/>
      <printOptions horizontalCentered="1"/>
      <pageSetup paperSize="9" scale="10" orientation="portrait" r:id="rId5"/>
      <headerFooter>
        <oddFooter>&amp;L&amp;A&amp;Rлист &amp;P    листов &amp;N</oddFooter>
      </headerFooter>
    </customSheetView>
    <customSheetView guid="{C29DA669-F4F9-44CD-9569-E796ADF74A86}" scale="90" showPageBreaks="1" fitToPage="1">
      <pane ySplit="6" topLeftCell="A7" activePane="bottomLeft" state="frozen"/>
      <selection pane="bottomLeft" activeCell="C9" sqref="C9"/>
      <pageMargins left="0.11811023622047245" right="0" top="0.11811023622047245" bottom="0.11811023622047245" header="0" footer="0"/>
      <printOptions horizontalCentered="1"/>
      <pageSetup paperSize="9" scale="10" orientation="portrait" r:id="rId6"/>
      <headerFooter>
        <oddFooter>&amp;L&amp;A&amp;Rлист &amp;P    листов &amp;N</oddFooter>
      </headerFooter>
    </customSheetView>
    <customSheetView guid="{A1BD6C0C-B1B9-4F48-A6B1-3BFD273F4CD7}" scale="90" showPageBreaks="1" fitToPage="1" printArea="1">
      <pane ySplit="6" topLeftCell="A25" activePane="bottomLeft" state="frozen"/>
      <selection pane="bottomLeft" activeCell="C83" sqref="C83"/>
      <pageMargins left="0.11811023622047245" right="0" top="0.11811023622047245" bottom="0.11811023622047245" header="0" footer="0"/>
      <printOptions horizontalCentered="1"/>
      <pageSetup paperSize="9" scale="52" orientation="portrait" r:id="rId7"/>
      <headerFooter>
        <oddFooter>&amp;L&amp;A&amp;Rлист &amp;P    листов &amp;N</oddFooter>
      </headerFooter>
    </customSheetView>
    <customSheetView guid="{D42288F7-1871-4EF6-BC87-1B9EF747C744}" scale="60" fitToPage="1">
      <pane ySplit="6" topLeftCell="A31" activePane="bottomLeft" state="frozen"/>
      <selection pane="bottomLeft" activeCell="I105" sqref="I105"/>
      <pageMargins left="0.11811023622047245" right="0" top="0.11811023622047245" bottom="0.11811023622047245" header="0" footer="0"/>
      <printOptions horizontalCentered="1"/>
      <pageSetup paperSize="9" scale="10" orientation="portrait" r:id="rId8"/>
      <headerFooter>
        <oddFooter>&amp;L&amp;A&amp;Rлист &amp;P    листов &amp;N</oddFooter>
      </headerFooter>
    </customSheetView>
    <customSheetView guid="{8C638750-2D78-446E-B8DA-A6202AF1ED31}" scale="80" showPageBreaks="1" fitToPage="1">
      <pane ySplit="6" topLeftCell="A43" activePane="bottomLeft" state="frozen"/>
      <selection pane="bottomLeft" activeCell="E87" sqref="E87"/>
      <pageMargins left="0.11811023622047245" right="0" top="0.11811023622047245" bottom="0.11811023622047245" header="0" footer="0"/>
      <printOptions horizontalCentered="1"/>
      <pageSetup paperSize="9" scale="10" orientation="portrait" r:id="rId9"/>
      <headerFooter>
        <oddFooter>&amp;L&amp;A&amp;Rлист &amp;P    листов &amp;N</oddFooter>
      </headerFooter>
    </customSheetView>
  </customSheetViews>
  <mergeCells count="24">
    <mergeCell ref="A1:B1"/>
    <mergeCell ref="I1:K1"/>
    <mergeCell ref="A2:B2"/>
    <mergeCell ref="I2:K2"/>
    <mergeCell ref="A3:B3"/>
    <mergeCell ref="C3:E3"/>
    <mergeCell ref="I3:K3"/>
    <mergeCell ref="A5:A6"/>
    <mergeCell ref="B5:B6"/>
    <mergeCell ref="C5:C6"/>
    <mergeCell ref="D5:D6"/>
    <mergeCell ref="E5:E6"/>
    <mergeCell ref="L5:L6"/>
    <mergeCell ref="M5:M6"/>
    <mergeCell ref="N5:N6"/>
    <mergeCell ref="B98:D98"/>
    <mergeCell ref="F98:K98"/>
    <mergeCell ref="F5:F6"/>
    <mergeCell ref="B99:D99"/>
    <mergeCell ref="F99:K99"/>
    <mergeCell ref="B100:D100"/>
    <mergeCell ref="F100:K100"/>
    <mergeCell ref="G5:J5"/>
    <mergeCell ref="K5:K6"/>
  </mergeCells>
  <printOptions horizontalCentered="1"/>
  <pageMargins left="0.11811023622047245" right="0" top="0.11811023622047245" bottom="0.11811023622047245" header="0" footer="0"/>
  <pageSetup paperSize="9" scale="10" orientation="portrait" r:id="rId10"/>
  <headerFooter>
    <oddFooter>&amp;L&amp;A&amp;Rлист &amp;P    листов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9"/>
  <sheetViews>
    <sheetView zoomScale="80" zoomScaleNormal="80" zoomScaleSheetLayoutView="90" workbookViewId="0">
      <pane ySplit="7" topLeftCell="A32" activePane="bottomLeft" state="frozen"/>
      <selection pane="bottomLeft" activeCell="A38" sqref="A38:XFD38"/>
    </sheetView>
  </sheetViews>
  <sheetFormatPr defaultColWidth="8.85546875" defaultRowHeight="12.75" x14ac:dyDescent="0.2"/>
  <cols>
    <col min="1" max="1" width="7.28515625" style="369" customWidth="1"/>
    <col min="2" max="2" width="27.85546875" style="369" customWidth="1"/>
    <col min="3" max="3" width="53.28515625" style="369" customWidth="1"/>
    <col min="4" max="4" width="7" style="279" customWidth="1"/>
    <col min="5" max="5" width="14" style="369" customWidth="1"/>
    <col min="6" max="6" width="15.7109375" style="369" customWidth="1"/>
    <col min="7" max="11" width="7.7109375" style="369" customWidth="1"/>
    <col min="12" max="12" width="16.7109375" style="369" customWidth="1"/>
    <col min="13" max="13" width="14.7109375" style="369" customWidth="1"/>
    <col min="14" max="14" width="14.140625" style="369" customWidth="1"/>
    <col min="15" max="15" width="23.5703125" style="282" customWidth="1"/>
    <col min="16" max="17" width="9.140625" style="282" customWidth="1"/>
    <col min="18" max="16384" width="8.85546875" style="369"/>
  </cols>
  <sheetData>
    <row r="1" spans="1:16" ht="12" customHeight="1" x14ac:dyDescent="0.2">
      <c r="A1" s="581" t="s">
        <v>0</v>
      </c>
      <c r="B1" s="581"/>
      <c r="C1" s="367"/>
      <c r="I1" s="279"/>
      <c r="J1" s="582" t="s">
        <v>1</v>
      </c>
      <c r="K1" s="582"/>
      <c r="L1" s="582"/>
      <c r="M1" s="582"/>
      <c r="N1" s="368"/>
    </row>
    <row r="2" spans="1:16" ht="12" customHeight="1" x14ac:dyDescent="0.2">
      <c r="A2" s="581" t="s">
        <v>2</v>
      </c>
      <c r="B2" s="581"/>
      <c r="C2" s="367"/>
      <c r="J2" s="583" t="s">
        <v>3</v>
      </c>
      <c r="K2" s="583"/>
      <c r="L2" s="583"/>
      <c r="M2" s="583"/>
    </row>
    <row r="3" spans="1:16" ht="12" customHeight="1" x14ac:dyDescent="0.2">
      <c r="A3" s="581" t="s">
        <v>4</v>
      </c>
      <c r="B3" s="581"/>
      <c r="C3" s="367"/>
      <c r="J3" s="583" t="s">
        <v>127</v>
      </c>
      <c r="K3" s="583"/>
      <c r="L3" s="583"/>
      <c r="M3" s="583"/>
    </row>
    <row r="4" spans="1:16" ht="19.899999999999999" customHeight="1" x14ac:dyDescent="0.3">
      <c r="C4" s="592" t="s">
        <v>159</v>
      </c>
      <c r="D4" s="592"/>
      <c r="E4" s="593" t="s">
        <v>363</v>
      </c>
      <c r="F4" s="593"/>
      <c r="G4" s="593"/>
    </row>
    <row r="5" spans="1:16" ht="3" customHeight="1" thickBot="1" x14ac:dyDescent="0.25">
      <c r="E5" s="369" t="s">
        <v>160</v>
      </c>
    </row>
    <row r="6" spans="1:16" ht="12.75" customHeight="1" thickBot="1" x14ac:dyDescent="0.25">
      <c r="A6" s="584" t="s">
        <v>5</v>
      </c>
      <c r="B6" s="585" t="s">
        <v>161</v>
      </c>
      <c r="C6" s="591" t="s">
        <v>6</v>
      </c>
      <c r="D6" s="585" t="s">
        <v>162</v>
      </c>
      <c r="E6" s="594" t="s">
        <v>8</v>
      </c>
      <c r="F6" s="596" t="s">
        <v>163</v>
      </c>
      <c r="G6" s="587" t="s">
        <v>164</v>
      </c>
      <c r="H6" s="589" t="s">
        <v>11</v>
      </c>
      <c r="I6" s="590"/>
      <c r="J6" s="590"/>
      <c r="K6" s="590"/>
      <c r="L6" s="584" t="s">
        <v>12</v>
      </c>
      <c r="M6" s="591" t="s">
        <v>165</v>
      </c>
      <c r="N6" s="366"/>
      <c r="O6" s="284" t="s">
        <v>166</v>
      </c>
    </row>
    <row r="7" spans="1:16" ht="39.6" customHeight="1" thickBot="1" x14ac:dyDescent="0.25">
      <c r="A7" s="584"/>
      <c r="B7" s="586"/>
      <c r="C7" s="591"/>
      <c r="D7" s="586"/>
      <c r="E7" s="595"/>
      <c r="F7" s="597"/>
      <c r="G7" s="588"/>
      <c r="H7" s="285" t="s">
        <v>167</v>
      </c>
      <c r="I7" s="365" t="s">
        <v>168</v>
      </c>
      <c r="J7" s="365" t="s">
        <v>169</v>
      </c>
      <c r="K7" s="365" t="s">
        <v>170</v>
      </c>
      <c r="L7" s="584"/>
      <c r="M7" s="591"/>
      <c r="N7" s="287" t="s">
        <v>171</v>
      </c>
      <c r="O7" s="288" t="s">
        <v>172</v>
      </c>
      <c r="P7" s="289" t="s">
        <v>173</v>
      </c>
    </row>
    <row r="8" spans="1:16" s="301" customFormat="1" x14ac:dyDescent="0.2">
      <c r="A8" s="290" t="s">
        <v>174</v>
      </c>
      <c r="B8" s="291" t="s">
        <v>175</v>
      </c>
      <c r="C8" s="395" t="s">
        <v>176</v>
      </c>
      <c r="D8" s="293"/>
      <c r="E8" s="408">
        <v>8.5</v>
      </c>
      <c r="F8" s="380">
        <f t="shared" ref="F8:F21" si="0">E8*D8</f>
        <v>0</v>
      </c>
      <c r="G8" s="296"/>
      <c r="H8" s="317"/>
      <c r="I8" s="296"/>
      <c r="J8" s="296"/>
      <c r="K8" s="318"/>
      <c r="L8" s="297">
        <f t="shared" ref="L8:L73" si="1">E8*(H8+I8+J8+K8)</f>
        <v>0</v>
      </c>
      <c r="M8" s="298"/>
      <c r="N8" s="298"/>
      <c r="O8" s="299"/>
      <c r="P8" s="300"/>
    </row>
    <row r="9" spans="1:16" s="301" customFormat="1" x14ac:dyDescent="0.2">
      <c r="A9" s="290" t="s">
        <v>177</v>
      </c>
      <c r="B9" s="291" t="s">
        <v>175</v>
      </c>
      <c r="C9" s="395" t="s">
        <v>178</v>
      </c>
      <c r="D9" s="293">
        <v>2000</v>
      </c>
      <c r="E9" s="408">
        <v>9</v>
      </c>
      <c r="F9" s="379">
        <f>E9*D9</f>
        <v>18000</v>
      </c>
      <c r="G9" s="296">
        <v>2450</v>
      </c>
      <c r="H9" s="296"/>
      <c r="I9" s="296"/>
      <c r="J9" s="357">
        <v>2450</v>
      </c>
      <c r="K9" s="296"/>
      <c r="L9" s="297">
        <f>E9*(H9+I9+J9+K9)</f>
        <v>22050</v>
      </c>
      <c r="M9" s="298"/>
      <c r="N9" s="298">
        <v>43523</v>
      </c>
      <c r="O9" s="315"/>
      <c r="P9" s="300"/>
    </row>
    <row r="10" spans="1:16" s="301" customFormat="1" x14ac:dyDescent="0.2">
      <c r="A10" s="290" t="s">
        <v>179</v>
      </c>
      <c r="B10" s="291" t="s">
        <v>175</v>
      </c>
      <c r="C10" s="395" t="s">
        <v>180</v>
      </c>
      <c r="D10" s="293"/>
      <c r="E10" s="408">
        <v>13.45</v>
      </c>
      <c r="F10" s="379">
        <f t="shared" si="0"/>
        <v>0</v>
      </c>
      <c r="G10" s="296"/>
      <c r="H10" s="296"/>
      <c r="I10" s="296"/>
      <c r="J10" s="296"/>
      <c r="K10" s="296"/>
      <c r="L10" s="297">
        <f t="shared" si="1"/>
        <v>0</v>
      </c>
      <c r="M10" s="298"/>
      <c r="N10" s="298"/>
      <c r="O10" s="315"/>
      <c r="P10" s="300"/>
    </row>
    <row r="11" spans="1:16" s="301" customFormat="1" x14ac:dyDescent="0.2">
      <c r="A11" s="290" t="s">
        <v>181</v>
      </c>
      <c r="B11" s="291" t="s">
        <v>175</v>
      </c>
      <c r="C11" s="395" t="s">
        <v>182</v>
      </c>
      <c r="D11" s="293"/>
      <c r="E11" s="408">
        <v>7.8</v>
      </c>
      <c r="F11" s="379">
        <f t="shared" si="0"/>
        <v>0</v>
      </c>
      <c r="G11" s="296"/>
      <c r="H11" s="296"/>
      <c r="I11" s="296"/>
      <c r="J11" s="296"/>
      <c r="K11" s="296"/>
      <c r="L11" s="297">
        <f t="shared" si="1"/>
        <v>0</v>
      </c>
      <c r="M11" s="298"/>
      <c r="N11" s="298"/>
      <c r="O11" s="315"/>
      <c r="P11" s="300"/>
    </row>
    <row r="12" spans="1:16" s="301" customFormat="1" x14ac:dyDescent="0.2">
      <c r="A12" s="290" t="s">
        <v>183</v>
      </c>
      <c r="B12" s="291" t="s">
        <v>175</v>
      </c>
      <c r="C12" s="395" t="s">
        <v>184</v>
      </c>
      <c r="D12" s="293"/>
      <c r="E12" s="408">
        <v>58.3</v>
      </c>
      <c r="F12" s="379">
        <f t="shared" si="0"/>
        <v>0</v>
      </c>
      <c r="G12" s="296"/>
      <c r="H12" s="296"/>
      <c r="I12" s="296"/>
      <c r="J12" s="296"/>
      <c r="K12" s="296"/>
      <c r="L12" s="297">
        <f t="shared" si="1"/>
        <v>0</v>
      </c>
      <c r="M12" s="298"/>
      <c r="N12" s="298"/>
      <c r="O12" s="315"/>
      <c r="P12" s="300"/>
    </row>
    <row r="13" spans="1:16" s="301" customFormat="1" x14ac:dyDescent="0.2">
      <c r="A13" s="290">
        <v>2771</v>
      </c>
      <c r="B13" s="291" t="s">
        <v>175</v>
      </c>
      <c r="C13" s="395" t="s">
        <v>185</v>
      </c>
      <c r="D13" s="293">
        <v>400</v>
      </c>
      <c r="E13" s="408">
        <v>3.16</v>
      </c>
      <c r="F13" s="379">
        <f>E13*D13</f>
        <v>1264</v>
      </c>
      <c r="G13" s="296">
        <v>405</v>
      </c>
      <c r="H13" s="296"/>
      <c r="I13" s="296"/>
      <c r="J13" s="352">
        <v>405</v>
      </c>
      <c r="K13" s="296"/>
      <c r="L13" s="297">
        <f t="shared" si="1"/>
        <v>1279.8</v>
      </c>
      <c r="M13" s="298"/>
      <c r="N13" s="298">
        <v>43523</v>
      </c>
      <c r="O13" s="315"/>
      <c r="P13" s="300"/>
    </row>
    <row r="14" spans="1:16" s="301" customFormat="1" x14ac:dyDescent="0.2">
      <c r="A14" s="290">
        <v>2772</v>
      </c>
      <c r="B14" s="291" t="s">
        <v>175</v>
      </c>
      <c r="C14" s="395" t="s">
        <v>186</v>
      </c>
      <c r="D14" s="293">
        <v>200</v>
      </c>
      <c r="E14" s="408">
        <v>3.16</v>
      </c>
      <c r="F14" s="379">
        <f t="shared" si="0"/>
        <v>632</v>
      </c>
      <c r="G14" s="296">
        <v>200</v>
      </c>
      <c r="H14" s="296"/>
      <c r="I14" s="296"/>
      <c r="J14" s="352">
        <v>200</v>
      </c>
      <c r="K14" s="296"/>
      <c r="L14" s="297">
        <f t="shared" si="1"/>
        <v>632</v>
      </c>
      <c r="M14" s="298"/>
      <c r="N14" s="298">
        <v>43523</v>
      </c>
      <c r="O14" s="315"/>
      <c r="P14" s="300"/>
    </row>
    <row r="15" spans="1:16" s="301" customFormat="1" x14ac:dyDescent="0.2">
      <c r="A15" s="290">
        <v>2773</v>
      </c>
      <c r="B15" s="291" t="s">
        <v>175</v>
      </c>
      <c r="C15" s="395" t="s">
        <v>187</v>
      </c>
      <c r="D15" s="293">
        <v>200</v>
      </c>
      <c r="E15" s="408">
        <v>3.16</v>
      </c>
      <c r="F15" s="379">
        <f t="shared" si="0"/>
        <v>632</v>
      </c>
      <c r="G15" s="296">
        <v>200</v>
      </c>
      <c r="H15" s="296"/>
      <c r="I15" s="296"/>
      <c r="J15" s="352">
        <v>200</v>
      </c>
      <c r="K15" s="296"/>
      <c r="L15" s="297">
        <f t="shared" si="1"/>
        <v>632</v>
      </c>
      <c r="M15" s="298"/>
      <c r="N15" s="298">
        <v>43523</v>
      </c>
      <c r="O15" s="315"/>
      <c r="P15" s="300"/>
    </row>
    <row r="16" spans="1:16" s="301" customFormat="1" x14ac:dyDescent="0.2">
      <c r="A16" s="290" t="s">
        <v>188</v>
      </c>
      <c r="B16" s="291" t="s">
        <v>175</v>
      </c>
      <c r="C16" s="395" t="s">
        <v>189</v>
      </c>
      <c r="D16" s="293">
        <v>50</v>
      </c>
      <c r="E16" s="408">
        <v>3.16</v>
      </c>
      <c r="F16" s="379">
        <f t="shared" si="0"/>
        <v>158</v>
      </c>
      <c r="G16" s="296">
        <v>50</v>
      </c>
      <c r="H16" s="296"/>
      <c r="I16" s="296"/>
      <c r="J16" s="352">
        <v>50</v>
      </c>
      <c r="K16" s="296"/>
      <c r="L16" s="297">
        <f t="shared" si="1"/>
        <v>158</v>
      </c>
      <c r="M16" s="298"/>
      <c r="N16" s="298">
        <v>43523</v>
      </c>
      <c r="O16" s="315"/>
      <c r="P16" s="300"/>
    </row>
    <row r="17" spans="1:16" s="301" customFormat="1" x14ac:dyDescent="0.2">
      <c r="A17" s="290">
        <v>3558</v>
      </c>
      <c r="B17" s="291" t="s">
        <v>175</v>
      </c>
      <c r="C17" s="395" t="s">
        <v>190</v>
      </c>
      <c r="D17" s="293"/>
      <c r="E17" s="408">
        <v>3.16</v>
      </c>
      <c r="F17" s="379">
        <f>E17*D17</f>
        <v>0</v>
      </c>
      <c r="G17" s="296"/>
      <c r="H17" s="296"/>
      <c r="I17" s="296"/>
      <c r="J17" s="352"/>
      <c r="K17" s="296"/>
      <c r="L17" s="297">
        <f t="shared" si="1"/>
        <v>0</v>
      </c>
      <c r="M17" s="298"/>
      <c r="N17" s="298"/>
      <c r="O17" s="315"/>
      <c r="P17" s="300"/>
    </row>
    <row r="18" spans="1:16" s="301" customFormat="1" x14ac:dyDescent="0.2">
      <c r="A18" s="290">
        <v>3238</v>
      </c>
      <c r="B18" s="291" t="s">
        <v>175</v>
      </c>
      <c r="C18" s="395" t="s">
        <v>191</v>
      </c>
      <c r="D18" s="293"/>
      <c r="E18" s="408">
        <v>6.32</v>
      </c>
      <c r="F18" s="379">
        <f t="shared" si="0"/>
        <v>0</v>
      </c>
      <c r="G18" s="296"/>
      <c r="H18" s="296"/>
      <c r="I18" s="296"/>
      <c r="J18" s="296"/>
      <c r="K18" s="296"/>
      <c r="L18" s="297">
        <f t="shared" si="1"/>
        <v>0</v>
      </c>
      <c r="M18" s="298"/>
      <c r="N18" s="298"/>
      <c r="O18" s="315"/>
      <c r="P18" s="300"/>
    </row>
    <row r="19" spans="1:16" s="301" customFormat="1" x14ac:dyDescent="0.2">
      <c r="A19" s="290">
        <v>3239</v>
      </c>
      <c r="B19" s="291" t="s">
        <v>175</v>
      </c>
      <c r="C19" s="395" t="s">
        <v>192</v>
      </c>
      <c r="D19" s="293"/>
      <c r="E19" s="408">
        <v>9.1999999999999993</v>
      </c>
      <c r="F19" s="379">
        <f t="shared" si="0"/>
        <v>0</v>
      </c>
      <c r="G19" s="296"/>
      <c r="H19" s="296"/>
      <c r="I19" s="296"/>
      <c r="J19" s="296"/>
      <c r="K19" s="296"/>
      <c r="L19" s="297">
        <f t="shared" si="1"/>
        <v>0</v>
      </c>
      <c r="M19" s="298"/>
      <c r="N19" s="298"/>
      <c r="O19" s="315"/>
      <c r="P19" s="300"/>
    </row>
    <row r="20" spans="1:16" s="301" customFormat="1" x14ac:dyDescent="0.2">
      <c r="A20" s="290">
        <v>3515</v>
      </c>
      <c r="B20" s="291" t="s">
        <v>175</v>
      </c>
      <c r="C20" s="395" t="s">
        <v>193</v>
      </c>
      <c r="D20" s="293">
        <v>2000</v>
      </c>
      <c r="E20" s="408">
        <v>13.22</v>
      </c>
      <c r="F20" s="379">
        <f t="shared" si="0"/>
        <v>26440</v>
      </c>
      <c r="G20" s="296">
        <v>2100</v>
      </c>
      <c r="H20" s="296"/>
      <c r="I20" s="296"/>
      <c r="J20" s="296"/>
      <c r="K20" s="357">
        <v>2100</v>
      </c>
      <c r="L20" s="297">
        <f t="shared" si="1"/>
        <v>27762</v>
      </c>
      <c r="M20" s="298"/>
      <c r="N20" s="298">
        <v>43523</v>
      </c>
      <c r="O20" s="315"/>
      <c r="P20" s="300"/>
    </row>
    <row r="21" spans="1:16" s="301" customFormat="1" x14ac:dyDescent="0.2">
      <c r="A21" s="290">
        <v>3240</v>
      </c>
      <c r="B21" s="291" t="s">
        <v>175</v>
      </c>
      <c r="C21" s="395" t="s">
        <v>194</v>
      </c>
      <c r="D21" s="293"/>
      <c r="E21" s="408">
        <v>11.05</v>
      </c>
      <c r="F21" s="379">
        <f t="shared" si="0"/>
        <v>0</v>
      </c>
      <c r="G21" s="296"/>
      <c r="H21" s="296"/>
      <c r="I21" s="296"/>
      <c r="J21" s="296"/>
      <c r="K21" s="296"/>
      <c r="L21" s="297">
        <f t="shared" si="1"/>
        <v>0</v>
      </c>
      <c r="M21" s="298"/>
      <c r="N21" s="298"/>
      <c r="O21" s="315"/>
      <c r="P21" s="300"/>
    </row>
    <row r="22" spans="1:16" s="301" customFormat="1" x14ac:dyDescent="0.2">
      <c r="A22" s="290">
        <v>4291</v>
      </c>
      <c r="B22" s="291" t="s">
        <v>175</v>
      </c>
      <c r="C22" s="395" t="s">
        <v>195</v>
      </c>
      <c r="D22" s="293"/>
      <c r="E22" s="408">
        <v>23996.5</v>
      </c>
      <c r="F22" s="379">
        <f>E22*D22</f>
        <v>0</v>
      </c>
      <c r="G22" s="296"/>
      <c r="H22" s="296"/>
      <c r="I22" s="296"/>
      <c r="J22" s="296"/>
      <c r="K22" s="296"/>
      <c r="L22" s="297">
        <f t="shared" si="1"/>
        <v>0</v>
      </c>
      <c r="M22" s="298"/>
      <c r="N22" s="298"/>
      <c r="O22" s="315"/>
      <c r="P22" s="300"/>
    </row>
    <row r="23" spans="1:16" s="301" customFormat="1" x14ac:dyDescent="0.2">
      <c r="A23" s="290">
        <v>1690</v>
      </c>
      <c r="B23" s="291" t="s">
        <v>175</v>
      </c>
      <c r="C23" s="395" t="s">
        <v>196</v>
      </c>
      <c r="D23" s="293"/>
      <c r="E23" s="408">
        <v>52</v>
      </c>
      <c r="F23" s="379">
        <f>E23*D23</f>
        <v>0</v>
      </c>
      <c r="G23" s="296"/>
      <c r="H23" s="296"/>
      <c r="I23" s="296"/>
      <c r="J23" s="296"/>
      <c r="K23" s="296"/>
      <c r="L23" s="297">
        <f t="shared" si="1"/>
        <v>0</v>
      </c>
      <c r="M23" s="298"/>
      <c r="N23" s="298"/>
      <c r="O23" s="315"/>
      <c r="P23" s="300"/>
    </row>
    <row r="24" spans="1:16" s="301" customFormat="1" x14ac:dyDescent="0.2">
      <c r="A24" s="290"/>
      <c r="B24" s="291"/>
      <c r="C24" s="395"/>
      <c r="D24" s="293"/>
      <c r="E24" s="408"/>
      <c r="F24" s="379"/>
      <c r="G24" s="296"/>
      <c r="H24" s="296"/>
      <c r="I24" s="296"/>
      <c r="J24" s="296"/>
      <c r="K24" s="296"/>
      <c r="L24" s="297">
        <f t="shared" si="1"/>
        <v>0</v>
      </c>
      <c r="M24" s="298"/>
      <c r="N24" s="298"/>
      <c r="O24" s="315"/>
      <c r="P24" s="300"/>
    </row>
    <row r="25" spans="1:16" s="301" customFormat="1" x14ac:dyDescent="0.2">
      <c r="A25" s="290"/>
      <c r="B25" s="291"/>
      <c r="C25" s="395"/>
      <c r="D25" s="293"/>
      <c r="E25" s="408"/>
      <c r="F25" s="379"/>
      <c r="G25" s="296"/>
      <c r="H25" s="296"/>
      <c r="I25" s="296"/>
      <c r="J25" s="296"/>
      <c r="K25" s="296"/>
      <c r="L25" s="297">
        <f t="shared" si="1"/>
        <v>0</v>
      </c>
      <c r="M25" s="298"/>
      <c r="N25" s="298"/>
      <c r="O25" s="315"/>
      <c r="P25" s="300"/>
    </row>
    <row r="26" spans="1:16" s="301" customFormat="1" x14ac:dyDescent="0.2">
      <c r="A26" s="290"/>
      <c r="B26" s="291"/>
      <c r="C26" s="395"/>
      <c r="D26" s="293"/>
      <c r="E26" s="408"/>
      <c r="F26" s="379"/>
      <c r="G26" s="296"/>
      <c r="H26" s="296"/>
      <c r="I26" s="296"/>
      <c r="J26" s="296"/>
      <c r="K26" s="296"/>
      <c r="L26" s="297">
        <f t="shared" si="1"/>
        <v>0</v>
      </c>
      <c r="M26" s="298"/>
      <c r="N26" s="298"/>
      <c r="O26" s="315"/>
      <c r="P26" s="300"/>
    </row>
    <row r="27" spans="1:16" s="301" customFormat="1" x14ac:dyDescent="0.2">
      <c r="A27" s="290">
        <v>4722</v>
      </c>
      <c r="B27" s="291" t="s">
        <v>199</v>
      </c>
      <c r="C27" s="395" t="s">
        <v>201</v>
      </c>
      <c r="D27" s="420">
        <v>1</v>
      </c>
      <c r="E27" s="408">
        <v>17900</v>
      </c>
      <c r="F27" s="379">
        <f t="shared" ref="F27:F92" si="2">E27*D27</f>
        <v>17900</v>
      </c>
      <c r="G27" s="296">
        <v>1</v>
      </c>
      <c r="H27" s="296"/>
      <c r="I27" s="296"/>
      <c r="J27" s="296"/>
      <c r="K27" s="357">
        <v>1</v>
      </c>
      <c r="L27" s="297">
        <f t="shared" si="1"/>
        <v>17900</v>
      </c>
      <c r="M27" s="298"/>
      <c r="N27" s="298" t="s">
        <v>416</v>
      </c>
      <c r="O27" s="315"/>
      <c r="P27" s="300"/>
    </row>
    <row r="28" spans="1:16" s="301" customFormat="1" x14ac:dyDescent="0.2">
      <c r="A28" s="290">
        <v>4723</v>
      </c>
      <c r="B28" s="291" t="s">
        <v>199</v>
      </c>
      <c r="C28" s="395" t="s">
        <v>202</v>
      </c>
      <c r="D28" s="420">
        <v>2</v>
      </c>
      <c r="E28" s="408">
        <v>18500</v>
      </c>
      <c r="F28" s="379">
        <f t="shared" si="2"/>
        <v>37000</v>
      </c>
      <c r="G28" s="296">
        <v>2</v>
      </c>
      <c r="H28" s="296"/>
      <c r="I28" s="296"/>
      <c r="J28" s="296"/>
      <c r="K28" s="357">
        <v>2</v>
      </c>
      <c r="L28" s="297">
        <f t="shared" si="1"/>
        <v>37000</v>
      </c>
      <c r="M28" s="298"/>
      <c r="N28" s="298" t="s">
        <v>416</v>
      </c>
      <c r="O28" s="315"/>
      <c r="P28" s="300"/>
    </row>
    <row r="29" spans="1:16" s="301" customFormat="1" x14ac:dyDescent="0.2">
      <c r="A29" s="290">
        <v>4724</v>
      </c>
      <c r="B29" s="291" t="s">
        <v>199</v>
      </c>
      <c r="C29" s="395" t="s">
        <v>203</v>
      </c>
      <c r="D29" s="420">
        <v>3</v>
      </c>
      <c r="E29" s="408">
        <v>1350</v>
      </c>
      <c r="F29" s="379">
        <f t="shared" si="2"/>
        <v>4050</v>
      </c>
      <c r="G29" s="296"/>
      <c r="H29" s="296"/>
      <c r="I29" s="296"/>
      <c r="J29" s="296"/>
      <c r="K29" s="296"/>
      <c r="L29" s="297">
        <f t="shared" si="1"/>
        <v>0</v>
      </c>
      <c r="M29" s="298"/>
      <c r="N29" s="298" t="s">
        <v>416</v>
      </c>
      <c r="O29" s="315"/>
      <c r="P29" s="300"/>
    </row>
    <row r="30" spans="1:16" s="301" customFormat="1" x14ac:dyDescent="0.2">
      <c r="A30" s="388"/>
      <c r="B30" s="383"/>
      <c r="C30" s="398"/>
      <c r="D30" s="389"/>
      <c r="E30" s="408"/>
      <c r="F30" s="379">
        <f>E30*D30</f>
        <v>0</v>
      </c>
      <c r="G30" s="296"/>
      <c r="H30" s="296"/>
      <c r="I30" s="296"/>
      <c r="J30" s="296"/>
      <c r="K30" s="296"/>
      <c r="L30" s="297">
        <f>E30*(H30+I30+J30+K30)</f>
        <v>0</v>
      </c>
      <c r="M30" s="298">
        <v>43536</v>
      </c>
      <c r="N30" s="298">
        <v>43553</v>
      </c>
      <c r="O30" s="315"/>
      <c r="P30" s="300"/>
    </row>
    <row r="31" spans="1:16" s="301" customFormat="1" x14ac:dyDescent="0.2">
      <c r="A31" s="290"/>
      <c r="B31" s="291"/>
      <c r="C31" s="395"/>
      <c r="D31" s="293"/>
      <c r="E31" s="408"/>
      <c r="F31" s="379"/>
      <c r="G31" s="296"/>
      <c r="H31" s="296"/>
      <c r="I31" s="296"/>
      <c r="J31" s="296"/>
      <c r="K31" s="296"/>
      <c r="L31" s="297"/>
      <c r="M31" s="298"/>
      <c r="N31" s="298"/>
      <c r="O31" s="315"/>
      <c r="P31" s="300"/>
    </row>
    <row r="32" spans="1:16" s="301" customFormat="1" x14ac:dyDescent="0.2">
      <c r="A32" s="290"/>
      <c r="B32" s="291"/>
      <c r="C32" s="395"/>
      <c r="D32" s="293"/>
      <c r="E32" s="408"/>
      <c r="F32" s="379"/>
      <c r="G32" s="296"/>
      <c r="H32" s="296"/>
      <c r="I32" s="296"/>
      <c r="J32" s="296"/>
      <c r="K32" s="296"/>
      <c r="L32" s="297"/>
      <c r="M32" s="298"/>
      <c r="N32" s="298"/>
      <c r="O32" s="315"/>
      <c r="P32" s="300"/>
    </row>
    <row r="33" spans="1:16" s="301" customFormat="1" x14ac:dyDescent="0.2">
      <c r="A33" s="290" t="s">
        <v>205</v>
      </c>
      <c r="B33" s="291"/>
      <c r="C33" s="395" t="s">
        <v>206</v>
      </c>
      <c r="D33" s="293"/>
      <c r="E33" s="408">
        <v>1610.17</v>
      </c>
      <c r="F33" s="379">
        <f t="shared" si="2"/>
        <v>0</v>
      </c>
      <c r="G33" s="296"/>
      <c r="H33" s="296"/>
      <c r="I33" s="296"/>
      <c r="J33" s="296"/>
      <c r="K33" s="296"/>
      <c r="L33" s="297">
        <f t="shared" ref="L33:L35" si="3">E33*(H33+I33+J33+K33)</f>
        <v>0</v>
      </c>
      <c r="M33" s="298"/>
      <c r="N33" s="298"/>
      <c r="O33" s="315"/>
      <c r="P33" s="300"/>
    </row>
    <row r="34" spans="1:16" s="301" customFormat="1" x14ac:dyDescent="0.2">
      <c r="A34" s="290" t="s">
        <v>207</v>
      </c>
      <c r="B34" s="291"/>
      <c r="C34" s="395" t="s">
        <v>206</v>
      </c>
      <c r="D34" s="293"/>
      <c r="E34" s="408">
        <v>1686.44</v>
      </c>
      <c r="F34" s="379">
        <f t="shared" si="2"/>
        <v>0</v>
      </c>
      <c r="G34" s="296">
        <v>25</v>
      </c>
      <c r="H34" s="296"/>
      <c r="I34" s="296"/>
      <c r="J34" s="296"/>
      <c r="K34" s="296"/>
      <c r="L34" s="297">
        <f t="shared" si="3"/>
        <v>0</v>
      </c>
      <c r="M34" s="298"/>
      <c r="N34" s="298"/>
      <c r="O34" s="315"/>
      <c r="P34" s="300"/>
    </row>
    <row r="35" spans="1:16" s="301" customFormat="1" x14ac:dyDescent="0.2">
      <c r="A35" s="290"/>
      <c r="B35" s="291"/>
      <c r="C35" s="395"/>
      <c r="D35" s="293"/>
      <c r="E35" s="408"/>
      <c r="F35" s="379">
        <f t="shared" si="2"/>
        <v>0</v>
      </c>
      <c r="G35" s="296"/>
      <c r="H35" s="296"/>
      <c r="I35" s="296"/>
      <c r="J35" s="296"/>
      <c r="K35" s="296"/>
      <c r="L35" s="297">
        <f t="shared" si="3"/>
        <v>0</v>
      </c>
      <c r="M35" s="298"/>
      <c r="N35" s="298"/>
      <c r="O35" s="315"/>
      <c r="P35" s="300"/>
    </row>
    <row r="36" spans="1:16" s="301" customFormat="1" x14ac:dyDescent="0.2">
      <c r="A36" s="290">
        <v>4588</v>
      </c>
      <c r="B36" s="291" t="s">
        <v>208</v>
      </c>
      <c r="C36" s="395" t="s">
        <v>209</v>
      </c>
      <c r="D36" s="420">
        <v>4</v>
      </c>
      <c r="E36" s="408">
        <v>67920</v>
      </c>
      <c r="F36" s="379">
        <f t="shared" si="2"/>
        <v>271680</v>
      </c>
      <c r="G36" s="296">
        <v>4</v>
      </c>
      <c r="H36" s="296"/>
      <c r="I36" s="357">
        <v>4</v>
      </c>
      <c r="J36" s="296"/>
      <c r="K36" s="296"/>
      <c r="L36" s="297">
        <f t="shared" si="1"/>
        <v>271680</v>
      </c>
      <c r="M36" s="298">
        <v>43383</v>
      </c>
      <c r="N36" s="298">
        <v>43418</v>
      </c>
      <c r="O36" s="391" t="s">
        <v>210</v>
      </c>
      <c r="P36" s="300"/>
    </row>
    <row r="37" spans="1:16" s="301" customFormat="1" x14ac:dyDescent="0.2">
      <c r="A37" s="290">
        <v>4836</v>
      </c>
      <c r="B37" s="291" t="s">
        <v>223</v>
      </c>
      <c r="C37" s="395" t="s">
        <v>224</v>
      </c>
      <c r="D37" s="293">
        <v>1000</v>
      </c>
      <c r="E37" s="408">
        <v>840</v>
      </c>
      <c r="F37" s="379"/>
      <c r="G37" s="296"/>
      <c r="H37" s="296"/>
      <c r="I37" s="296"/>
      <c r="J37" s="296"/>
      <c r="K37" s="296"/>
      <c r="L37" s="297">
        <f>E37*(H37+I37+J37+K37)</f>
        <v>0</v>
      </c>
      <c r="M37" s="298"/>
      <c r="N37" s="298"/>
      <c r="O37" s="391" t="s">
        <v>225</v>
      </c>
      <c r="P37" s="300"/>
    </row>
    <row r="38" spans="1:16" s="301" customFormat="1" x14ac:dyDescent="0.2">
      <c r="A38" s="290" t="s">
        <v>507</v>
      </c>
      <c r="B38" s="291" t="s">
        <v>226</v>
      </c>
      <c r="C38" s="395" t="s">
        <v>227</v>
      </c>
      <c r="D38" s="293">
        <v>1</v>
      </c>
      <c r="E38" s="408">
        <v>250000</v>
      </c>
      <c r="F38" s="379">
        <f>E38*D38</f>
        <v>250000</v>
      </c>
      <c r="G38" s="296">
        <v>1</v>
      </c>
      <c r="H38" s="296"/>
      <c r="I38" s="296"/>
      <c r="J38" s="357">
        <v>1</v>
      </c>
      <c r="K38" s="296"/>
      <c r="L38" s="297">
        <f>E38*(H38+I38+J38+K38)</f>
        <v>250000</v>
      </c>
      <c r="M38" s="298">
        <v>43458</v>
      </c>
      <c r="N38" s="298"/>
      <c r="O38" s="391" t="s">
        <v>229</v>
      </c>
      <c r="P38" s="300"/>
    </row>
    <row r="39" spans="1:16" s="301" customFormat="1" x14ac:dyDescent="0.2">
      <c r="A39" s="290">
        <v>4823</v>
      </c>
      <c r="B39" s="291" t="s">
        <v>259</v>
      </c>
      <c r="C39" s="395" t="s">
        <v>257</v>
      </c>
      <c r="D39" s="420">
        <v>1</v>
      </c>
      <c r="E39" s="408">
        <v>67210</v>
      </c>
      <c r="F39" s="379">
        <f t="shared" si="2"/>
        <v>67210</v>
      </c>
      <c r="G39" s="296">
        <v>1</v>
      </c>
      <c r="H39" s="296"/>
      <c r="I39" s="357">
        <v>1</v>
      </c>
      <c r="J39" s="296"/>
      <c r="K39" s="296"/>
      <c r="L39" s="297">
        <f t="shared" si="1"/>
        <v>67210</v>
      </c>
      <c r="M39" s="298">
        <v>43474</v>
      </c>
      <c r="N39" s="298">
        <v>43493</v>
      </c>
      <c r="O39" s="391" t="s">
        <v>258</v>
      </c>
      <c r="P39" s="300"/>
    </row>
    <row r="40" spans="1:16" s="301" customFormat="1" x14ac:dyDescent="0.2">
      <c r="A40" s="290">
        <v>4833</v>
      </c>
      <c r="B40" s="353" t="s">
        <v>359</v>
      </c>
      <c r="C40" s="396" t="s">
        <v>315</v>
      </c>
      <c r="D40" s="421">
        <v>4</v>
      </c>
      <c r="E40" s="409">
        <v>8910</v>
      </c>
      <c r="F40" s="379">
        <f>E40*D40</f>
        <v>35640</v>
      </c>
      <c r="G40" s="296">
        <v>4</v>
      </c>
      <c r="H40" s="296"/>
      <c r="I40" s="357">
        <v>4</v>
      </c>
      <c r="J40" s="296"/>
      <c r="K40" s="296"/>
      <c r="L40" s="297">
        <f>E40*(H40+I40+J40+K40)</f>
        <v>35640</v>
      </c>
      <c r="M40" s="298">
        <v>43488</v>
      </c>
      <c r="N40" s="298">
        <v>43495</v>
      </c>
      <c r="O40" s="392" t="s">
        <v>360</v>
      </c>
      <c r="P40" s="300"/>
    </row>
    <row r="41" spans="1:16" s="301" customFormat="1" x14ac:dyDescent="0.2">
      <c r="A41" s="290">
        <v>4904</v>
      </c>
      <c r="B41" s="291" t="s">
        <v>361</v>
      </c>
      <c r="C41" s="395" t="s">
        <v>353</v>
      </c>
      <c r="D41" s="293">
        <v>1</v>
      </c>
      <c r="E41" s="408">
        <v>31200</v>
      </c>
      <c r="F41" s="379">
        <f t="shared" ref="F41:F44" si="4">E41*D41</f>
        <v>31200</v>
      </c>
      <c r="G41" s="296">
        <v>1</v>
      </c>
      <c r="H41" s="296"/>
      <c r="I41" s="296"/>
      <c r="J41" s="296"/>
      <c r="K41" s="357">
        <v>1</v>
      </c>
      <c r="L41" s="297">
        <f t="shared" ref="L41:L44" si="5">E41*(H41+I41+J41+K41)</f>
        <v>31200</v>
      </c>
      <c r="M41" s="298">
        <v>43496</v>
      </c>
      <c r="N41" s="298">
        <v>43516</v>
      </c>
      <c r="O41" s="391" t="s">
        <v>362</v>
      </c>
      <c r="P41" s="300"/>
    </row>
    <row r="42" spans="1:16" s="301" customFormat="1" x14ac:dyDescent="0.2">
      <c r="A42" s="290">
        <v>4905</v>
      </c>
      <c r="B42" s="291" t="s">
        <v>361</v>
      </c>
      <c r="C42" s="395" t="s">
        <v>354</v>
      </c>
      <c r="D42" s="293">
        <v>1</v>
      </c>
      <c r="E42" s="408">
        <v>12400</v>
      </c>
      <c r="F42" s="379">
        <f t="shared" si="4"/>
        <v>12400</v>
      </c>
      <c r="G42" s="296">
        <v>1</v>
      </c>
      <c r="H42" s="296"/>
      <c r="I42" s="296"/>
      <c r="J42" s="296"/>
      <c r="K42" s="357">
        <v>1</v>
      </c>
      <c r="L42" s="297">
        <f t="shared" si="5"/>
        <v>12400</v>
      </c>
      <c r="M42" s="298">
        <v>43496</v>
      </c>
      <c r="N42" s="298">
        <v>43516</v>
      </c>
      <c r="O42" s="391" t="s">
        <v>362</v>
      </c>
      <c r="P42" s="300"/>
    </row>
    <row r="43" spans="1:16" s="301" customFormat="1" x14ac:dyDescent="0.2">
      <c r="A43" s="290">
        <v>4906</v>
      </c>
      <c r="B43" s="291" t="s">
        <v>361</v>
      </c>
      <c r="C43" s="395" t="s">
        <v>355</v>
      </c>
      <c r="D43" s="293">
        <v>1</v>
      </c>
      <c r="E43" s="408">
        <v>9600</v>
      </c>
      <c r="F43" s="379">
        <f t="shared" si="4"/>
        <v>9600</v>
      </c>
      <c r="G43" s="296">
        <v>1</v>
      </c>
      <c r="H43" s="296"/>
      <c r="I43" s="296"/>
      <c r="J43" s="296"/>
      <c r="K43" s="357">
        <v>1</v>
      </c>
      <c r="L43" s="297">
        <f t="shared" si="5"/>
        <v>9600</v>
      </c>
      <c r="M43" s="298">
        <v>43496</v>
      </c>
      <c r="N43" s="298">
        <v>43516</v>
      </c>
      <c r="O43" s="391" t="s">
        <v>362</v>
      </c>
      <c r="P43" s="300"/>
    </row>
    <row r="44" spans="1:16" s="301" customFormat="1" x14ac:dyDescent="0.2">
      <c r="A44" s="290">
        <v>4863</v>
      </c>
      <c r="B44" s="291" t="s">
        <v>414</v>
      </c>
      <c r="C44" s="395" t="s">
        <v>356</v>
      </c>
      <c r="D44" s="293">
        <v>1</v>
      </c>
      <c r="E44" s="408">
        <v>4650</v>
      </c>
      <c r="F44" s="379">
        <f t="shared" si="4"/>
        <v>4650</v>
      </c>
      <c r="G44" s="296">
        <v>1</v>
      </c>
      <c r="H44" s="296"/>
      <c r="I44" s="357">
        <v>1</v>
      </c>
      <c r="J44" s="296"/>
      <c r="K44" s="296"/>
      <c r="L44" s="297">
        <f t="shared" si="5"/>
        <v>4650</v>
      </c>
      <c r="M44" s="298">
        <v>43496</v>
      </c>
      <c r="N44" s="298">
        <v>43511</v>
      </c>
      <c r="O44" s="391" t="s">
        <v>357</v>
      </c>
      <c r="P44" s="300"/>
    </row>
    <row r="45" spans="1:16" s="301" customFormat="1" x14ac:dyDescent="0.2">
      <c r="A45" s="350">
        <v>4880</v>
      </c>
      <c r="B45" s="353" t="s">
        <v>415</v>
      </c>
      <c r="C45" s="396" t="s">
        <v>204</v>
      </c>
      <c r="D45" s="355">
        <v>5</v>
      </c>
      <c r="E45" s="409">
        <v>46500</v>
      </c>
      <c r="F45" s="379"/>
      <c r="G45" s="296"/>
      <c r="H45" s="296"/>
      <c r="I45" s="296"/>
      <c r="J45" s="296"/>
      <c r="K45" s="296"/>
      <c r="L45" s="297">
        <f t="shared" ref="L45:L63" si="6">E45*(H45+I45+J45+K45)</f>
        <v>0</v>
      </c>
      <c r="M45" s="298">
        <v>43507</v>
      </c>
      <c r="N45" s="298">
        <v>43538</v>
      </c>
      <c r="O45" s="393" t="s">
        <v>425</v>
      </c>
      <c r="P45" s="300"/>
    </row>
    <row r="46" spans="1:16" s="301" customFormat="1" x14ac:dyDescent="0.2">
      <c r="A46" s="359">
        <v>5081</v>
      </c>
      <c r="B46" s="390" t="s">
        <v>442</v>
      </c>
      <c r="C46" s="397" t="s">
        <v>224</v>
      </c>
      <c r="D46" s="422">
        <v>1000</v>
      </c>
      <c r="E46" s="410">
        <v>1242</v>
      </c>
      <c r="F46" s="379"/>
      <c r="G46" s="296"/>
      <c r="H46" s="296"/>
      <c r="I46" s="296"/>
      <c r="J46" s="296"/>
      <c r="K46" s="296"/>
      <c r="L46" s="297">
        <f t="shared" si="6"/>
        <v>0</v>
      </c>
      <c r="M46" s="298">
        <v>43514</v>
      </c>
      <c r="N46" s="298">
        <v>43552</v>
      </c>
      <c r="O46" s="394" t="s">
        <v>441</v>
      </c>
      <c r="P46" s="300"/>
    </row>
    <row r="47" spans="1:16" s="301" customFormat="1" x14ac:dyDescent="0.2">
      <c r="A47" s="359">
        <v>5052</v>
      </c>
      <c r="B47" s="390" t="s">
        <v>466</v>
      </c>
      <c r="C47" s="397" t="s">
        <v>445</v>
      </c>
      <c r="D47" s="422">
        <v>1</v>
      </c>
      <c r="E47" s="410">
        <v>47482</v>
      </c>
      <c r="F47" s="379"/>
      <c r="G47" s="296"/>
      <c r="H47" s="296"/>
      <c r="I47" s="296"/>
      <c r="J47" s="296"/>
      <c r="K47" s="296"/>
      <c r="L47" s="297">
        <f t="shared" si="6"/>
        <v>0</v>
      </c>
      <c r="M47" s="298">
        <v>43514</v>
      </c>
      <c r="N47" s="298">
        <v>43545</v>
      </c>
      <c r="O47" s="394" t="s">
        <v>451</v>
      </c>
      <c r="P47" s="300"/>
    </row>
    <row r="48" spans="1:16" s="301" customFormat="1" x14ac:dyDescent="0.2">
      <c r="A48" s="359">
        <v>5053</v>
      </c>
      <c r="B48" s="390" t="s">
        <v>466</v>
      </c>
      <c r="C48" s="397" t="s">
        <v>446</v>
      </c>
      <c r="D48" s="422">
        <v>1</v>
      </c>
      <c r="E48" s="410">
        <v>46557</v>
      </c>
      <c r="F48" s="379"/>
      <c r="G48" s="296"/>
      <c r="H48" s="296"/>
      <c r="I48" s="296"/>
      <c r="J48" s="296"/>
      <c r="K48" s="296"/>
      <c r="L48" s="297">
        <f t="shared" si="6"/>
        <v>0</v>
      </c>
      <c r="M48" s="298">
        <v>43514</v>
      </c>
      <c r="N48" s="298">
        <v>43545</v>
      </c>
      <c r="O48" s="394" t="s">
        <v>451</v>
      </c>
      <c r="P48" s="300"/>
    </row>
    <row r="49" spans="1:16" s="301" customFormat="1" x14ac:dyDescent="0.2">
      <c r="A49" s="359">
        <v>5054</v>
      </c>
      <c r="B49" s="390" t="s">
        <v>466</v>
      </c>
      <c r="C49" s="397" t="s">
        <v>447</v>
      </c>
      <c r="D49" s="422">
        <v>1</v>
      </c>
      <c r="E49" s="410">
        <v>45169</v>
      </c>
      <c r="F49" s="379"/>
      <c r="G49" s="296"/>
      <c r="H49" s="296"/>
      <c r="I49" s="296"/>
      <c r="J49" s="296"/>
      <c r="K49" s="296"/>
      <c r="L49" s="297">
        <f t="shared" si="6"/>
        <v>0</v>
      </c>
      <c r="M49" s="298">
        <v>43514</v>
      </c>
      <c r="N49" s="298">
        <v>43545</v>
      </c>
      <c r="O49" s="394" t="s">
        <v>451</v>
      </c>
      <c r="P49" s="300"/>
    </row>
    <row r="50" spans="1:16" s="301" customFormat="1" x14ac:dyDescent="0.2">
      <c r="A50" s="359">
        <v>5055</v>
      </c>
      <c r="B50" s="390" t="s">
        <v>466</v>
      </c>
      <c r="C50" s="397" t="s">
        <v>448</v>
      </c>
      <c r="D50" s="422">
        <v>1</v>
      </c>
      <c r="E50" s="410">
        <v>90415</v>
      </c>
      <c r="F50" s="379"/>
      <c r="G50" s="296"/>
      <c r="H50" s="296"/>
      <c r="I50" s="296"/>
      <c r="J50" s="296"/>
      <c r="K50" s="296"/>
      <c r="L50" s="297">
        <f t="shared" si="6"/>
        <v>0</v>
      </c>
      <c r="M50" s="298">
        <v>43514</v>
      </c>
      <c r="N50" s="298">
        <v>43545</v>
      </c>
      <c r="O50" s="394" t="s">
        <v>451</v>
      </c>
      <c r="P50" s="300"/>
    </row>
    <row r="51" spans="1:16" s="301" customFormat="1" x14ac:dyDescent="0.2">
      <c r="A51" s="359">
        <v>5056</v>
      </c>
      <c r="B51" s="390" t="s">
        <v>466</v>
      </c>
      <c r="C51" s="397" t="s">
        <v>449</v>
      </c>
      <c r="D51" s="422">
        <v>1</v>
      </c>
      <c r="E51" s="410">
        <v>42394</v>
      </c>
      <c r="F51" s="379"/>
      <c r="G51" s="296"/>
      <c r="H51" s="296"/>
      <c r="I51" s="296"/>
      <c r="J51" s="296"/>
      <c r="K51" s="296"/>
      <c r="L51" s="297">
        <f t="shared" si="6"/>
        <v>0</v>
      </c>
      <c r="M51" s="298">
        <v>43514</v>
      </c>
      <c r="N51" s="298">
        <v>43545</v>
      </c>
      <c r="O51" s="394" t="s">
        <v>451</v>
      </c>
      <c r="P51" s="300"/>
    </row>
    <row r="52" spans="1:16" s="301" customFormat="1" x14ac:dyDescent="0.2">
      <c r="A52" s="359">
        <v>5057</v>
      </c>
      <c r="B52" s="390" t="s">
        <v>466</v>
      </c>
      <c r="C52" s="397" t="s">
        <v>450</v>
      </c>
      <c r="D52" s="422">
        <v>14</v>
      </c>
      <c r="E52" s="410">
        <v>49332</v>
      </c>
      <c r="F52" s="379"/>
      <c r="G52" s="296"/>
      <c r="H52" s="296"/>
      <c r="I52" s="296"/>
      <c r="J52" s="296"/>
      <c r="K52" s="296"/>
      <c r="L52" s="297">
        <f>E52*(H52+I52+J52+K52)</f>
        <v>0</v>
      </c>
      <c r="M52" s="298">
        <v>43514</v>
      </c>
      <c r="N52" s="298">
        <v>43545</v>
      </c>
      <c r="O52" s="394" t="s">
        <v>451</v>
      </c>
      <c r="P52" s="300"/>
    </row>
    <row r="53" spans="1:16" s="301" customFormat="1" x14ac:dyDescent="0.2">
      <c r="A53" s="359">
        <v>5062</v>
      </c>
      <c r="B53" s="390" t="s">
        <v>467</v>
      </c>
      <c r="C53" s="397" t="s">
        <v>454</v>
      </c>
      <c r="D53" s="422">
        <v>26</v>
      </c>
      <c r="E53" s="424">
        <v>7337</v>
      </c>
      <c r="F53" s="379"/>
      <c r="G53" s="296"/>
      <c r="H53" s="296"/>
      <c r="I53" s="296"/>
      <c r="J53" s="296"/>
      <c r="K53" s="296"/>
      <c r="L53" s="297">
        <f>E53*(H53+I53+J53+K53)</f>
        <v>0</v>
      </c>
      <c r="M53" s="298">
        <v>43514</v>
      </c>
      <c r="N53" s="298">
        <v>43535</v>
      </c>
      <c r="O53" s="394" t="s">
        <v>465</v>
      </c>
      <c r="P53" s="300"/>
    </row>
    <row r="54" spans="1:16" s="301" customFormat="1" x14ac:dyDescent="0.2">
      <c r="A54" s="359">
        <v>5063</v>
      </c>
      <c r="B54" s="390" t="s">
        <v>467</v>
      </c>
      <c r="C54" s="397" t="s">
        <v>455</v>
      </c>
      <c r="D54" s="422">
        <v>9</v>
      </c>
      <c r="E54" s="424">
        <v>17831</v>
      </c>
      <c r="F54" s="379"/>
      <c r="G54" s="296"/>
      <c r="H54" s="296"/>
      <c r="I54" s="296"/>
      <c r="J54" s="296"/>
      <c r="K54" s="296"/>
      <c r="L54" s="297">
        <f>E54*(H54+I54+J54+K54)</f>
        <v>0</v>
      </c>
      <c r="M54" s="298">
        <v>43514</v>
      </c>
      <c r="N54" s="298">
        <v>43535</v>
      </c>
      <c r="O54" s="394" t="s">
        <v>465</v>
      </c>
      <c r="P54" s="300"/>
    </row>
    <row r="55" spans="1:16" s="301" customFormat="1" x14ac:dyDescent="0.2">
      <c r="A55" s="350">
        <v>5064</v>
      </c>
      <c r="B55" s="390" t="s">
        <v>467</v>
      </c>
      <c r="C55" s="396" t="s">
        <v>456</v>
      </c>
      <c r="D55" s="355">
        <v>2</v>
      </c>
      <c r="E55" s="409">
        <v>7540</v>
      </c>
      <c r="F55" s="379"/>
      <c r="G55" s="296"/>
      <c r="H55" s="296"/>
      <c r="I55" s="296"/>
      <c r="J55" s="296"/>
      <c r="K55" s="296"/>
      <c r="L55" s="297">
        <f>E55*(H55+I55+J55+K55)</f>
        <v>0</v>
      </c>
      <c r="M55" s="298">
        <v>43514</v>
      </c>
      <c r="N55" s="298">
        <v>43535</v>
      </c>
      <c r="O55" s="394" t="s">
        <v>465</v>
      </c>
      <c r="P55" s="300"/>
    </row>
    <row r="56" spans="1:16" s="301" customFormat="1" x14ac:dyDescent="0.2">
      <c r="A56" s="350">
        <v>5065</v>
      </c>
      <c r="B56" s="390" t="s">
        <v>467</v>
      </c>
      <c r="C56" s="396" t="s">
        <v>457</v>
      </c>
      <c r="D56" s="355">
        <v>2</v>
      </c>
      <c r="E56" s="409">
        <v>20155</v>
      </c>
      <c r="F56" s="379"/>
      <c r="G56" s="296"/>
      <c r="H56" s="296"/>
      <c r="I56" s="296"/>
      <c r="J56" s="296"/>
      <c r="K56" s="296"/>
      <c r="L56" s="297">
        <f t="shared" si="6"/>
        <v>0</v>
      </c>
      <c r="M56" s="298">
        <v>43514</v>
      </c>
      <c r="N56" s="298">
        <v>43535</v>
      </c>
      <c r="O56" s="394" t="s">
        <v>465</v>
      </c>
      <c r="P56" s="300"/>
    </row>
    <row r="57" spans="1:16" s="301" customFormat="1" x14ac:dyDescent="0.2">
      <c r="A57" s="350">
        <v>5066</v>
      </c>
      <c r="B57" s="390" t="s">
        <v>467</v>
      </c>
      <c r="C57" s="396" t="s">
        <v>458</v>
      </c>
      <c r="D57" s="355">
        <v>4</v>
      </c>
      <c r="E57" s="409">
        <v>251</v>
      </c>
      <c r="F57" s="379"/>
      <c r="G57" s="296"/>
      <c r="H57" s="296"/>
      <c r="I57" s="296"/>
      <c r="J57" s="296"/>
      <c r="K57" s="296"/>
      <c r="L57" s="297">
        <f t="shared" si="6"/>
        <v>0</v>
      </c>
      <c r="M57" s="298">
        <v>43514</v>
      </c>
      <c r="N57" s="298">
        <v>43535</v>
      </c>
      <c r="O57" s="394" t="s">
        <v>465</v>
      </c>
      <c r="P57" s="300"/>
    </row>
    <row r="58" spans="1:16" s="301" customFormat="1" x14ac:dyDescent="0.2">
      <c r="A58" s="350">
        <v>5067</v>
      </c>
      <c r="B58" s="390" t="s">
        <v>467</v>
      </c>
      <c r="C58" s="396" t="s">
        <v>459</v>
      </c>
      <c r="D58" s="355">
        <v>7</v>
      </c>
      <c r="E58" s="409">
        <v>261</v>
      </c>
      <c r="F58" s="379"/>
      <c r="G58" s="296"/>
      <c r="H58" s="296"/>
      <c r="I58" s="296"/>
      <c r="J58" s="296"/>
      <c r="K58" s="296"/>
      <c r="L58" s="297">
        <f t="shared" si="6"/>
        <v>0</v>
      </c>
      <c r="M58" s="298">
        <v>43514</v>
      </c>
      <c r="N58" s="298">
        <v>43535</v>
      </c>
      <c r="O58" s="394" t="s">
        <v>465</v>
      </c>
      <c r="P58" s="300"/>
    </row>
    <row r="59" spans="1:16" s="301" customFormat="1" x14ac:dyDescent="0.2">
      <c r="A59" s="350">
        <v>5068</v>
      </c>
      <c r="B59" s="390" t="s">
        <v>467</v>
      </c>
      <c r="C59" s="396" t="s">
        <v>460</v>
      </c>
      <c r="D59" s="355">
        <v>2</v>
      </c>
      <c r="E59" s="409">
        <v>273</v>
      </c>
      <c r="F59" s="379"/>
      <c r="G59" s="296"/>
      <c r="H59" s="296"/>
      <c r="I59" s="296"/>
      <c r="J59" s="296"/>
      <c r="K59" s="296"/>
      <c r="L59" s="297">
        <f t="shared" si="6"/>
        <v>0</v>
      </c>
      <c r="M59" s="298">
        <v>43514</v>
      </c>
      <c r="N59" s="298">
        <v>43535</v>
      </c>
      <c r="O59" s="394" t="s">
        <v>465</v>
      </c>
      <c r="P59" s="300"/>
    </row>
    <row r="60" spans="1:16" s="301" customFormat="1" x14ac:dyDescent="0.2">
      <c r="A60" s="350">
        <v>5069</v>
      </c>
      <c r="B60" s="390" t="s">
        <v>467</v>
      </c>
      <c r="C60" s="396" t="s">
        <v>461</v>
      </c>
      <c r="D60" s="355">
        <v>4</v>
      </c>
      <c r="E60" s="409">
        <v>254</v>
      </c>
      <c r="F60" s="379"/>
      <c r="G60" s="296"/>
      <c r="H60" s="296"/>
      <c r="I60" s="296"/>
      <c r="J60" s="296"/>
      <c r="K60" s="296"/>
      <c r="L60" s="297">
        <f t="shared" si="6"/>
        <v>0</v>
      </c>
      <c r="M60" s="298">
        <v>43514</v>
      </c>
      <c r="N60" s="298">
        <v>43535</v>
      </c>
      <c r="O60" s="394" t="s">
        <v>465</v>
      </c>
      <c r="P60" s="300"/>
    </row>
    <row r="61" spans="1:16" s="301" customFormat="1" x14ac:dyDescent="0.2">
      <c r="A61" s="350">
        <v>5070</v>
      </c>
      <c r="B61" s="390" t="s">
        <v>467</v>
      </c>
      <c r="C61" s="396" t="s">
        <v>462</v>
      </c>
      <c r="D61" s="355">
        <v>11</v>
      </c>
      <c r="E61" s="409">
        <v>264</v>
      </c>
      <c r="F61" s="379"/>
      <c r="G61" s="296"/>
      <c r="H61" s="296"/>
      <c r="I61" s="296"/>
      <c r="J61" s="296"/>
      <c r="K61" s="296"/>
      <c r="L61" s="297">
        <f t="shared" si="6"/>
        <v>0</v>
      </c>
      <c r="M61" s="298">
        <v>43514</v>
      </c>
      <c r="N61" s="298">
        <v>43535</v>
      </c>
      <c r="O61" s="394" t="s">
        <v>465</v>
      </c>
      <c r="P61" s="300"/>
    </row>
    <row r="62" spans="1:16" s="301" customFormat="1" x14ac:dyDescent="0.2">
      <c r="A62" s="350">
        <v>5071</v>
      </c>
      <c r="B62" s="390" t="s">
        <v>467</v>
      </c>
      <c r="C62" s="396" t="s">
        <v>463</v>
      </c>
      <c r="D62" s="355">
        <v>2</v>
      </c>
      <c r="E62" s="409">
        <v>275.5</v>
      </c>
      <c r="F62" s="379"/>
      <c r="G62" s="296"/>
      <c r="H62" s="296"/>
      <c r="I62" s="296"/>
      <c r="J62" s="296"/>
      <c r="K62" s="296"/>
      <c r="L62" s="297">
        <f t="shared" si="6"/>
        <v>0</v>
      </c>
      <c r="M62" s="298">
        <v>43514</v>
      </c>
      <c r="N62" s="298">
        <v>43535</v>
      </c>
      <c r="O62" s="394" t="s">
        <v>465</v>
      </c>
      <c r="P62" s="300"/>
    </row>
    <row r="63" spans="1:16" s="301" customFormat="1" x14ac:dyDescent="0.2">
      <c r="A63" s="350">
        <v>5072</v>
      </c>
      <c r="B63" s="390" t="s">
        <v>467</v>
      </c>
      <c r="C63" s="396" t="s">
        <v>464</v>
      </c>
      <c r="D63" s="355">
        <v>2</v>
      </c>
      <c r="E63" s="409">
        <v>333.5</v>
      </c>
      <c r="F63" s="379"/>
      <c r="G63" s="296"/>
      <c r="H63" s="296"/>
      <c r="I63" s="296"/>
      <c r="J63" s="296"/>
      <c r="K63" s="296"/>
      <c r="L63" s="297">
        <f t="shared" si="6"/>
        <v>0</v>
      </c>
      <c r="M63" s="298">
        <v>43514</v>
      </c>
      <c r="N63" s="298">
        <v>43535</v>
      </c>
      <c r="O63" s="394" t="s">
        <v>465</v>
      </c>
      <c r="P63" s="300"/>
    </row>
    <row r="64" spans="1:16" s="301" customFormat="1" x14ac:dyDescent="0.2">
      <c r="A64" s="350">
        <v>5037</v>
      </c>
      <c r="B64" s="390" t="s">
        <v>482</v>
      </c>
      <c r="C64" s="396" t="s">
        <v>481</v>
      </c>
      <c r="D64" s="355">
        <v>1</v>
      </c>
      <c r="E64" s="409">
        <v>37620</v>
      </c>
      <c r="F64" s="379"/>
      <c r="G64" s="296"/>
      <c r="H64" s="296"/>
      <c r="I64" s="296"/>
      <c r="J64" s="296"/>
      <c r="K64" s="296"/>
      <c r="L64" s="297">
        <f>E64*(H64+I64+J64+K64)</f>
        <v>0</v>
      </c>
      <c r="M64" s="298">
        <v>43518</v>
      </c>
      <c r="N64" s="298">
        <v>43530</v>
      </c>
      <c r="O64" s="394" t="s">
        <v>483</v>
      </c>
      <c r="P64" s="300"/>
    </row>
    <row r="65" spans="1:16" s="301" customFormat="1" x14ac:dyDescent="0.2">
      <c r="A65" s="350">
        <v>5077</v>
      </c>
      <c r="B65" s="353" t="s">
        <v>484</v>
      </c>
      <c r="C65" s="396" t="s">
        <v>485</v>
      </c>
      <c r="D65" s="355">
        <v>1</v>
      </c>
      <c r="E65" s="409"/>
      <c r="F65" s="379"/>
      <c r="G65" s="296"/>
      <c r="H65" s="296"/>
      <c r="I65" s="296"/>
      <c r="J65" s="296"/>
      <c r="K65" s="296"/>
      <c r="L65" s="297"/>
      <c r="M65" s="298">
        <v>43521</v>
      </c>
      <c r="N65" s="298">
        <v>43545</v>
      </c>
      <c r="O65" s="394"/>
      <c r="P65" s="300"/>
    </row>
    <row r="66" spans="1:16" s="301" customFormat="1" x14ac:dyDescent="0.2">
      <c r="A66" s="350"/>
      <c r="B66" s="390"/>
      <c r="C66" s="396"/>
      <c r="D66" s="355"/>
      <c r="E66" s="409"/>
      <c r="F66" s="379"/>
      <c r="G66" s="296"/>
      <c r="H66" s="296"/>
      <c r="I66" s="296"/>
      <c r="J66" s="296"/>
      <c r="K66" s="296"/>
      <c r="L66" s="297"/>
      <c r="M66" s="298"/>
      <c r="N66" s="298"/>
      <c r="O66" s="394"/>
      <c r="P66" s="300"/>
    </row>
    <row r="67" spans="1:16" s="301" customFormat="1" x14ac:dyDescent="0.2">
      <c r="A67" s="350"/>
      <c r="B67" s="390"/>
      <c r="C67" s="396"/>
      <c r="D67" s="355"/>
      <c r="E67" s="409"/>
      <c r="F67" s="379"/>
      <c r="G67" s="296"/>
      <c r="H67" s="296"/>
      <c r="I67" s="296"/>
      <c r="J67" s="296"/>
      <c r="K67" s="296"/>
      <c r="L67" s="297"/>
      <c r="M67" s="298"/>
      <c r="N67" s="298"/>
      <c r="O67" s="394"/>
      <c r="P67" s="300"/>
    </row>
    <row r="68" spans="1:16" s="301" customFormat="1" x14ac:dyDescent="0.2">
      <c r="A68" s="290">
        <v>4571</v>
      </c>
      <c r="B68" s="291" t="s">
        <v>235</v>
      </c>
      <c r="C68" s="395" t="s">
        <v>237</v>
      </c>
      <c r="D68" s="293">
        <v>1</v>
      </c>
      <c r="E68" s="411"/>
      <c r="F68" s="379">
        <f t="shared" ref="F68" si="7">E68*D68</f>
        <v>0</v>
      </c>
      <c r="G68" s="296"/>
      <c r="H68" s="296"/>
      <c r="I68" s="296"/>
      <c r="J68" s="296"/>
      <c r="K68" s="296"/>
      <c r="L68" s="297">
        <f t="shared" ref="L68" si="8">E68*(H68+I68+J68+K68)</f>
        <v>0</v>
      </c>
      <c r="M68" s="298"/>
      <c r="N68" s="298"/>
      <c r="O68" s="315"/>
      <c r="P68" s="300"/>
    </row>
    <row r="69" spans="1:16" s="301" customFormat="1" x14ac:dyDescent="0.2">
      <c r="A69" s="290">
        <v>4572</v>
      </c>
      <c r="B69" s="291" t="s">
        <v>235</v>
      </c>
      <c r="C69" s="395" t="s">
        <v>238</v>
      </c>
      <c r="D69" s="293"/>
      <c r="E69" s="408">
        <v>105000</v>
      </c>
      <c r="F69" s="379">
        <f t="shared" si="2"/>
        <v>0</v>
      </c>
      <c r="G69" s="296"/>
      <c r="H69" s="296"/>
      <c r="I69" s="296"/>
      <c r="J69" s="296"/>
      <c r="K69" s="296"/>
      <c r="L69" s="297">
        <f t="shared" si="1"/>
        <v>0</v>
      </c>
      <c r="M69" s="298"/>
      <c r="N69" s="298"/>
      <c r="O69" s="315"/>
      <c r="P69" s="300"/>
    </row>
    <row r="70" spans="1:16" s="301" customFormat="1" x14ac:dyDescent="0.2">
      <c r="A70" s="290">
        <v>4681</v>
      </c>
      <c r="B70" s="291" t="s">
        <v>235</v>
      </c>
      <c r="C70" s="395" t="s">
        <v>239</v>
      </c>
      <c r="D70" s="293">
        <v>1936</v>
      </c>
      <c r="E70" s="408">
        <v>12.5</v>
      </c>
      <c r="F70" s="379">
        <f t="shared" si="2"/>
        <v>24200</v>
      </c>
      <c r="G70" s="296">
        <v>1936</v>
      </c>
      <c r="H70" s="296"/>
      <c r="I70" s="352">
        <v>1936</v>
      </c>
      <c r="J70" s="296"/>
      <c r="K70" s="296"/>
      <c r="L70" s="297">
        <f t="shared" si="1"/>
        <v>24200</v>
      </c>
      <c r="M70" s="298"/>
      <c r="N70" s="298"/>
      <c r="O70" s="315"/>
      <c r="P70" s="300"/>
    </row>
    <row r="71" spans="1:16" s="301" customFormat="1" x14ac:dyDescent="0.2">
      <c r="A71" s="290">
        <v>4530</v>
      </c>
      <c r="B71" s="291" t="s">
        <v>235</v>
      </c>
      <c r="C71" s="395" t="s">
        <v>240</v>
      </c>
      <c r="D71" s="293"/>
      <c r="E71" s="408">
        <v>55</v>
      </c>
      <c r="F71" s="379">
        <f t="shared" si="2"/>
        <v>0</v>
      </c>
      <c r="G71" s="296"/>
      <c r="H71" s="296"/>
      <c r="I71" s="296"/>
      <c r="J71" s="296"/>
      <c r="K71" s="296"/>
      <c r="L71" s="297">
        <f t="shared" si="1"/>
        <v>0</v>
      </c>
      <c r="M71" s="298"/>
      <c r="N71" s="298"/>
      <c r="O71" s="315"/>
      <c r="P71" s="300"/>
    </row>
    <row r="72" spans="1:16" s="301" customFormat="1" x14ac:dyDescent="0.2">
      <c r="A72" s="290">
        <v>4682</v>
      </c>
      <c r="B72" s="291" t="s">
        <v>235</v>
      </c>
      <c r="C72" s="395" t="s">
        <v>273</v>
      </c>
      <c r="D72" s="293">
        <v>252</v>
      </c>
      <c r="E72" s="408">
        <v>12.5</v>
      </c>
      <c r="F72" s="379">
        <f t="shared" si="2"/>
        <v>3150</v>
      </c>
      <c r="G72" s="296">
        <v>252</v>
      </c>
      <c r="H72" s="296"/>
      <c r="I72" s="352">
        <v>252</v>
      </c>
      <c r="J72" s="296"/>
      <c r="K72" s="296"/>
      <c r="L72" s="297">
        <f t="shared" si="1"/>
        <v>3150</v>
      </c>
      <c r="M72" s="298"/>
      <c r="N72" s="298"/>
      <c r="O72" s="315"/>
      <c r="P72" s="300"/>
    </row>
    <row r="73" spans="1:16" s="301" customFormat="1" x14ac:dyDescent="0.2">
      <c r="A73" s="290"/>
      <c r="B73" s="291"/>
      <c r="C73" s="395"/>
      <c r="D73" s="293"/>
      <c r="E73" s="408"/>
      <c r="F73" s="379">
        <f t="shared" si="2"/>
        <v>0</v>
      </c>
      <c r="G73" s="296"/>
      <c r="H73" s="296"/>
      <c r="I73" s="296"/>
      <c r="J73" s="296"/>
      <c r="K73" s="296"/>
      <c r="L73" s="297">
        <f t="shared" si="1"/>
        <v>0</v>
      </c>
      <c r="M73" s="298"/>
      <c r="N73" s="298"/>
      <c r="O73" s="315"/>
      <c r="P73" s="300"/>
    </row>
    <row r="74" spans="1:16" s="301" customFormat="1" x14ac:dyDescent="0.2">
      <c r="A74" s="290"/>
      <c r="B74" s="291"/>
      <c r="C74" s="395"/>
      <c r="D74" s="293"/>
      <c r="E74" s="408"/>
      <c r="F74" s="379">
        <f t="shared" si="2"/>
        <v>0</v>
      </c>
      <c r="G74" s="296"/>
      <c r="H74" s="296"/>
      <c r="I74" s="296"/>
      <c r="J74" s="296"/>
      <c r="K74" s="296"/>
      <c r="L74" s="297">
        <f t="shared" ref="L74:L116" si="9">E74*(H74+I74+J74+K74)</f>
        <v>0</v>
      </c>
      <c r="M74" s="298"/>
      <c r="N74" s="298"/>
      <c r="O74" s="315"/>
      <c r="P74" s="300"/>
    </row>
    <row r="75" spans="1:16" s="301" customFormat="1" x14ac:dyDescent="0.2">
      <c r="A75" s="290">
        <v>4839</v>
      </c>
      <c r="B75" s="291" t="s">
        <v>241</v>
      </c>
      <c r="C75" s="395" t="s">
        <v>242</v>
      </c>
      <c r="D75" s="293">
        <v>60</v>
      </c>
      <c r="E75" s="408">
        <v>4640</v>
      </c>
      <c r="F75" s="379">
        <f t="shared" si="2"/>
        <v>278400</v>
      </c>
      <c r="G75" s="296">
        <v>60</v>
      </c>
      <c r="H75" s="357">
        <v>60</v>
      </c>
      <c r="I75" s="296"/>
      <c r="J75" s="296"/>
      <c r="K75" s="296"/>
      <c r="L75" s="297">
        <f t="shared" si="9"/>
        <v>278400</v>
      </c>
      <c r="M75" s="298">
        <v>43488</v>
      </c>
      <c r="N75" s="298">
        <v>43511</v>
      </c>
      <c r="O75" s="315"/>
      <c r="P75" s="300"/>
    </row>
    <row r="76" spans="1:16" s="301" customFormat="1" x14ac:dyDescent="0.2">
      <c r="A76" s="290">
        <v>4909</v>
      </c>
      <c r="B76" s="291" t="s">
        <v>241</v>
      </c>
      <c r="C76" s="395" t="s">
        <v>242</v>
      </c>
      <c r="D76" s="293">
        <v>48</v>
      </c>
      <c r="E76" s="408">
        <v>5050</v>
      </c>
      <c r="F76" s="379">
        <f>E76*D76</f>
        <v>242400</v>
      </c>
      <c r="G76" s="296">
        <v>48</v>
      </c>
      <c r="H76" s="296"/>
      <c r="I76" s="296"/>
      <c r="J76" s="296"/>
      <c r="K76" s="296"/>
      <c r="L76" s="297">
        <f>E76*(H76+I76+J76+K76)</f>
        <v>0</v>
      </c>
      <c r="M76" s="298">
        <v>43490</v>
      </c>
      <c r="N76" s="298">
        <v>43524</v>
      </c>
      <c r="O76" s="315"/>
      <c r="P76" s="300"/>
    </row>
    <row r="77" spans="1:16" s="301" customFormat="1" x14ac:dyDescent="0.2">
      <c r="A77" s="290">
        <v>4973</v>
      </c>
      <c r="B77" s="291" t="s">
        <v>241</v>
      </c>
      <c r="C77" s="395" t="s">
        <v>367</v>
      </c>
      <c r="D77" s="293">
        <v>1</v>
      </c>
      <c r="E77" s="408">
        <v>650</v>
      </c>
      <c r="F77" s="379">
        <f t="shared" ref="F77:F78" si="10">E77*D77</f>
        <v>650</v>
      </c>
      <c r="G77" s="296">
        <v>1</v>
      </c>
      <c r="H77" s="352">
        <v>1</v>
      </c>
      <c r="I77" s="296"/>
      <c r="J77" s="296"/>
      <c r="K77" s="296"/>
      <c r="L77" s="297">
        <f t="shared" si="9"/>
        <v>650</v>
      </c>
      <c r="M77" s="298">
        <v>43497</v>
      </c>
      <c r="N77" s="298">
        <v>43500</v>
      </c>
      <c r="O77" s="315"/>
      <c r="P77" s="300"/>
    </row>
    <row r="78" spans="1:16" s="301" customFormat="1" x14ac:dyDescent="0.2">
      <c r="A78" s="290">
        <v>4974</v>
      </c>
      <c r="B78" s="291" t="s">
        <v>241</v>
      </c>
      <c r="C78" s="395" t="s">
        <v>368</v>
      </c>
      <c r="D78" s="293">
        <v>1</v>
      </c>
      <c r="E78" s="408">
        <v>990</v>
      </c>
      <c r="F78" s="379">
        <f t="shared" si="10"/>
        <v>990</v>
      </c>
      <c r="G78" s="296">
        <v>1</v>
      </c>
      <c r="H78" s="352">
        <v>1</v>
      </c>
      <c r="I78" s="296"/>
      <c r="J78" s="296"/>
      <c r="K78" s="296"/>
      <c r="L78" s="297">
        <f t="shared" ref="L78:L83" si="11">E78*(H78+I78+J78+K78)</f>
        <v>990</v>
      </c>
      <c r="M78" s="298">
        <v>43497</v>
      </c>
      <c r="N78" s="298">
        <v>43500</v>
      </c>
      <c r="O78" s="315"/>
      <c r="P78" s="300"/>
    </row>
    <row r="79" spans="1:16" s="301" customFormat="1" x14ac:dyDescent="0.2">
      <c r="A79" s="290">
        <v>5058</v>
      </c>
      <c r="B79" s="291" t="s">
        <v>241</v>
      </c>
      <c r="C79" s="395" t="s">
        <v>430</v>
      </c>
      <c r="D79" s="293">
        <v>2</v>
      </c>
      <c r="E79" s="408">
        <v>750</v>
      </c>
      <c r="F79" s="379">
        <f>E79*D79</f>
        <v>1500</v>
      </c>
      <c r="G79" s="296">
        <v>2</v>
      </c>
      <c r="H79" s="296"/>
      <c r="I79" s="352">
        <v>2</v>
      </c>
      <c r="J79" s="296"/>
      <c r="K79" s="296"/>
      <c r="L79" s="297">
        <f t="shared" si="11"/>
        <v>1500</v>
      </c>
      <c r="M79" s="298">
        <v>43509</v>
      </c>
      <c r="N79" s="298">
        <v>43511</v>
      </c>
      <c r="O79" s="315"/>
      <c r="P79" s="300"/>
    </row>
    <row r="80" spans="1:16" s="301" customFormat="1" x14ac:dyDescent="0.2">
      <c r="A80" s="290">
        <v>5059</v>
      </c>
      <c r="B80" s="291" t="s">
        <v>241</v>
      </c>
      <c r="C80" s="395" t="s">
        <v>431</v>
      </c>
      <c r="D80" s="293">
        <v>1</v>
      </c>
      <c r="E80" s="408">
        <v>600</v>
      </c>
      <c r="F80" s="379">
        <f>E80*D80</f>
        <v>600</v>
      </c>
      <c r="G80" s="296">
        <v>1</v>
      </c>
      <c r="H80" s="296"/>
      <c r="I80" s="352">
        <v>1</v>
      </c>
      <c r="J80" s="296"/>
      <c r="K80" s="296"/>
      <c r="L80" s="297">
        <f t="shared" si="11"/>
        <v>600</v>
      </c>
      <c r="M80" s="298">
        <v>43509</v>
      </c>
      <c r="N80" s="298">
        <v>43511</v>
      </c>
      <c r="O80" s="315"/>
      <c r="P80" s="300"/>
    </row>
    <row r="81" spans="1:16" s="301" customFormat="1" x14ac:dyDescent="0.2">
      <c r="A81" s="290">
        <v>5060</v>
      </c>
      <c r="B81" s="291" t="s">
        <v>241</v>
      </c>
      <c r="C81" s="395" t="s">
        <v>432</v>
      </c>
      <c r="D81" s="293">
        <v>1</v>
      </c>
      <c r="E81" s="408">
        <v>650</v>
      </c>
      <c r="F81" s="379">
        <f>E81*D81</f>
        <v>650</v>
      </c>
      <c r="G81" s="296">
        <v>1</v>
      </c>
      <c r="H81" s="296"/>
      <c r="I81" s="352">
        <v>1</v>
      </c>
      <c r="J81" s="296"/>
      <c r="K81" s="296"/>
      <c r="L81" s="297">
        <f t="shared" si="11"/>
        <v>650</v>
      </c>
      <c r="M81" s="298">
        <v>43509</v>
      </c>
      <c r="N81" s="298">
        <v>43511</v>
      </c>
      <c r="O81" s="315"/>
      <c r="P81" s="300"/>
    </row>
    <row r="82" spans="1:16" s="301" customFormat="1" x14ac:dyDescent="0.2">
      <c r="A82" s="290">
        <v>5061</v>
      </c>
      <c r="B82" s="291" t="s">
        <v>241</v>
      </c>
      <c r="C82" s="395" t="s">
        <v>433</v>
      </c>
      <c r="D82" s="293">
        <v>1</v>
      </c>
      <c r="E82" s="408">
        <v>990</v>
      </c>
      <c r="F82" s="379">
        <f>E82*D82</f>
        <v>990</v>
      </c>
      <c r="G82" s="296">
        <v>1</v>
      </c>
      <c r="H82" s="296"/>
      <c r="I82" s="352">
        <v>1</v>
      </c>
      <c r="J82" s="296"/>
      <c r="K82" s="296"/>
      <c r="L82" s="297">
        <f t="shared" si="11"/>
        <v>990</v>
      </c>
      <c r="M82" s="298">
        <v>43509</v>
      </c>
      <c r="N82" s="298">
        <v>43511</v>
      </c>
      <c r="O82" s="315"/>
      <c r="P82" s="300"/>
    </row>
    <row r="83" spans="1:16" s="301" customFormat="1" ht="15" x14ac:dyDescent="0.25">
      <c r="A83" s="371"/>
      <c r="B83" s="353"/>
      <c r="C83" s="396"/>
      <c r="D83" s="355"/>
      <c r="E83" s="412"/>
      <c r="F83" s="379">
        <f t="shared" si="2"/>
        <v>0</v>
      </c>
      <c r="G83" s="296"/>
      <c r="H83" s="296"/>
      <c r="I83" s="296"/>
      <c r="J83" s="296"/>
      <c r="K83" s="296"/>
      <c r="L83" s="297">
        <f t="shared" si="11"/>
        <v>0</v>
      </c>
      <c r="M83" s="298"/>
      <c r="N83" s="298"/>
      <c r="O83" s="315"/>
      <c r="P83" s="300"/>
    </row>
    <row r="84" spans="1:16" s="301" customFormat="1" ht="15" x14ac:dyDescent="0.25">
      <c r="A84" s="371"/>
      <c r="B84" s="353"/>
      <c r="C84" s="396"/>
      <c r="D84" s="355"/>
      <c r="E84" s="412"/>
      <c r="F84" s="379">
        <f t="shared" si="2"/>
        <v>0</v>
      </c>
      <c r="G84" s="296"/>
      <c r="H84" s="296"/>
      <c r="I84" s="296"/>
      <c r="J84" s="296"/>
      <c r="K84" s="296"/>
      <c r="L84" s="297">
        <f t="shared" si="9"/>
        <v>0</v>
      </c>
      <c r="M84" s="298"/>
      <c r="N84" s="298"/>
      <c r="O84" s="315"/>
      <c r="P84" s="300"/>
    </row>
    <row r="85" spans="1:16" s="301" customFormat="1" x14ac:dyDescent="0.2">
      <c r="A85" s="290">
        <v>4841</v>
      </c>
      <c r="B85" s="291" t="s">
        <v>352</v>
      </c>
      <c r="C85" s="395" t="s">
        <v>244</v>
      </c>
      <c r="D85" s="293"/>
      <c r="E85" s="408">
        <v>55</v>
      </c>
      <c r="F85" s="379">
        <f t="shared" si="2"/>
        <v>0</v>
      </c>
      <c r="G85" s="296"/>
      <c r="H85" s="296"/>
      <c r="I85" s="296"/>
      <c r="J85" s="296"/>
      <c r="K85" s="296"/>
      <c r="L85" s="297">
        <f t="shared" si="9"/>
        <v>0</v>
      </c>
      <c r="M85" s="298"/>
      <c r="N85" s="298"/>
      <c r="O85" s="315"/>
      <c r="P85" s="300"/>
    </row>
    <row r="86" spans="1:16" s="301" customFormat="1" x14ac:dyDescent="0.2">
      <c r="A86" s="290">
        <v>4842</v>
      </c>
      <c r="B86" s="291" t="s">
        <v>352</v>
      </c>
      <c r="C86" s="395" t="s">
        <v>245</v>
      </c>
      <c r="D86" s="293"/>
      <c r="E86" s="408">
        <v>55</v>
      </c>
      <c r="F86" s="379">
        <f t="shared" si="2"/>
        <v>0</v>
      </c>
      <c r="G86" s="296"/>
      <c r="H86" s="296"/>
      <c r="I86" s="296"/>
      <c r="J86" s="296"/>
      <c r="K86" s="296"/>
      <c r="L86" s="297">
        <f t="shared" si="9"/>
        <v>0</v>
      </c>
      <c r="M86" s="298"/>
      <c r="N86" s="298"/>
      <c r="O86" s="315"/>
      <c r="P86" s="300"/>
    </row>
    <row r="87" spans="1:16" s="301" customFormat="1" x14ac:dyDescent="0.2">
      <c r="A87" s="290">
        <v>4843</v>
      </c>
      <c r="B87" s="291" t="s">
        <v>352</v>
      </c>
      <c r="C87" s="395" t="s">
        <v>246</v>
      </c>
      <c r="D87" s="293"/>
      <c r="E87" s="408">
        <v>55</v>
      </c>
      <c r="F87" s="379">
        <f t="shared" si="2"/>
        <v>0</v>
      </c>
      <c r="G87" s="296"/>
      <c r="H87" s="296"/>
      <c r="I87" s="296"/>
      <c r="J87" s="296"/>
      <c r="K87" s="296"/>
      <c r="L87" s="297">
        <f t="shared" si="9"/>
        <v>0</v>
      </c>
      <c r="M87" s="298"/>
      <c r="N87" s="298"/>
      <c r="O87" s="315"/>
      <c r="P87" s="300"/>
    </row>
    <row r="88" spans="1:16" s="301" customFormat="1" x14ac:dyDescent="0.2">
      <c r="A88" s="319">
        <v>5022</v>
      </c>
      <c r="B88" s="383" t="s">
        <v>243</v>
      </c>
      <c r="C88" s="398" t="s">
        <v>402</v>
      </c>
      <c r="D88" s="355">
        <v>1</v>
      </c>
      <c r="E88" s="408">
        <v>35000</v>
      </c>
      <c r="F88" s="379">
        <f>E88*D88</f>
        <v>35000</v>
      </c>
      <c r="G88" s="296"/>
      <c r="H88" s="296"/>
      <c r="I88" s="296"/>
      <c r="J88" s="296"/>
      <c r="K88" s="296"/>
      <c r="L88" s="297">
        <f>E88*(H88+I88+J88+K88)</f>
        <v>0</v>
      </c>
      <c r="M88" s="298">
        <v>43502</v>
      </c>
      <c r="N88" s="298">
        <v>43523</v>
      </c>
      <c r="O88" s="315"/>
      <c r="P88" s="300"/>
    </row>
    <row r="89" spans="1:16" s="301" customFormat="1" x14ac:dyDescent="0.2">
      <c r="A89" s="290">
        <v>4913</v>
      </c>
      <c r="B89" s="353" t="s">
        <v>352</v>
      </c>
      <c r="C89" s="397" t="s">
        <v>318</v>
      </c>
      <c r="D89" s="293"/>
      <c r="E89" s="410">
        <v>62.28</v>
      </c>
      <c r="F89" s="379">
        <f>E89*D89</f>
        <v>0</v>
      </c>
      <c r="G89" s="296"/>
      <c r="H89" s="296"/>
      <c r="I89" s="296"/>
      <c r="J89" s="296"/>
      <c r="K89" s="296"/>
      <c r="L89" s="297">
        <f>E89*(H89+I89+J89+K89)</f>
        <v>0</v>
      </c>
      <c r="M89" s="298"/>
      <c r="N89" s="298"/>
      <c r="O89" s="315"/>
      <c r="P89" s="300"/>
    </row>
    <row r="90" spans="1:16" s="301" customFormat="1" x14ac:dyDescent="0.2">
      <c r="A90" s="290">
        <v>4914</v>
      </c>
      <c r="B90" s="353" t="s">
        <v>352</v>
      </c>
      <c r="C90" s="397" t="s">
        <v>319</v>
      </c>
      <c r="D90" s="293"/>
      <c r="E90" s="410">
        <v>62.28</v>
      </c>
      <c r="F90" s="379">
        <f>E90*D90</f>
        <v>0</v>
      </c>
      <c r="G90" s="296"/>
      <c r="H90" s="296"/>
      <c r="I90" s="296"/>
      <c r="J90" s="296"/>
      <c r="K90" s="296"/>
      <c r="L90" s="297">
        <f>E90*(H90+I90+J90+K90)</f>
        <v>0</v>
      </c>
      <c r="M90" s="298"/>
      <c r="N90" s="298"/>
      <c r="O90" s="315"/>
      <c r="P90" s="300"/>
    </row>
    <row r="91" spans="1:16" s="301" customFormat="1" x14ac:dyDescent="0.2">
      <c r="A91" s="290">
        <v>4915</v>
      </c>
      <c r="B91" s="353" t="s">
        <v>352</v>
      </c>
      <c r="C91" s="397" t="s">
        <v>320</v>
      </c>
      <c r="D91" s="293"/>
      <c r="E91" s="410">
        <v>39.17</v>
      </c>
      <c r="F91" s="379">
        <f>E91*D91</f>
        <v>0</v>
      </c>
      <c r="G91" s="296"/>
      <c r="H91" s="296"/>
      <c r="I91" s="296"/>
      <c r="J91" s="296"/>
      <c r="K91" s="296"/>
      <c r="L91" s="297">
        <f>E91*(H91+I91+J91+K91)</f>
        <v>0</v>
      </c>
      <c r="M91" s="298"/>
      <c r="N91" s="298"/>
      <c r="O91" s="315"/>
      <c r="P91" s="300"/>
    </row>
    <row r="92" spans="1:16" s="301" customFormat="1" ht="15" x14ac:dyDescent="0.2">
      <c r="A92" s="290"/>
      <c r="B92" s="291"/>
      <c r="C92" s="395"/>
      <c r="D92" s="293"/>
      <c r="E92" s="413"/>
      <c r="F92" s="379">
        <f t="shared" si="2"/>
        <v>0</v>
      </c>
      <c r="G92" s="296"/>
      <c r="H92" s="296"/>
      <c r="I92" s="296"/>
      <c r="J92" s="296"/>
      <c r="K92" s="296"/>
      <c r="L92" s="297">
        <f t="shared" si="9"/>
        <v>0</v>
      </c>
      <c r="M92" s="298"/>
      <c r="N92" s="298"/>
      <c r="O92" s="315"/>
      <c r="P92" s="300"/>
    </row>
    <row r="93" spans="1:16" s="301" customFormat="1" x14ac:dyDescent="0.2">
      <c r="A93" s="290">
        <v>4923</v>
      </c>
      <c r="B93" s="353" t="s">
        <v>284</v>
      </c>
      <c r="C93" s="397" t="s">
        <v>197</v>
      </c>
      <c r="D93" s="293">
        <v>2</v>
      </c>
      <c r="E93" s="410">
        <v>900</v>
      </c>
      <c r="F93" s="379">
        <f>E93*D93</f>
        <v>1800</v>
      </c>
      <c r="G93" s="296">
        <v>2</v>
      </c>
      <c r="H93" s="352">
        <v>2</v>
      </c>
      <c r="I93" s="296"/>
      <c r="J93" s="296"/>
      <c r="K93" s="296"/>
      <c r="L93" s="297">
        <f t="shared" ref="L93:L104" si="12">E93*(H93+I93+J93+K93)</f>
        <v>1800</v>
      </c>
      <c r="M93" s="298">
        <v>43502</v>
      </c>
      <c r="N93" s="298" t="s">
        <v>401</v>
      </c>
      <c r="O93" s="315"/>
      <c r="P93" s="300"/>
    </row>
    <row r="94" spans="1:16" s="301" customFormat="1" x14ac:dyDescent="0.2">
      <c r="A94" s="290">
        <v>4924</v>
      </c>
      <c r="B94" s="353" t="s">
        <v>284</v>
      </c>
      <c r="C94" s="397" t="s">
        <v>400</v>
      </c>
      <c r="D94" s="293">
        <v>1</v>
      </c>
      <c r="E94" s="410">
        <v>2650</v>
      </c>
      <c r="F94" s="379">
        <f>E94*D94</f>
        <v>2650</v>
      </c>
      <c r="G94" s="296"/>
      <c r="H94" s="296"/>
      <c r="I94" s="296"/>
      <c r="J94" s="296"/>
      <c r="K94" s="296"/>
      <c r="L94" s="297">
        <f t="shared" si="12"/>
        <v>0</v>
      </c>
      <c r="M94" s="298">
        <v>43502</v>
      </c>
      <c r="N94" s="298" t="s">
        <v>401</v>
      </c>
      <c r="O94" s="315"/>
      <c r="P94" s="300"/>
    </row>
    <row r="95" spans="1:16" s="301" customFormat="1" x14ac:dyDescent="0.2">
      <c r="A95" s="290">
        <v>4851</v>
      </c>
      <c r="B95" s="353" t="s">
        <v>284</v>
      </c>
      <c r="C95" s="397" t="s">
        <v>286</v>
      </c>
      <c r="D95" s="293">
        <v>20</v>
      </c>
      <c r="E95" s="410">
        <v>980</v>
      </c>
      <c r="F95" s="379">
        <f t="shared" ref="F95:F129" si="13">E95*D95</f>
        <v>19600</v>
      </c>
      <c r="G95" s="296">
        <v>20</v>
      </c>
      <c r="H95" s="357">
        <v>20</v>
      </c>
      <c r="I95" s="296"/>
      <c r="J95" s="296"/>
      <c r="K95" s="296"/>
      <c r="L95" s="297">
        <f t="shared" si="12"/>
        <v>19600</v>
      </c>
      <c r="M95" s="298">
        <v>43482</v>
      </c>
      <c r="N95" s="298">
        <v>43511</v>
      </c>
      <c r="O95" s="315"/>
      <c r="P95" s="300"/>
    </row>
    <row r="96" spans="1:16" s="301" customFormat="1" x14ac:dyDescent="0.2">
      <c r="A96" s="290">
        <v>4852</v>
      </c>
      <c r="B96" s="353" t="s">
        <v>284</v>
      </c>
      <c r="C96" s="397" t="s">
        <v>287</v>
      </c>
      <c r="D96" s="293">
        <v>20</v>
      </c>
      <c r="E96" s="410">
        <v>230</v>
      </c>
      <c r="F96" s="379">
        <f t="shared" ref="F96:F104" si="14">E96*D96</f>
        <v>4600</v>
      </c>
      <c r="G96" s="296">
        <v>20</v>
      </c>
      <c r="H96" s="357">
        <v>20</v>
      </c>
      <c r="I96" s="296"/>
      <c r="J96" s="296"/>
      <c r="K96" s="296"/>
      <c r="L96" s="297">
        <f t="shared" si="12"/>
        <v>4600</v>
      </c>
      <c r="M96" s="298">
        <v>43482</v>
      </c>
      <c r="N96" s="298">
        <v>43511</v>
      </c>
      <c r="O96" s="315"/>
      <c r="P96" s="300"/>
    </row>
    <row r="97" spans="1:16" s="301" customFormat="1" x14ac:dyDescent="0.2">
      <c r="A97" s="290">
        <v>4897</v>
      </c>
      <c r="B97" s="353" t="s">
        <v>284</v>
      </c>
      <c r="C97" s="397" t="s">
        <v>316</v>
      </c>
      <c r="D97" s="293">
        <v>6</v>
      </c>
      <c r="E97" s="410">
        <v>840</v>
      </c>
      <c r="F97" s="379">
        <f t="shared" si="14"/>
        <v>5040</v>
      </c>
      <c r="G97" s="296">
        <v>6</v>
      </c>
      <c r="H97" s="357">
        <v>6</v>
      </c>
      <c r="I97" s="296"/>
      <c r="J97" s="296"/>
      <c r="K97" s="296"/>
      <c r="L97" s="297">
        <f t="shared" si="12"/>
        <v>5040</v>
      </c>
      <c r="M97" s="298">
        <v>43490</v>
      </c>
      <c r="N97" s="298">
        <v>43501</v>
      </c>
      <c r="O97" s="315"/>
      <c r="P97" s="300"/>
    </row>
    <row r="98" spans="1:16" s="301" customFormat="1" x14ac:dyDescent="0.2">
      <c r="A98" s="290">
        <v>4898</v>
      </c>
      <c r="B98" s="353" t="s">
        <v>284</v>
      </c>
      <c r="C98" s="397" t="s">
        <v>317</v>
      </c>
      <c r="D98" s="293">
        <v>6</v>
      </c>
      <c r="E98" s="410">
        <v>455</v>
      </c>
      <c r="F98" s="379">
        <f t="shared" si="14"/>
        <v>2730</v>
      </c>
      <c r="G98" s="296">
        <v>6</v>
      </c>
      <c r="H98" s="357">
        <v>6</v>
      </c>
      <c r="I98" s="296"/>
      <c r="J98" s="296"/>
      <c r="K98" s="296"/>
      <c r="L98" s="297">
        <f t="shared" si="12"/>
        <v>2730</v>
      </c>
      <c r="M98" s="298">
        <v>43490</v>
      </c>
      <c r="N98" s="298">
        <v>43501</v>
      </c>
      <c r="O98" s="315"/>
      <c r="P98" s="300"/>
    </row>
    <row r="99" spans="1:16" s="301" customFormat="1" x14ac:dyDescent="0.2">
      <c r="A99" s="350">
        <v>5041</v>
      </c>
      <c r="B99" s="353" t="s">
        <v>284</v>
      </c>
      <c r="C99" s="396" t="s">
        <v>317</v>
      </c>
      <c r="D99" s="355">
        <v>6</v>
      </c>
      <c r="E99" s="409">
        <v>500</v>
      </c>
      <c r="F99" s="379">
        <f>E99*D99</f>
        <v>3000</v>
      </c>
      <c r="G99" s="296">
        <v>6</v>
      </c>
      <c r="H99" s="296"/>
      <c r="I99" s="357">
        <v>6</v>
      </c>
      <c r="J99" s="296"/>
      <c r="K99" s="296"/>
      <c r="L99" s="297">
        <f>E99*(H99+I99+J99+K99)</f>
        <v>3000</v>
      </c>
      <c r="M99" s="298">
        <v>43507</v>
      </c>
      <c r="N99" s="298">
        <v>43509</v>
      </c>
      <c r="O99" s="315"/>
      <c r="P99" s="300"/>
    </row>
    <row r="100" spans="1:16" s="301" customFormat="1" x14ac:dyDescent="0.2">
      <c r="A100" s="350">
        <v>5042</v>
      </c>
      <c r="B100" s="353" t="s">
        <v>284</v>
      </c>
      <c r="C100" s="396" t="s">
        <v>422</v>
      </c>
      <c r="D100" s="355">
        <v>1</v>
      </c>
      <c r="E100" s="409">
        <v>2000</v>
      </c>
      <c r="F100" s="379">
        <f>E100*D100</f>
        <v>2000</v>
      </c>
      <c r="G100" s="296">
        <v>1</v>
      </c>
      <c r="H100" s="296"/>
      <c r="I100" s="296"/>
      <c r="J100" s="296"/>
      <c r="K100" s="296"/>
      <c r="L100" s="297">
        <f>E100*(H100+I100+J100+K100)</f>
        <v>0</v>
      </c>
      <c r="M100" s="298">
        <v>43507</v>
      </c>
      <c r="N100" s="298">
        <v>43518</v>
      </c>
      <c r="O100" s="315"/>
      <c r="P100" s="300"/>
    </row>
    <row r="101" spans="1:16" s="301" customFormat="1" x14ac:dyDescent="0.2">
      <c r="A101" s="350">
        <v>5043</v>
      </c>
      <c r="B101" s="353" t="s">
        <v>284</v>
      </c>
      <c r="C101" s="396" t="s">
        <v>423</v>
      </c>
      <c r="D101" s="355">
        <v>5</v>
      </c>
      <c r="E101" s="409">
        <v>700</v>
      </c>
      <c r="F101" s="379">
        <f>E101*D101</f>
        <v>3500</v>
      </c>
      <c r="G101" s="296">
        <v>5</v>
      </c>
      <c r="H101" s="296"/>
      <c r="I101" s="357">
        <v>5</v>
      </c>
      <c r="J101" s="296"/>
      <c r="K101" s="296"/>
      <c r="L101" s="297">
        <f>E101*(H101+I101+J101+K101)</f>
        <v>3500</v>
      </c>
      <c r="M101" s="298">
        <v>43507</v>
      </c>
      <c r="N101" s="298">
        <v>43518</v>
      </c>
      <c r="O101" s="315"/>
      <c r="P101" s="300"/>
    </row>
    <row r="102" spans="1:16" s="301" customFormat="1" x14ac:dyDescent="0.2">
      <c r="A102" s="350">
        <v>5044</v>
      </c>
      <c r="B102" s="353" t="s">
        <v>284</v>
      </c>
      <c r="C102" s="396" t="s">
        <v>424</v>
      </c>
      <c r="D102" s="355">
        <v>6</v>
      </c>
      <c r="E102" s="409">
        <v>650</v>
      </c>
      <c r="F102" s="379">
        <f>E102*D102</f>
        <v>3900</v>
      </c>
      <c r="G102" s="296"/>
      <c r="H102" s="296"/>
      <c r="I102" s="296"/>
      <c r="J102" s="296"/>
      <c r="K102" s="296"/>
      <c r="L102" s="297">
        <f>E102*(H102+I102+J102+K102)</f>
        <v>0</v>
      </c>
      <c r="M102" s="298">
        <v>43507</v>
      </c>
      <c r="N102" s="298">
        <v>43518</v>
      </c>
      <c r="O102" s="315"/>
      <c r="P102" s="300"/>
    </row>
    <row r="103" spans="1:16" s="301" customFormat="1" x14ac:dyDescent="0.2">
      <c r="A103" s="350">
        <v>5073</v>
      </c>
      <c r="B103" s="353" t="s">
        <v>284</v>
      </c>
      <c r="C103" s="396" t="s">
        <v>434</v>
      </c>
      <c r="D103" s="355">
        <v>1</v>
      </c>
      <c r="E103" s="409">
        <v>3300</v>
      </c>
      <c r="F103" s="379">
        <f>E103*D103</f>
        <v>3300</v>
      </c>
      <c r="G103" s="296">
        <v>1</v>
      </c>
      <c r="H103" s="296"/>
      <c r="I103" s="352">
        <v>1</v>
      </c>
      <c r="J103" s="296"/>
      <c r="K103" s="296"/>
      <c r="L103" s="297">
        <f>E103*(H103+I103+J103+K103)</f>
        <v>3300</v>
      </c>
      <c r="M103" s="298">
        <v>43510</v>
      </c>
      <c r="N103" s="298">
        <v>43511</v>
      </c>
      <c r="O103" s="315"/>
      <c r="P103" s="300"/>
    </row>
    <row r="104" spans="1:16" s="301" customFormat="1" x14ac:dyDescent="0.2">
      <c r="A104" s="319"/>
      <c r="B104" s="320"/>
      <c r="C104" s="399"/>
      <c r="D104" s="322"/>
      <c r="E104" s="412"/>
      <c r="F104" s="379">
        <f t="shared" si="14"/>
        <v>0</v>
      </c>
      <c r="G104" s="296"/>
      <c r="H104" s="296"/>
      <c r="I104" s="296"/>
      <c r="J104" s="296"/>
      <c r="K104" s="296"/>
      <c r="L104" s="297">
        <f t="shared" si="12"/>
        <v>0</v>
      </c>
      <c r="M104" s="298"/>
      <c r="N104" s="298"/>
      <c r="O104" s="315"/>
      <c r="P104" s="300"/>
    </row>
    <row r="105" spans="1:16" s="301" customFormat="1" x14ac:dyDescent="0.2">
      <c r="A105" s="319">
        <v>4875</v>
      </c>
      <c r="B105" s="320" t="s">
        <v>289</v>
      </c>
      <c r="C105" s="399" t="s">
        <v>290</v>
      </c>
      <c r="D105" s="421">
        <v>5</v>
      </c>
      <c r="E105" s="412">
        <v>2700</v>
      </c>
      <c r="F105" s="379">
        <f t="shared" si="13"/>
        <v>13500</v>
      </c>
      <c r="G105" s="296">
        <v>5</v>
      </c>
      <c r="H105" s="296"/>
      <c r="I105" s="296"/>
      <c r="J105" s="296"/>
      <c r="K105" s="296"/>
      <c r="L105" s="297">
        <f t="shared" si="9"/>
        <v>0</v>
      </c>
      <c r="M105" s="298">
        <v>43483</v>
      </c>
      <c r="N105" s="298">
        <v>43511</v>
      </c>
      <c r="O105" s="315"/>
      <c r="P105" s="300"/>
    </row>
    <row r="106" spans="1:16" s="301" customFormat="1" x14ac:dyDescent="0.2">
      <c r="A106" s="319">
        <v>4876</v>
      </c>
      <c r="B106" s="320" t="s">
        <v>289</v>
      </c>
      <c r="C106" s="399" t="s">
        <v>291</v>
      </c>
      <c r="D106" s="421">
        <v>1</v>
      </c>
      <c r="E106" s="412">
        <v>14000</v>
      </c>
      <c r="F106" s="379">
        <f t="shared" si="13"/>
        <v>14000</v>
      </c>
      <c r="G106" s="296"/>
      <c r="H106" s="296"/>
      <c r="I106" s="296"/>
      <c r="J106" s="296"/>
      <c r="K106" s="296"/>
      <c r="L106" s="297">
        <f t="shared" si="9"/>
        <v>0</v>
      </c>
      <c r="M106" s="298">
        <v>43483</v>
      </c>
      <c r="N106" s="298">
        <v>43511</v>
      </c>
      <c r="O106" s="315"/>
      <c r="P106" s="300"/>
    </row>
    <row r="107" spans="1:16" s="301" customFormat="1" x14ac:dyDescent="0.2">
      <c r="A107" s="319"/>
      <c r="B107" s="320"/>
      <c r="C107" s="399"/>
      <c r="D107" s="322"/>
      <c r="E107" s="412"/>
      <c r="F107" s="379">
        <f t="shared" si="13"/>
        <v>0</v>
      </c>
      <c r="G107" s="296"/>
      <c r="H107" s="296"/>
      <c r="I107" s="296"/>
      <c r="J107" s="296"/>
      <c r="K107" s="296"/>
      <c r="L107" s="297">
        <f t="shared" si="9"/>
        <v>0</v>
      </c>
      <c r="M107" s="298"/>
      <c r="N107" s="298"/>
      <c r="O107" s="315"/>
      <c r="P107" s="300"/>
    </row>
    <row r="108" spans="1:16" s="301" customFormat="1" x14ac:dyDescent="0.2">
      <c r="A108" s="319">
        <v>4926</v>
      </c>
      <c r="B108" s="320" t="s">
        <v>297</v>
      </c>
      <c r="C108" s="399" t="s">
        <v>323</v>
      </c>
      <c r="D108" s="322">
        <v>3</v>
      </c>
      <c r="E108" s="414">
        <v>280</v>
      </c>
      <c r="F108" s="379">
        <f t="shared" si="13"/>
        <v>840</v>
      </c>
      <c r="G108" s="296">
        <v>3</v>
      </c>
      <c r="H108" s="352">
        <v>3</v>
      </c>
      <c r="I108" s="296"/>
      <c r="J108" s="296"/>
      <c r="K108" s="296"/>
      <c r="L108" s="297">
        <f>E108*(H108+I108+J108+K108)</f>
        <v>840</v>
      </c>
      <c r="M108" s="298"/>
      <c r="N108" s="298"/>
      <c r="O108" s="315"/>
      <c r="P108" s="300"/>
    </row>
    <row r="109" spans="1:16" s="301" customFormat="1" x14ac:dyDescent="0.2">
      <c r="A109" s="319">
        <v>4927</v>
      </c>
      <c r="B109" s="320" t="s">
        <v>297</v>
      </c>
      <c r="C109" s="399" t="s">
        <v>324</v>
      </c>
      <c r="D109" s="322">
        <v>3</v>
      </c>
      <c r="E109" s="414">
        <v>280</v>
      </c>
      <c r="F109" s="379">
        <f t="shared" si="13"/>
        <v>840</v>
      </c>
      <c r="G109" s="296">
        <v>3</v>
      </c>
      <c r="H109" s="352">
        <v>3</v>
      </c>
      <c r="I109" s="296"/>
      <c r="J109" s="296"/>
      <c r="K109" s="296"/>
      <c r="L109" s="297">
        <f t="shared" si="9"/>
        <v>840</v>
      </c>
      <c r="M109" s="298"/>
      <c r="N109" s="298"/>
      <c r="O109" s="315"/>
      <c r="P109" s="300"/>
    </row>
    <row r="110" spans="1:16" s="301" customFormat="1" x14ac:dyDescent="0.2">
      <c r="A110" s="319">
        <v>4928</v>
      </c>
      <c r="B110" s="320" t="s">
        <v>297</v>
      </c>
      <c r="C110" s="399" t="s">
        <v>325</v>
      </c>
      <c r="D110" s="322">
        <v>15</v>
      </c>
      <c r="E110" s="414">
        <v>275</v>
      </c>
      <c r="F110" s="379">
        <f t="shared" si="13"/>
        <v>4125</v>
      </c>
      <c r="G110" s="296">
        <v>15</v>
      </c>
      <c r="H110" s="352">
        <v>15</v>
      </c>
      <c r="I110" s="296"/>
      <c r="J110" s="296"/>
      <c r="K110" s="296"/>
      <c r="L110" s="297">
        <f t="shared" si="9"/>
        <v>4125</v>
      </c>
      <c r="M110" s="298"/>
      <c r="N110" s="298"/>
      <c r="O110" s="315"/>
      <c r="P110" s="300"/>
    </row>
    <row r="111" spans="1:16" s="301" customFormat="1" x14ac:dyDescent="0.2">
      <c r="A111" s="319">
        <v>4929</v>
      </c>
      <c r="B111" s="320" t="s">
        <v>297</v>
      </c>
      <c r="C111" s="399" t="s">
        <v>326</v>
      </c>
      <c r="D111" s="322">
        <v>6</v>
      </c>
      <c r="E111" s="414">
        <v>260</v>
      </c>
      <c r="F111" s="379">
        <f t="shared" si="13"/>
        <v>1560</v>
      </c>
      <c r="G111" s="296">
        <v>6</v>
      </c>
      <c r="H111" s="352">
        <v>6</v>
      </c>
      <c r="I111" s="296"/>
      <c r="J111" s="296"/>
      <c r="K111" s="296"/>
      <c r="L111" s="297">
        <f t="shared" si="9"/>
        <v>1560</v>
      </c>
      <c r="M111" s="298"/>
      <c r="N111" s="298"/>
      <c r="O111" s="315"/>
      <c r="P111" s="300"/>
    </row>
    <row r="112" spans="1:16" s="301" customFormat="1" x14ac:dyDescent="0.2">
      <c r="A112" s="319">
        <v>4930</v>
      </c>
      <c r="B112" s="320" t="s">
        <v>297</v>
      </c>
      <c r="C112" s="399" t="s">
        <v>327</v>
      </c>
      <c r="D112" s="322">
        <v>6</v>
      </c>
      <c r="E112" s="414">
        <v>230</v>
      </c>
      <c r="F112" s="379">
        <f t="shared" si="13"/>
        <v>1380</v>
      </c>
      <c r="G112" s="296">
        <v>6</v>
      </c>
      <c r="H112" s="352">
        <v>6</v>
      </c>
      <c r="I112" s="296"/>
      <c r="J112" s="296"/>
      <c r="K112" s="296"/>
      <c r="L112" s="297">
        <f t="shared" si="9"/>
        <v>1380</v>
      </c>
      <c r="M112" s="298"/>
      <c r="N112" s="298"/>
      <c r="O112" s="315"/>
      <c r="P112" s="300"/>
    </row>
    <row r="113" spans="1:16" s="301" customFormat="1" x14ac:dyDescent="0.2">
      <c r="A113" s="319">
        <v>4931</v>
      </c>
      <c r="B113" s="320" t="s">
        <v>297</v>
      </c>
      <c r="C113" s="399" t="s">
        <v>328</v>
      </c>
      <c r="D113" s="322">
        <v>70</v>
      </c>
      <c r="E113" s="414">
        <v>275</v>
      </c>
      <c r="F113" s="379">
        <f t="shared" si="13"/>
        <v>19250</v>
      </c>
      <c r="G113" s="296">
        <v>70</v>
      </c>
      <c r="H113" s="352">
        <v>70</v>
      </c>
      <c r="I113" s="296"/>
      <c r="J113" s="296"/>
      <c r="K113" s="296"/>
      <c r="L113" s="297">
        <f t="shared" si="9"/>
        <v>19250</v>
      </c>
      <c r="M113" s="298"/>
      <c r="N113" s="298"/>
      <c r="O113" s="315"/>
      <c r="P113" s="300"/>
    </row>
    <row r="114" spans="1:16" s="301" customFormat="1" x14ac:dyDescent="0.2">
      <c r="A114" s="319">
        <v>4932</v>
      </c>
      <c r="B114" s="320" t="s">
        <v>297</v>
      </c>
      <c r="C114" s="399" t="s">
        <v>329</v>
      </c>
      <c r="D114" s="322">
        <v>3</v>
      </c>
      <c r="E114" s="414">
        <v>270</v>
      </c>
      <c r="F114" s="379">
        <f t="shared" si="13"/>
        <v>810</v>
      </c>
      <c r="G114" s="296">
        <v>3</v>
      </c>
      <c r="H114" s="352">
        <v>3</v>
      </c>
      <c r="I114" s="296"/>
      <c r="J114" s="296"/>
      <c r="K114" s="296"/>
      <c r="L114" s="297">
        <f t="shared" si="9"/>
        <v>810</v>
      </c>
      <c r="M114" s="298"/>
      <c r="N114" s="298"/>
      <c r="O114" s="315"/>
      <c r="P114" s="300"/>
    </row>
    <row r="115" spans="1:16" s="301" customFormat="1" x14ac:dyDescent="0.2">
      <c r="A115" s="319">
        <v>4933</v>
      </c>
      <c r="B115" s="320" t="s">
        <v>297</v>
      </c>
      <c r="C115" s="399" t="s">
        <v>330</v>
      </c>
      <c r="D115" s="322">
        <v>3</v>
      </c>
      <c r="E115" s="414">
        <v>275</v>
      </c>
      <c r="F115" s="379">
        <f t="shared" si="13"/>
        <v>825</v>
      </c>
      <c r="G115" s="296">
        <v>3</v>
      </c>
      <c r="H115" s="352">
        <v>3</v>
      </c>
      <c r="I115" s="296"/>
      <c r="J115" s="296"/>
      <c r="K115" s="296"/>
      <c r="L115" s="297">
        <f t="shared" si="9"/>
        <v>825</v>
      </c>
      <c r="M115" s="298"/>
      <c r="N115" s="298"/>
      <c r="O115" s="315"/>
      <c r="P115" s="300"/>
    </row>
    <row r="116" spans="1:16" s="301" customFormat="1" x14ac:dyDescent="0.2">
      <c r="A116" s="319">
        <v>4934</v>
      </c>
      <c r="B116" s="320" t="s">
        <v>297</v>
      </c>
      <c r="C116" s="399" t="s">
        <v>331</v>
      </c>
      <c r="D116" s="322">
        <v>29</v>
      </c>
      <c r="E116" s="414">
        <v>240</v>
      </c>
      <c r="F116" s="379">
        <f t="shared" si="13"/>
        <v>6960</v>
      </c>
      <c r="G116" s="296">
        <v>29</v>
      </c>
      <c r="H116" s="352">
        <v>29</v>
      </c>
      <c r="I116" s="296"/>
      <c r="J116" s="296"/>
      <c r="K116" s="296"/>
      <c r="L116" s="297">
        <f t="shared" si="9"/>
        <v>6960</v>
      </c>
      <c r="M116" s="298"/>
      <c r="N116" s="298"/>
      <c r="O116" s="315"/>
      <c r="P116" s="300"/>
    </row>
    <row r="117" spans="1:16" s="301" customFormat="1" x14ac:dyDescent="0.2">
      <c r="A117" s="319">
        <v>4935</v>
      </c>
      <c r="B117" s="320" t="s">
        <v>297</v>
      </c>
      <c r="C117" s="399" t="s">
        <v>332</v>
      </c>
      <c r="D117" s="322">
        <v>2</v>
      </c>
      <c r="E117" s="414">
        <v>125</v>
      </c>
      <c r="F117" s="379">
        <f t="shared" si="13"/>
        <v>250</v>
      </c>
      <c r="G117" s="296">
        <v>2</v>
      </c>
      <c r="H117" s="352">
        <v>2</v>
      </c>
      <c r="I117" s="296"/>
      <c r="J117" s="296"/>
      <c r="K117" s="296"/>
      <c r="L117" s="297">
        <f t="shared" ref="L117:L233" si="15">E117*(H117+I117+J117+K117)</f>
        <v>250</v>
      </c>
      <c r="M117" s="298"/>
      <c r="N117" s="298"/>
      <c r="O117" s="315"/>
      <c r="P117" s="300"/>
    </row>
    <row r="118" spans="1:16" s="301" customFormat="1" x14ac:dyDescent="0.2">
      <c r="A118" s="319">
        <v>4936</v>
      </c>
      <c r="B118" s="320" t="s">
        <v>297</v>
      </c>
      <c r="C118" s="399" t="s">
        <v>333</v>
      </c>
      <c r="D118" s="322">
        <v>1</v>
      </c>
      <c r="E118" s="414">
        <v>180</v>
      </c>
      <c r="F118" s="379">
        <f t="shared" si="13"/>
        <v>180</v>
      </c>
      <c r="G118" s="296">
        <v>1</v>
      </c>
      <c r="H118" s="352">
        <v>1</v>
      </c>
      <c r="I118" s="296"/>
      <c r="J118" s="296"/>
      <c r="K118" s="296"/>
      <c r="L118" s="297">
        <f t="shared" si="15"/>
        <v>180</v>
      </c>
      <c r="M118" s="298"/>
      <c r="N118" s="298"/>
      <c r="O118" s="315"/>
      <c r="P118" s="300"/>
    </row>
    <row r="119" spans="1:16" s="301" customFormat="1" x14ac:dyDescent="0.2">
      <c r="A119" s="319">
        <v>4937</v>
      </c>
      <c r="B119" s="320" t="s">
        <v>297</v>
      </c>
      <c r="C119" s="399" t="s">
        <v>334</v>
      </c>
      <c r="D119" s="322">
        <v>1</v>
      </c>
      <c r="E119" s="415">
        <v>280</v>
      </c>
      <c r="F119" s="379">
        <f t="shared" si="13"/>
        <v>280</v>
      </c>
      <c r="G119" s="296">
        <v>1</v>
      </c>
      <c r="H119" s="352">
        <v>1</v>
      </c>
      <c r="I119" s="296"/>
      <c r="J119" s="296"/>
      <c r="K119" s="296"/>
      <c r="L119" s="297">
        <f t="shared" si="15"/>
        <v>280</v>
      </c>
      <c r="M119" s="298"/>
      <c r="N119" s="298"/>
      <c r="O119" s="315"/>
      <c r="P119" s="300"/>
    </row>
    <row r="120" spans="1:16" s="301" customFormat="1" x14ac:dyDescent="0.2">
      <c r="A120" s="319">
        <v>4938</v>
      </c>
      <c r="B120" s="320" t="s">
        <v>297</v>
      </c>
      <c r="C120" s="399" t="s">
        <v>335</v>
      </c>
      <c r="D120" s="322">
        <v>2</v>
      </c>
      <c r="E120" s="415">
        <v>280</v>
      </c>
      <c r="F120" s="379">
        <f t="shared" si="13"/>
        <v>560</v>
      </c>
      <c r="G120" s="296">
        <v>2</v>
      </c>
      <c r="H120" s="352">
        <v>2</v>
      </c>
      <c r="I120" s="296"/>
      <c r="J120" s="296"/>
      <c r="K120" s="296"/>
      <c r="L120" s="297">
        <f t="shared" si="15"/>
        <v>560</v>
      </c>
      <c r="M120" s="298"/>
      <c r="N120" s="298"/>
      <c r="O120" s="315"/>
      <c r="P120" s="300"/>
    </row>
    <row r="121" spans="1:16" s="301" customFormat="1" x14ac:dyDescent="0.2">
      <c r="A121" s="319">
        <v>4939</v>
      </c>
      <c r="B121" s="320" t="s">
        <v>297</v>
      </c>
      <c r="C121" s="399" t="s">
        <v>336</v>
      </c>
      <c r="D121" s="322">
        <v>2</v>
      </c>
      <c r="E121" s="415">
        <v>200</v>
      </c>
      <c r="F121" s="379">
        <f t="shared" si="13"/>
        <v>400</v>
      </c>
      <c r="G121" s="296">
        <v>2</v>
      </c>
      <c r="H121" s="352">
        <v>2</v>
      </c>
      <c r="I121" s="296"/>
      <c r="J121" s="296"/>
      <c r="K121" s="296"/>
      <c r="L121" s="297">
        <f t="shared" si="15"/>
        <v>400</v>
      </c>
      <c r="M121" s="298"/>
      <c r="N121" s="298"/>
      <c r="O121" s="315"/>
      <c r="P121" s="300"/>
    </row>
    <row r="122" spans="1:16" s="301" customFormat="1" x14ac:dyDescent="0.2">
      <c r="A122" s="319">
        <v>4940</v>
      </c>
      <c r="B122" s="320" t="s">
        <v>297</v>
      </c>
      <c r="C122" s="399" t="s">
        <v>337</v>
      </c>
      <c r="D122" s="322">
        <v>4</v>
      </c>
      <c r="E122" s="415">
        <v>270</v>
      </c>
      <c r="F122" s="379">
        <f t="shared" si="13"/>
        <v>1080</v>
      </c>
      <c r="G122" s="296">
        <v>4</v>
      </c>
      <c r="H122" s="352">
        <v>4</v>
      </c>
      <c r="I122" s="296"/>
      <c r="J122" s="296"/>
      <c r="K122" s="296"/>
      <c r="L122" s="297">
        <f t="shared" si="15"/>
        <v>1080</v>
      </c>
      <c r="M122" s="298"/>
      <c r="N122" s="298"/>
      <c r="O122" s="315"/>
      <c r="P122" s="300"/>
    </row>
    <row r="123" spans="1:16" s="301" customFormat="1" x14ac:dyDescent="0.2">
      <c r="A123" s="319">
        <v>4941</v>
      </c>
      <c r="B123" s="320" t="s">
        <v>297</v>
      </c>
      <c r="C123" s="399" t="s">
        <v>338</v>
      </c>
      <c r="D123" s="322">
        <v>4</v>
      </c>
      <c r="E123" s="415">
        <v>160</v>
      </c>
      <c r="F123" s="379">
        <f t="shared" si="13"/>
        <v>640</v>
      </c>
      <c r="G123" s="296">
        <v>4</v>
      </c>
      <c r="H123" s="352">
        <v>4</v>
      </c>
      <c r="I123" s="296"/>
      <c r="J123" s="296"/>
      <c r="K123" s="296"/>
      <c r="L123" s="297">
        <f t="shared" si="15"/>
        <v>640</v>
      </c>
      <c r="M123" s="298"/>
      <c r="N123" s="298"/>
      <c r="O123" s="315"/>
      <c r="P123" s="300"/>
    </row>
    <row r="124" spans="1:16" s="301" customFormat="1" x14ac:dyDescent="0.2">
      <c r="A124" s="319">
        <v>4942</v>
      </c>
      <c r="B124" s="320" t="s">
        <v>297</v>
      </c>
      <c r="C124" s="399" t="s">
        <v>339</v>
      </c>
      <c r="D124" s="322">
        <v>2</v>
      </c>
      <c r="E124" s="415">
        <v>270</v>
      </c>
      <c r="F124" s="379">
        <f t="shared" si="13"/>
        <v>540</v>
      </c>
      <c r="G124" s="296">
        <v>2</v>
      </c>
      <c r="H124" s="352">
        <v>2</v>
      </c>
      <c r="I124" s="296"/>
      <c r="J124" s="296"/>
      <c r="K124" s="296"/>
      <c r="L124" s="297">
        <f t="shared" si="15"/>
        <v>540</v>
      </c>
      <c r="M124" s="298"/>
      <c r="N124" s="298"/>
      <c r="O124" s="315"/>
      <c r="P124" s="300"/>
    </row>
    <row r="125" spans="1:16" s="301" customFormat="1" x14ac:dyDescent="0.2">
      <c r="A125" s="319">
        <v>4943</v>
      </c>
      <c r="B125" s="320" t="s">
        <v>297</v>
      </c>
      <c r="C125" s="399" t="s">
        <v>340</v>
      </c>
      <c r="D125" s="322">
        <v>4</v>
      </c>
      <c r="E125" s="415">
        <v>130</v>
      </c>
      <c r="F125" s="379">
        <f t="shared" si="13"/>
        <v>520</v>
      </c>
      <c r="G125" s="296">
        <v>4</v>
      </c>
      <c r="H125" s="352">
        <v>4</v>
      </c>
      <c r="I125" s="296"/>
      <c r="J125" s="296"/>
      <c r="K125" s="296"/>
      <c r="L125" s="297">
        <f t="shared" si="15"/>
        <v>520</v>
      </c>
      <c r="M125" s="298"/>
      <c r="N125" s="298"/>
      <c r="O125" s="315"/>
      <c r="P125" s="300"/>
    </row>
    <row r="126" spans="1:16" s="301" customFormat="1" x14ac:dyDescent="0.2">
      <c r="A126" s="319">
        <v>4944</v>
      </c>
      <c r="B126" s="320" t="s">
        <v>297</v>
      </c>
      <c r="C126" s="399" t="s">
        <v>341</v>
      </c>
      <c r="D126" s="322">
        <v>2</v>
      </c>
      <c r="E126" s="415">
        <v>130</v>
      </c>
      <c r="F126" s="379">
        <f t="shared" si="13"/>
        <v>260</v>
      </c>
      <c r="G126" s="296">
        <v>2</v>
      </c>
      <c r="H126" s="352">
        <v>2</v>
      </c>
      <c r="I126" s="296"/>
      <c r="J126" s="296"/>
      <c r="K126" s="296"/>
      <c r="L126" s="297">
        <f t="shared" si="15"/>
        <v>260</v>
      </c>
      <c r="M126" s="298"/>
      <c r="N126" s="298"/>
      <c r="O126" s="315"/>
      <c r="P126" s="300"/>
    </row>
    <row r="127" spans="1:16" s="301" customFormat="1" x14ac:dyDescent="0.2">
      <c r="A127" s="319">
        <v>4945</v>
      </c>
      <c r="B127" s="320" t="s">
        <v>297</v>
      </c>
      <c r="C127" s="399" t="s">
        <v>342</v>
      </c>
      <c r="D127" s="322">
        <v>1</v>
      </c>
      <c r="E127" s="415">
        <v>300</v>
      </c>
      <c r="F127" s="379">
        <f t="shared" si="13"/>
        <v>300</v>
      </c>
      <c r="G127" s="296">
        <v>1</v>
      </c>
      <c r="H127" s="352">
        <v>1</v>
      </c>
      <c r="I127" s="296"/>
      <c r="J127" s="296"/>
      <c r="K127" s="296"/>
      <c r="L127" s="297">
        <f t="shared" si="15"/>
        <v>300</v>
      </c>
      <c r="M127" s="298"/>
      <c r="N127" s="298"/>
      <c r="O127" s="315"/>
      <c r="P127" s="300"/>
    </row>
    <row r="128" spans="1:16" s="301" customFormat="1" x14ac:dyDescent="0.2">
      <c r="A128" s="319">
        <v>4946</v>
      </c>
      <c r="B128" s="320" t="s">
        <v>297</v>
      </c>
      <c r="C128" s="399" t="s">
        <v>343</v>
      </c>
      <c r="D128" s="322">
        <v>1</v>
      </c>
      <c r="E128" s="415">
        <v>250</v>
      </c>
      <c r="F128" s="379">
        <f t="shared" si="13"/>
        <v>250</v>
      </c>
      <c r="G128" s="296">
        <v>1</v>
      </c>
      <c r="H128" s="352">
        <v>1</v>
      </c>
      <c r="I128" s="296"/>
      <c r="J128" s="296"/>
      <c r="K128" s="296"/>
      <c r="L128" s="297">
        <f t="shared" si="15"/>
        <v>250</v>
      </c>
      <c r="M128" s="298"/>
      <c r="N128" s="298"/>
      <c r="O128" s="315"/>
      <c r="P128" s="300"/>
    </row>
    <row r="129" spans="1:16" s="301" customFormat="1" x14ac:dyDescent="0.2">
      <c r="A129" s="319">
        <v>4947</v>
      </c>
      <c r="B129" s="320" t="s">
        <v>297</v>
      </c>
      <c r="C129" s="399" t="s">
        <v>344</v>
      </c>
      <c r="D129" s="322">
        <v>1</v>
      </c>
      <c r="E129" s="415">
        <v>300</v>
      </c>
      <c r="F129" s="379">
        <f t="shared" si="13"/>
        <v>300</v>
      </c>
      <c r="G129" s="296">
        <v>1</v>
      </c>
      <c r="H129" s="352">
        <v>1</v>
      </c>
      <c r="I129" s="296"/>
      <c r="J129" s="296"/>
      <c r="K129" s="296"/>
      <c r="L129" s="297">
        <f t="shared" si="15"/>
        <v>300</v>
      </c>
      <c r="M129" s="298"/>
      <c r="N129" s="298"/>
      <c r="O129" s="315"/>
      <c r="P129" s="300"/>
    </row>
    <row r="130" spans="1:16" s="301" customFormat="1" x14ac:dyDescent="0.2">
      <c r="A130" s="319">
        <v>4948</v>
      </c>
      <c r="B130" s="320" t="s">
        <v>297</v>
      </c>
      <c r="C130" s="399" t="s">
        <v>345</v>
      </c>
      <c r="D130" s="322">
        <v>2</v>
      </c>
      <c r="E130" s="415">
        <v>300</v>
      </c>
      <c r="F130" s="379">
        <f t="shared" ref="F130:F183" si="16">E130*D130</f>
        <v>600</v>
      </c>
      <c r="G130" s="296">
        <v>2</v>
      </c>
      <c r="H130" s="352">
        <v>2</v>
      </c>
      <c r="I130" s="296"/>
      <c r="J130" s="296"/>
      <c r="K130" s="296"/>
      <c r="L130" s="297">
        <f t="shared" ref="L130:L186" si="17">E130*(H130+I130+J130+K130)</f>
        <v>600</v>
      </c>
      <c r="M130" s="298"/>
      <c r="N130" s="298"/>
      <c r="O130" s="315"/>
      <c r="P130" s="300"/>
    </row>
    <row r="131" spans="1:16" s="301" customFormat="1" x14ac:dyDescent="0.2">
      <c r="A131" s="350">
        <v>4990</v>
      </c>
      <c r="B131" s="353" t="s">
        <v>297</v>
      </c>
      <c r="C131" s="396" t="s">
        <v>372</v>
      </c>
      <c r="D131" s="355">
        <v>4</v>
      </c>
      <c r="E131" s="416">
        <v>260</v>
      </c>
      <c r="F131" s="379">
        <f t="shared" ref="F131:F156" si="18">E131*D131</f>
        <v>1040</v>
      </c>
      <c r="G131" s="296">
        <v>4</v>
      </c>
      <c r="H131" s="296"/>
      <c r="I131" s="352">
        <v>4</v>
      </c>
      <c r="J131" s="296"/>
      <c r="K131" s="296"/>
      <c r="L131" s="297">
        <f t="shared" ref="L131:L156" si="19">E131*(H131+I131+J131+K131)</f>
        <v>1040</v>
      </c>
      <c r="M131" s="298">
        <v>43502</v>
      </c>
      <c r="N131" s="298"/>
      <c r="O131" s="315"/>
      <c r="P131" s="300"/>
    </row>
    <row r="132" spans="1:16" s="301" customFormat="1" x14ac:dyDescent="0.2">
      <c r="A132" s="350">
        <v>4991</v>
      </c>
      <c r="B132" s="353" t="s">
        <v>297</v>
      </c>
      <c r="C132" s="396" t="s">
        <v>373</v>
      </c>
      <c r="D132" s="355">
        <v>4</v>
      </c>
      <c r="E132" s="416">
        <v>275</v>
      </c>
      <c r="F132" s="379">
        <f t="shared" si="18"/>
        <v>1100</v>
      </c>
      <c r="G132" s="296">
        <v>4</v>
      </c>
      <c r="H132" s="296"/>
      <c r="I132" s="352">
        <v>4</v>
      </c>
      <c r="J132" s="296"/>
      <c r="K132" s="296"/>
      <c r="L132" s="297">
        <f t="shared" si="19"/>
        <v>1100</v>
      </c>
      <c r="M132" s="298">
        <v>43502</v>
      </c>
      <c r="N132" s="298"/>
      <c r="O132" s="315"/>
      <c r="P132" s="300"/>
    </row>
    <row r="133" spans="1:16" s="301" customFormat="1" x14ac:dyDescent="0.2">
      <c r="A133" s="350">
        <v>4992</v>
      </c>
      <c r="B133" s="353" t="s">
        <v>297</v>
      </c>
      <c r="C133" s="396" t="s">
        <v>374</v>
      </c>
      <c r="D133" s="355">
        <v>1</v>
      </c>
      <c r="E133" s="416">
        <v>150</v>
      </c>
      <c r="F133" s="379">
        <f t="shared" si="18"/>
        <v>150</v>
      </c>
      <c r="G133" s="296">
        <v>1</v>
      </c>
      <c r="H133" s="296"/>
      <c r="I133" s="352">
        <v>1</v>
      </c>
      <c r="J133" s="296"/>
      <c r="K133" s="296"/>
      <c r="L133" s="297">
        <f t="shared" si="19"/>
        <v>150</v>
      </c>
      <c r="M133" s="298">
        <v>43502</v>
      </c>
      <c r="N133" s="298"/>
      <c r="O133" s="315"/>
      <c r="P133" s="300"/>
    </row>
    <row r="134" spans="1:16" s="301" customFormat="1" x14ac:dyDescent="0.2">
      <c r="A134" s="350">
        <v>4993</v>
      </c>
      <c r="B134" s="353" t="s">
        <v>297</v>
      </c>
      <c r="C134" s="396" t="s">
        <v>375</v>
      </c>
      <c r="D134" s="355">
        <v>1</v>
      </c>
      <c r="E134" s="416">
        <v>240</v>
      </c>
      <c r="F134" s="379">
        <f t="shared" si="18"/>
        <v>240</v>
      </c>
      <c r="G134" s="296">
        <v>1</v>
      </c>
      <c r="H134" s="296"/>
      <c r="I134" s="296"/>
      <c r="J134" s="296"/>
      <c r="K134" s="296"/>
      <c r="L134" s="297">
        <f t="shared" si="19"/>
        <v>0</v>
      </c>
      <c r="M134" s="298">
        <v>43502</v>
      </c>
      <c r="N134" s="298"/>
      <c r="O134" s="315"/>
      <c r="P134" s="300"/>
    </row>
    <row r="135" spans="1:16" s="301" customFormat="1" x14ac:dyDescent="0.2">
      <c r="A135" s="350">
        <v>4994</v>
      </c>
      <c r="B135" s="353" t="s">
        <v>297</v>
      </c>
      <c r="C135" s="396" t="s">
        <v>376</v>
      </c>
      <c r="D135" s="355">
        <v>3</v>
      </c>
      <c r="E135" s="416">
        <v>280</v>
      </c>
      <c r="F135" s="379">
        <f t="shared" si="18"/>
        <v>840</v>
      </c>
      <c r="G135" s="296">
        <v>3</v>
      </c>
      <c r="H135" s="296"/>
      <c r="I135" s="352">
        <v>3</v>
      </c>
      <c r="J135" s="296"/>
      <c r="K135" s="296"/>
      <c r="L135" s="297">
        <f t="shared" si="19"/>
        <v>840</v>
      </c>
      <c r="M135" s="298">
        <v>43502</v>
      </c>
      <c r="N135" s="298"/>
      <c r="O135" s="315"/>
      <c r="P135" s="300"/>
    </row>
    <row r="136" spans="1:16" s="301" customFormat="1" x14ac:dyDescent="0.2">
      <c r="A136" s="350">
        <v>4995</v>
      </c>
      <c r="B136" s="353" t="s">
        <v>297</v>
      </c>
      <c r="C136" s="396" t="s">
        <v>377</v>
      </c>
      <c r="D136" s="355">
        <v>2</v>
      </c>
      <c r="E136" s="416">
        <v>150</v>
      </c>
      <c r="F136" s="379">
        <f t="shared" si="18"/>
        <v>300</v>
      </c>
      <c r="G136" s="296">
        <v>2</v>
      </c>
      <c r="H136" s="296"/>
      <c r="I136" s="352">
        <v>2</v>
      </c>
      <c r="J136" s="296"/>
      <c r="K136" s="296"/>
      <c r="L136" s="297">
        <f t="shared" si="19"/>
        <v>300</v>
      </c>
      <c r="M136" s="298">
        <v>43502</v>
      </c>
      <c r="N136" s="298"/>
      <c r="O136" s="315"/>
      <c r="P136" s="300"/>
    </row>
    <row r="137" spans="1:16" s="301" customFormat="1" x14ac:dyDescent="0.2">
      <c r="A137" s="350">
        <v>4996</v>
      </c>
      <c r="B137" s="353" t="s">
        <v>297</v>
      </c>
      <c r="C137" s="396" t="s">
        <v>378</v>
      </c>
      <c r="D137" s="355">
        <v>5</v>
      </c>
      <c r="E137" s="416">
        <v>175</v>
      </c>
      <c r="F137" s="379">
        <f t="shared" si="18"/>
        <v>875</v>
      </c>
      <c r="G137" s="296">
        <v>5</v>
      </c>
      <c r="H137" s="296"/>
      <c r="I137" s="352">
        <v>5</v>
      </c>
      <c r="J137" s="296"/>
      <c r="K137" s="296"/>
      <c r="L137" s="297">
        <f t="shared" si="19"/>
        <v>875</v>
      </c>
      <c r="M137" s="298">
        <v>43502</v>
      </c>
      <c r="N137" s="298"/>
      <c r="O137" s="315"/>
      <c r="P137" s="300"/>
    </row>
    <row r="138" spans="1:16" s="301" customFormat="1" x14ac:dyDescent="0.2">
      <c r="A138" s="350">
        <v>4997</v>
      </c>
      <c r="B138" s="353" t="s">
        <v>297</v>
      </c>
      <c r="C138" s="396" t="s">
        <v>379</v>
      </c>
      <c r="D138" s="355">
        <v>2</v>
      </c>
      <c r="E138" s="416">
        <v>230</v>
      </c>
      <c r="F138" s="379">
        <f t="shared" si="18"/>
        <v>460</v>
      </c>
      <c r="G138" s="296">
        <v>2</v>
      </c>
      <c r="H138" s="296"/>
      <c r="I138" s="296"/>
      <c r="J138" s="296"/>
      <c r="K138" s="296"/>
      <c r="L138" s="297">
        <f t="shared" si="19"/>
        <v>0</v>
      </c>
      <c r="M138" s="298">
        <v>43502</v>
      </c>
      <c r="N138" s="298"/>
      <c r="O138" s="315"/>
      <c r="P138" s="300"/>
    </row>
    <row r="139" spans="1:16" s="301" customFormat="1" x14ac:dyDescent="0.2">
      <c r="A139" s="350">
        <v>4998</v>
      </c>
      <c r="B139" s="353" t="s">
        <v>297</v>
      </c>
      <c r="C139" s="396" t="s">
        <v>380</v>
      </c>
      <c r="D139" s="355">
        <v>55</v>
      </c>
      <c r="E139" s="416">
        <v>275</v>
      </c>
      <c r="F139" s="379">
        <f t="shared" si="18"/>
        <v>15125</v>
      </c>
      <c r="G139" s="296">
        <v>55</v>
      </c>
      <c r="H139" s="296"/>
      <c r="I139" s="352">
        <v>55</v>
      </c>
      <c r="J139" s="296"/>
      <c r="K139" s="296"/>
      <c r="L139" s="297">
        <f t="shared" si="19"/>
        <v>15125</v>
      </c>
      <c r="M139" s="298">
        <v>43502</v>
      </c>
      <c r="N139" s="298"/>
      <c r="O139" s="315"/>
      <c r="P139" s="300"/>
    </row>
    <row r="140" spans="1:16" s="301" customFormat="1" x14ac:dyDescent="0.2">
      <c r="A140" s="350">
        <v>4999</v>
      </c>
      <c r="B140" s="353" t="s">
        <v>297</v>
      </c>
      <c r="C140" s="396" t="s">
        <v>381</v>
      </c>
      <c r="D140" s="355">
        <v>7</v>
      </c>
      <c r="E140" s="416">
        <v>300</v>
      </c>
      <c r="F140" s="379">
        <f t="shared" si="18"/>
        <v>2100</v>
      </c>
      <c r="G140" s="296">
        <v>7</v>
      </c>
      <c r="H140" s="296"/>
      <c r="I140" s="352">
        <v>7</v>
      </c>
      <c r="J140" s="296"/>
      <c r="K140" s="296"/>
      <c r="L140" s="297">
        <f t="shared" si="19"/>
        <v>2100</v>
      </c>
      <c r="M140" s="298">
        <v>43502</v>
      </c>
      <c r="N140" s="298"/>
      <c r="O140" s="315"/>
      <c r="P140" s="300"/>
    </row>
    <row r="141" spans="1:16" s="301" customFormat="1" x14ac:dyDescent="0.2">
      <c r="A141" s="350">
        <v>5000</v>
      </c>
      <c r="B141" s="353" t="s">
        <v>297</v>
      </c>
      <c r="C141" s="396" t="s">
        <v>382</v>
      </c>
      <c r="D141" s="355">
        <v>25</v>
      </c>
      <c r="E141" s="416">
        <v>240</v>
      </c>
      <c r="F141" s="379">
        <f t="shared" si="18"/>
        <v>6000</v>
      </c>
      <c r="G141" s="296">
        <v>25</v>
      </c>
      <c r="H141" s="296"/>
      <c r="I141" s="296"/>
      <c r="J141" s="296"/>
      <c r="K141" s="296"/>
      <c r="L141" s="297">
        <f t="shared" si="19"/>
        <v>0</v>
      </c>
      <c r="M141" s="298">
        <v>43502</v>
      </c>
      <c r="N141" s="298"/>
      <c r="O141" s="315"/>
      <c r="P141" s="300"/>
    </row>
    <row r="142" spans="1:16" s="301" customFormat="1" x14ac:dyDescent="0.2">
      <c r="A142" s="350">
        <v>5001</v>
      </c>
      <c r="B142" s="353" t="s">
        <v>297</v>
      </c>
      <c r="C142" s="396" t="s">
        <v>383</v>
      </c>
      <c r="D142" s="355">
        <v>2</v>
      </c>
      <c r="E142" s="416">
        <v>270</v>
      </c>
      <c r="F142" s="379">
        <f t="shared" si="18"/>
        <v>540</v>
      </c>
      <c r="G142" s="296">
        <v>2</v>
      </c>
      <c r="H142" s="296"/>
      <c r="I142" s="352">
        <v>2</v>
      </c>
      <c r="J142" s="296"/>
      <c r="K142" s="296"/>
      <c r="L142" s="297">
        <f t="shared" si="19"/>
        <v>540</v>
      </c>
      <c r="M142" s="298">
        <v>43502</v>
      </c>
      <c r="N142" s="298"/>
      <c r="O142" s="315"/>
      <c r="P142" s="300"/>
    </row>
    <row r="143" spans="1:16" s="301" customFormat="1" x14ac:dyDescent="0.2">
      <c r="A143" s="350">
        <v>5002</v>
      </c>
      <c r="B143" s="353" t="s">
        <v>297</v>
      </c>
      <c r="C143" s="396" t="s">
        <v>384</v>
      </c>
      <c r="D143" s="355">
        <v>16</v>
      </c>
      <c r="E143" s="416">
        <v>300</v>
      </c>
      <c r="F143" s="379">
        <f t="shared" si="18"/>
        <v>4800</v>
      </c>
      <c r="G143" s="296">
        <v>16</v>
      </c>
      <c r="H143" s="296"/>
      <c r="I143" s="352">
        <v>16</v>
      </c>
      <c r="J143" s="296"/>
      <c r="K143" s="296"/>
      <c r="L143" s="297">
        <f t="shared" si="19"/>
        <v>4800</v>
      </c>
      <c r="M143" s="298">
        <v>43502</v>
      </c>
      <c r="N143" s="298"/>
      <c r="O143" s="315"/>
      <c r="P143" s="300"/>
    </row>
    <row r="144" spans="1:16" s="301" customFormat="1" x14ac:dyDescent="0.2">
      <c r="A144" s="350">
        <v>5003</v>
      </c>
      <c r="B144" s="353" t="s">
        <v>297</v>
      </c>
      <c r="C144" s="396" t="s">
        <v>385</v>
      </c>
      <c r="D144" s="355">
        <v>19</v>
      </c>
      <c r="E144" s="416">
        <v>240</v>
      </c>
      <c r="F144" s="379">
        <f t="shared" si="18"/>
        <v>4560</v>
      </c>
      <c r="G144" s="296"/>
      <c r="H144" s="296"/>
      <c r="I144" s="296"/>
      <c r="J144" s="296"/>
      <c r="K144" s="296"/>
      <c r="L144" s="297">
        <f t="shared" si="19"/>
        <v>0</v>
      </c>
      <c r="M144" s="298">
        <v>43502</v>
      </c>
      <c r="N144" s="298"/>
      <c r="O144" s="315"/>
      <c r="P144" s="300"/>
    </row>
    <row r="145" spans="1:16" s="301" customFormat="1" x14ac:dyDescent="0.2">
      <c r="A145" s="350">
        <v>5004</v>
      </c>
      <c r="B145" s="353" t="s">
        <v>297</v>
      </c>
      <c r="C145" s="396" t="s">
        <v>386</v>
      </c>
      <c r="D145" s="355">
        <v>8</v>
      </c>
      <c r="E145" s="416">
        <v>220</v>
      </c>
      <c r="F145" s="379">
        <f t="shared" si="18"/>
        <v>1760</v>
      </c>
      <c r="G145" s="296"/>
      <c r="H145" s="296"/>
      <c r="I145" s="296"/>
      <c r="J145" s="296"/>
      <c r="K145" s="296"/>
      <c r="L145" s="297">
        <f t="shared" si="19"/>
        <v>0</v>
      </c>
      <c r="M145" s="298">
        <v>43502</v>
      </c>
      <c r="N145" s="298"/>
      <c r="O145" s="315"/>
      <c r="P145" s="300"/>
    </row>
    <row r="146" spans="1:16" s="301" customFormat="1" x14ac:dyDescent="0.2">
      <c r="A146" s="350">
        <v>5005</v>
      </c>
      <c r="B146" s="353" t="s">
        <v>297</v>
      </c>
      <c r="C146" s="396" t="s">
        <v>387</v>
      </c>
      <c r="D146" s="355">
        <v>9</v>
      </c>
      <c r="E146" s="416">
        <v>230</v>
      </c>
      <c r="F146" s="379">
        <f t="shared" si="18"/>
        <v>2070</v>
      </c>
      <c r="G146" s="296">
        <v>9</v>
      </c>
      <c r="H146" s="296"/>
      <c r="I146" s="296"/>
      <c r="J146" s="296"/>
      <c r="K146" s="296"/>
      <c r="L146" s="297">
        <f t="shared" si="19"/>
        <v>0</v>
      </c>
      <c r="M146" s="298">
        <v>43502</v>
      </c>
      <c r="N146" s="298"/>
      <c r="O146" s="315"/>
      <c r="P146" s="300"/>
    </row>
    <row r="147" spans="1:16" s="301" customFormat="1" x14ac:dyDescent="0.2">
      <c r="A147" s="350">
        <v>5006</v>
      </c>
      <c r="B147" s="353" t="s">
        <v>297</v>
      </c>
      <c r="C147" s="396" t="s">
        <v>388</v>
      </c>
      <c r="D147" s="355">
        <v>1</v>
      </c>
      <c r="E147" s="416">
        <v>230</v>
      </c>
      <c r="F147" s="379">
        <f t="shared" si="18"/>
        <v>230</v>
      </c>
      <c r="G147" s="296">
        <v>1</v>
      </c>
      <c r="H147" s="296"/>
      <c r="I147" s="296"/>
      <c r="J147" s="296"/>
      <c r="K147" s="296"/>
      <c r="L147" s="297">
        <f t="shared" si="19"/>
        <v>0</v>
      </c>
      <c r="M147" s="298">
        <v>43502</v>
      </c>
      <c r="N147" s="298"/>
      <c r="O147" s="315"/>
      <c r="P147" s="300"/>
    </row>
    <row r="148" spans="1:16" s="301" customFormat="1" x14ac:dyDescent="0.2">
      <c r="A148" s="350">
        <v>5007</v>
      </c>
      <c r="B148" s="353" t="s">
        <v>297</v>
      </c>
      <c r="C148" s="396" t="s">
        <v>389</v>
      </c>
      <c r="D148" s="355">
        <v>1</v>
      </c>
      <c r="E148" s="416">
        <v>170</v>
      </c>
      <c r="F148" s="379">
        <f t="shared" si="18"/>
        <v>170</v>
      </c>
      <c r="G148" s="296">
        <v>1</v>
      </c>
      <c r="H148" s="296"/>
      <c r="I148" s="296"/>
      <c r="J148" s="296"/>
      <c r="K148" s="296"/>
      <c r="L148" s="297">
        <f t="shared" si="19"/>
        <v>0</v>
      </c>
      <c r="M148" s="298">
        <v>43502</v>
      </c>
      <c r="N148" s="298"/>
      <c r="O148" s="315"/>
      <c r="P148" s="300"/>
    </row>
    <row r="149" spans="1:16" s="301" customFormat="1" x14ac:dyDescent="0.2">
      <c r="A149" s="350">
        <v>5008</v>
      </c>
      <c r="B149" s="353" t="s">
        <v>297</v>
      </c>
      <c r="C149" s="396" t="s">
        <v>390</v>
      </c>
      <c r="D149" s="355">
        <v>2</v>
      </c>
      <c r="E149" s="416">
        <v>260</v>
      </c>
      <c r="F149" s="379">
        <f t="shared" si="18"/>
        <v>520</v>
      </c>
      <c r="G149" s="296">
        <v>2</v>
      </c>
      <c r="H149" s="296"/>
      <c r="I149" s="352">
        <v>2</v>
      </c>
      <c r="J149" s="296"/>
      <c r="K149" s="296"/>
      <c r="L149" s="297">
        <f t="shared" si="19"/>
        <v>520</v>
      </c>
      <c r="M149" s="298">
        <v>43502</v>
      </c>
      <c r="N149" s="298"/>
      <c r="O149" s="315"/>
      <c r="P149" s="300"/>
    </row>
    <row r="150" spans="1:16" s="301" customFormat="1" x14ac:dyDescent="0.2">
      <c r="A150" s="350">
        <v>5009</v>
      </c>
      <c r="B150" s="353" t="s">
        <v>297</v>
      </c>
      <c r="C150" s="396" t="s">
        <v>391</v>
      </c>
      <c r="D150" s="355">
        <v>65</v>
      </c>
      <c r="E150" s="416">
        <v>275</v>
      </c>
      <c r="F150" s="379">
        <f t="shared" si="18"/>
        <v>17875</v>
      </c>
      <c r="G150" s="296">
        <v>65</v>
      </c>
      <c r="H150" s="296"/>
      <c r="I150" s="296"/>
      <c r="J150" s="296"/>
      <c r="K150" s="296"/>
      <c r="L150" s="297">
        <f t="shared" si="19"/>
        <v>0</v>
      </c>
      <c r="M150" s="298">
        <v>43502</v>
      </c>
      <c r="N150" s="298"/>
      <c r="O150" s="315"/>
      <c r="P150" s="300"/>
    </row>
    <row r="151" spans="1:16" s="301" customFormat="1" x14ac:dyDescent="0.2">
      <c r="A151" s="350">
        <v>5010</v>
      </c>
      <c r="B151" s="353" t="s">
        <v>297</v>
      </c>
      <c r="C151" s="396" t="s">
        <v>392</v>
      </c>
      <c r="D151" s="355">
        <v>5</v>
      </c>
      <c r="E151" s="416">
        <v>250</v>
      </c>
      <c r="F151" s="379">
        <f t="shared" si="18"/>
        <v>1250</v>
      </c>
      <c r="G151" s="296"/>
      <c r="H151" s="296"/>
      <c r="I151" s="296"/>
      <c r="J151" s="296"/>
      <c r="K151" s="296"/>
      <c r="L151" s="297">
        <f t="shared" si="19"/>
        <v>0</v>
      </c>
      <c r="M151" s="298">
        <v>43502</v>
      </c>
      <c r="N151" s="298"/>
      <c r="O151" s="315"/>
      <c r="P151" s="300"/>
    </row>
    <row r="152" spans="1:16" s="301" customFormat="1" x14ac:dyDescent="0.2">
      <c r="A152" s="350">
        <v>5011</v>
      </c>
      <c r="B152" s="353" t="s">
        <v>297</v>
      </c>
      <c r="C152" s="396" t="s">
        <v>393</v>
      </c>
      <c r="D152" s="355">
        <v>2</v>
      </c>
      <c r="E152" s="416">
        <v>250</v>
      </c>
      <c r="F152" s="379">
        <f t="shared" si="18"/>
        <v>500</v>
      </c>
      <c r="G152" s="296"/>
      <c r="H152" s="296"/>
      <c r="I152" s="296"/>
      <c r="J152" s="296"/>
      <c r="K152" s="296"/>
      <c r="L152" s="297">
        <f t="shared" si="19"/>
        <v>0</v>
      </c>
      <c r="M152" s="298">
        <v>43502</v>
      </c>
      <c r="N152" s="298"/>
      <c r="O152" s="315"/>
      <c r="P152" s="300"/>
    </row>
    <row r="153" spans="1:16" s="301" customFormat="1" x14ac:dyDescent="0.2">
      <c r="A153" s="350">
        <v>5012</v>
      </c>
      <c r="B153" s="353" t="s">
        <v>297</v>
      </c>
      <c r="C153" s="396" t="s">
        <v>394</v>
      </c>
      <c r="D153" s="355">
        <v>6</v>
      </c>
      <c r="E153" s="416">
        <v>65</v>
      </c>
      <c r="F153" s="379">
        <f t="shared" si="18"/>
        <v>390</v>
      </c>
      <c r="G153" s="296">
        <v>6</v>
      </c>
      <c r="H153" s="296"/>
      <c r="I153" s="352">
        <v>6</v>
      </c>
      <c r="J153" s="296"/>
      <c r="K153" s="296"/>
      <c r="L153" s="297">
        <f t="shared" si="19"/>
        <v>390</v>
      </c>
      <c r="M153" s="298">
        <v>43502</v>
      </c>
      <c r="N153" s="298"/>
      <c r="O153" s="315"/>
      <c r="P153" s="300"/>
    </row>
    <row r="154" spans="1:16" s="301" customFormat="1" x14ac:dyDescent="0.2">
      <c r="A154" s="350">
        <v>5013</v>
      </c>
      <c r="B154" s="353" t="s">
        <v>297</v>
      </c>
      <c r="C154" s="396" t="s">
        <v>395</v>
      </c>
      <c r="D154" s="355">
        <v>18</v>
      </c>
      <c r="E154" s="416">
        <v>280</v>
      </c>
      <c r="F154" s="379">
        <f t="shared" si="18"/>
        <v>5040</v>
      </c>
      <c r="G154" s="296">
        <v>18</v>
      </c>
      <c r="H154" s="296"/>
      <c r="I154" s="352">
        <v>18</v>
      </c>
      <c r="J154" s="296"/>
      <c r="K154" s="296"/>
      <c r="L154" s="297">
        <f t="shared" si="19"/>
        <v>5040</v>
      </c>
      <c r="M154" s="298">
        <v>43502</v>
      </c>
      <c r="N154" s="298"/>
      <c r="O154" s="315"/>
      <c r="P154" s="300"/>
    </row>
    <row r="155" spans="1:16" s="301" customFormat="1" x14ac:dyDescent="0.2">
      <c r="A155" s="350">
        <v>5014</v>
      </c>
      <c r="B155" s="353" t="s">
        <v>297</v>
      </c>
      <c r="C155" s="396" t="s">
        <v>396</v>
      </c>
      <c r="D155" s="355">
        <v>17</v>
      </c>
      <c r="E155" s="416">
        <v>280</v>
      </c>
      <c r="F155" s="379">
        <f t="shared" si="18"/>
        <v>4760</v>
      </c>
      <c r="G155" s="296">
        <v>17</v>
      </c>
      <c r="H155" s="296"/>
      <c r="I155" s="352">
        <v>17</v>
      </c>
      <c r="J155" s="296"/>
      <c r="K155" s="296"/>
      <c r="L155" s="297">
        <f t="shared" si="19"/>
        <v>4760</v>
      </c>
      <c r="M155" s="298">
        <v>43502</v>
      </c>
      <c r="N155" s="298"/>
      <c r="O155" s="315"/>
      <c r="P155" s="300"/>
    </row>
    <row r="156" spans="1:16" s="301" customFormat="1" x14ac:dyDescent="0.2">
      <c r="A156" s="350">
        <v>5015</v>
      </c>
      <c r="B156" s="353" t="s">
        <v>297</v>
      </c>
      <c r="C156" s="396" t="s">
        <v>397</v>
      </c>
      <c r="D156" s="355">
        <v>1</v>
      </c>
      <c r="E156" s="416">
        <v>280</v>
      </c>
      <c r="F156" s="379">
        <f t="shared" si="18"/>
        <v>280</v>
      </c>
      <c r="G156" s="296">
        <v>1</v>
      </c>
      <c r="H156" s="296"/>
      <c r="I156" s="352">
        <v>1</v>
      </c>
      <c r="J156" s="296"/>
      <c r="K156" s="296"/>
      <c r="L156" s="297">
        <f t="shared" si="19"/>
        <v>280</v>
      </c>
      <c r="M156" s="298">
        <v>43502</v>
      </c>
      <c r="N156" s="298"/>
      <c r="O156" s="315"/>
      <c r="P156" s="300"/>
    </row>
    <row r="157" spans="1:16" s="301" customFormat="1" x14ac:dyDescent="0.2">
      <c r="A157" s="350">
        <v>5024</v>
      </c>
      <c r="B157" s="353" t="s">
        <v>297</v>
      </c>
      <c r="C157" s="396" t="s">
        <v>403</v>
      </c>
      <c r="D157" s="355">
        <v>2</v>
      </c>
      <c r="E157" s="416">
        <v>330</v>
      </c>
      <c r="F157" s="379">
        <f t="shared" ref="F157:F165" si="20">E157*D157</f>
        <v>660</v>
      </c>
      <c r="G157" s="296">
        <v>2</v>
      </c>
      <c r="H157" s="352">
        <v>2</v>
      </c>
      <c r="I157" s="296"/>
      <c r="J157" s="296"/>
      <c r="K157" s="296"/>
      <c r="L157" s="297">
        <f t="shared" ref="L157:L164" si="21">E157*(H157+I157+J157+K157)</f>
        <v>660</v>
      </c>
      <c r="M157" s="298">
        <v>43503</v>
      </c>
      <c r="N157" s="298">
        <v>43504</v>
      </c>
      <c r="O157" s="315"/>
      <c r="P157" s="300"/>
    </row>
    <row r="158" spans="1:16" s="301" customFormat="1" x14ac:dyDescent="0.2">
      <c r="A158" s="350">
        <v>5025</v>
      </c>
      <c r="B158" s="353" t="s">
        <v>297</v>
      </c>
      <c r="C158" s="396" t="s">
        <v>404</v>
      </c>
      <c r="D158" s="355">
        <v>4</v>
      </c>
      <c r="E158" s="416">
        <v>315</v>
      </c>
      <c r="F158" s="379">
        <f t="shared" si="20"/>
        <v>1260</v>
      </c>
      <c r="G158" s="296">
        <v>4</v>
      </c>
      <c r="H158" s="352">
        <v>4</v>
      </c>
      <c r="I158" s="296"/>
      <c r="J158" s="296"/>
      <c r="K158" s="296"/>
      <c r="L158" s="297">
        <f t="shared" si="21"/>
        <v>1260</v>
      </c>
      <c r="M158" s="298">
        <v>43503</v>
      </c>
      <c r="N158" s="298">
        <v>43504</v>
      </c>
      <c r="O158" s="315"/>
      <c r="P158" s="300"/>
    </row>
    <row r="159" spans="1:16" s="301" customFormat="1" x14ac:dyDescent="0.2">
      <c r="A159" s="350">
        <v>5026</v>
      </c>
      <c r="B159" s="353" t="s">
        <v>297</v>
      </c>
      <c r="C159" s="396" t="s">
        <v>405</v>
      </c>
      <c r="D159" s="355">
        <v>14</v>
      </c>
      <c r="E159" s="416">
        <v>290</v>
      </c>
      <c r="F159" s="379">
        <f t="shared" si="20"/>
        <v>4060</v>
      </c>
      <c r="G159" s="296">
        <v>14</v>
      </c>
      <c r="H159" s="352">
        <v>14</v>
      </c>
      <c r="I159" s="296"/>
      <c r="J159" s="296"/>
      <c r="K159" s="296"/>
      <c r="L159" s="297">
        <f t="shared" si="21"/>
        <v>4060</v>
      </c>
      <c r="M159" s="298">
        <v>43503</v>
      </c>
      <c r="N159" s="298">
        <v>43504</v>
      </c>
      <c r="O159" s="315"/>
      <c r="P159" s="300"/>
    </row>
    <row r="160" spans="1:16" s="301" customFormat="1" x14ac:dyDescent="0.2">
      <c r="A160" s="350">
        <v>5027</v>
      </c>
      <c r="B160" s="353" t="s">
        <v>297</v>
      </c>
      <c r="C160" s="396" t="s">
        <v>406</v>
      </c>
      <c r="D160" s="355">
        <v>2</v>
      </c>
      <c r="E160" s="416">
        <v>318</v>
      </c>
      <c r="F160" s="379">
        <f t="shared" si="20"/>
        <v>636</v>
      </c>
      <c r="G160" s="296">
        <v>2</v>
      </c>
      <c r="H160" s="352">
        <v>2</v>
      </c>
      <c r="I160" s="296"/>
      <c r="J160" s="296"/>
      <c r="K160" s="296"/>
      <c r="L160" s="297">
        <f t="shared" si="21"/>
        <v>636</v>
      </c>
      <c r="M160" s="298">
        <v>43503</v>
      </c>
      <c r="N160" s="298">
        <v>43504</v>
      </c>
      <c r="O160" s="315"/>
      <c r="P160" s="300"/>
    </row>
    <row r="161" spans="1:16" s="301" customFormat="1" x14ac:dyDescent="0.2">
      <c r="A161" s="350">
        <v>5028</v>
      </c>
      <c r="B161" s="353" t="s">
        <v>297</v>
      </c>
      <c r="C161" s="396" t="s">
        <v>407</v>
      </c>
      <c r="D161" s="355">
        <v>2</v>
      </c>
      <c r="E161" s="416">
        <v>318</v>
      </c>
      <c r="F161" s="379">
        <f t="shared" si="20"/>
        <v>636</v>
      </c>
      <c r="G161" s="296">
        <v>2</v>
      </c>
      <c r="H161" s="352">
        <v>2</v>
      </c>
      <c r="I161" s="296"/>
      <c r="J161" s="296"/>
      <c r="K161" s="296"/>
      <c r="L161" s="297">
        <f t="shared" si="21"/>
        <v>636</v>
      </c>
      <c r="M161" s="298">
        <v>43503</v>
      </c>
      <c r="N161" s="298">
        <v>43504</v>
      </c>
      <c r="O161" s="315"/>
      <c r="P161" s="300"/>
    </row>
    <row r="162" spans="1:16" s="301" customFormat="1" x14ac:dyDescent="0.2">
      <c r="A162" s="350">
        <v>5029</v>
      </c>
      <c r="B162" s="353" t="s">
        <v>297</v>
      </c>
      <c r="C162" s="396" t="s">
        <v>408</v>
      </c>
      <c r="D162" s="355">
        <v>2</v>
      </c>
      <c r="E162" s="416">
        <v>70</v>
      </c>
      <c r="F162" s="379">
        <f t="shared" si="20"/>
        <v>140</v>
      </c>
      <c r="G162" s="296">
        <v>2</v>
      </c>
      <c r="H162" s="352">
        <v>2</v>
      </c>
      <c r="I162" s="296"/>
      <c r="J162" s="296"/>
      <c r="K162" s="296"/>
      <c r="L162" s="297">
        <f t="shared" si="21"/>
        <v>140</v>
      </c>
      <c r="M162" s="298">
        <v>43503</v>
      </c>
      <c r="N162" s="298">
        <v>43504</v>
      </c>
      <c r="O162" s="315"/>
      <c r="P162" s="300"/>
    </row>
    <row r="163" spans="1:16" s="301" customFormat="1" x14ac:dyDescent="0.2">
      <c r="A163" s="350">
        <v>5030</v>
      </c>
      <c r="B163" s="353" t="s">
        <v>297</v>
      </c>
      <c r="C163" s="396" t="s">
        <v>409</v>
      </c>
      <c r="D163" s="355">
        <v>2</v>
      </c>
      <c r="E163" s="416">
        <v>140</v>
      </c>
      <c r="F163" s="379">
        <f t="shared" si="20"/>
        <v>280</v>
      </c>
      <c r="G163" s="296">
        <v>2</v>
      </c>
      <c r="H163" s="352">
        <v>2</v>
      </c>
      <c r="I163" s="296"/>
      <c r="J163" s="296"/>
      <c r="K163" s="296"/>
      <c r="L163" s="297">
        <f t="shared" si="21"/>
        <v>280</v>
      </c>
      <c r="M163" s="298">
        <v>43503</v>
      </c>
      <c r="N163" s="298">
        <v>43504</v>
      </c>
      <c r="O163" s="315"/>
      <c r="P163" s="300"/>
    </row>
    <row r="164" spans="1:16" s="301" customFormat="1" x14ac:dyDescent="0.2">
      <c r="A164" s="350">
        <v>5031</v>
      </c>
      <c r="B164" s="353" t="s">
        <v>297</v>
      </c>
      <c r="C164" s="396" t="s">
        <v>410</v>
      </c>
      <c r="D164" s="355">
        <v>2</v>
      </c>
      <c r="E164" s="416">
        <v>140</v>
      </c>
      <c r="F164" s="379">
        <f t="shared" si="20"/>
        <v>280</v>
      </c>
      <c r="G164" s="296">
        <v>2</v>
      </c>
      <c r="H164" s="352">
        <v>2</v>
      </c>
      <c r="I164" s="296"/>
      <c r="J164" s="296"/>
      <c r="K164" s="296"/>
      <c r="L164" s="297">
        <f t="shared" si="21"/>
        <v>280</v>
      </c>
      <c r="M164" s="298">
        <v>43503</v>
      </c>
      <c r="N164" s="298">
        <v>43504</v>
      </c>
      <c r="O164" s="315"/>
      <c r="P164" s="300"/>
    </row>
    <row r="165" spans="1:16" s="301" customFormat="1" x14ac:dyDescent="0.2">
      <c r="A165" s="319">
        <v>5016</v>
      </c>
      <c r="B165" s="320" t="s">
        <v>297</v>
      </c>
      <c r="C165" s="399" t="s">
        <v>479</v>
      </c>
      <c r="D165" s="322">
        <v>2</v>
      </c>
      <c r="E165" s="417">
        <v>265</v>
      </c>
      <c r="F165" s="379">
        <f t="shared" si="20"/>
        <v>530</v>
      </c>
      <c r="G165" s="296">
        <v>2</v>
      </c>
      <c r="H165" s="296"/>
      <c r="I165" s="296"/>
      <c r="J165" s="296"/>
      <c r="K165" s="296"/>
      <c r="L165" s="297"/>
      <c r="M165" s="298">
        <v>43503</v>
      </c>
      <c r="N165" s="298"/>
      <c r="O165" s="315"/>
      <c r="P165" s="300"/>
    </row>
    <row r="166" spans="1:16" s="301" customFormat="1" x14ac:dyDescent="0.2">
      <c r="A166" s="319">
        <v>5090</v>
      </c>
      <c r="B166" s="320" t="s">
        <v>297</v>
      </c>
      <c r="C166" s="399" t="s">
        <v>492</v>
      </c>
      <c r="D166" s="322">
        <v>16</v>
      </c>
      <c r="E166" s="417">
        <v>405</v>
      </c>
      <c r="F166" s="379"/>
      <c r="G166" s="296">
        <v>7</v>
      </c>
      <c r="H166" s="296"/>
      <c r="I166" s="296"/>
      <c r="J166" s="296"/>
      <c r="K166" s="296"/>
      <c r="L166" s="297"/>
      <c r="M166" s="298">
        <v>43522</v>
      </c>
      <c r="N166" s="298"/>
      <c r="O166" s="315"/>
      <c r="P166" s="300"/>
    </row>
    <row r="167" spans="1:16" s="301" customFormat="1" x14ac:dyDescent="0.2">
      <c r="A167" s="319">
        <v>5091</v>
      </c>
      <c r="B167" s="320" t="s">
        <v>297</v>
      </c>
      <c r="C167" s="399" t="s">
        <v>493</v>
      </c>
      <c r="D167" s="322">
        <v>6</v>
      </c>
      <c r="E167" s="417">
        <v>460</v>
      </c>
      <c r="F167" s="379"/>
      <c r="G167" s="296"/>
      <c r="H167" s="296"/>
      <c r="I167" s="296"/>
      <c r="J167" s="296"/>
      <c r="K167" s="296"/>
      <c r="L167" s="297"/>
      <c r="M167" s="298">
        <v>43522</v>
      </c>
      <c r="N167" s="298"/>
      <c r="O167" s="315"/>
      <c r="P167" s="300"/>
    </row>
    <row r="168" spans="1:16" s="301" customFormat="1" x14ac:dyDescent="0.2">
      <c r="A168" s="319">
        <v>5092</v>
      </c>
      <c r="B168" s="320" t="s">
        <v>297</v>
      </c>
      <c r="C168" s="399" t="s">
        <v>494</v>
      </c>
      <c r="D168" s="322">
        <v>2</v>
      </c>
      <c r="E168" s="417">
        <v>465</v>
      </c>
      <c r="F168" s="379"/>
      <c r="G168" s="296"/>
      <c r="H168" s="296"/>
      <c r="I168" s="296"/>
      <c r="J168" s="296"/>
      <c r="K168" s="296"/>
      <c r="L168" s="297"/>
      <c r="M168" s="298">
        <v>43522</v>
      </c>
      <c r="N168" s="298"/>
      <c r="O168" s="315"/>
      <c r="P168" s="300"/>
    </row>
    <row r="169" spans="1:16" s="301" customFormat="1" x14ac:dyDescent="0.2">
      <c r="A169" s="319">
        <v>5093</v>
      </c>
      <c r="B169" s="320" t="s">
        <v>297</v>
      </c>
      <c r="C169" s="399" t="s">
        <v>495</v>
      </c>
      <c r="D169" s="322">
        <v>2</v>
      </c>
      <c r="E169" s="417">
        <v>484</v>
      </c>
      <c r="F169" s="379"/>
      <c r="G169" s="296"/>
      <c r="H169" s="296"/>
      <c r="I169" s="296"/>
      <c r="J169" s="296"/>
      <c r="K169" s="296"/>
      <c r="L169" s="297"/>
      <c r="M169" s="298">
        <v>43522</v>
      </c>
      <c r="N169" s="298"/>
      <c r="O169" s="315"/>
      <c r="P169" s="300"/>
    </row>
    <row r="170" spans="1:16" s="301" customFormat="1" x14ac:dyDescent="0.2">
      <c r="A170" s="319">
        <v>5094</v>
      </c>
      <c r="B170" s="320" t="s">
        <v>297</v>
      </c>
      <c r="C170" s="399" t="s">
        <v>496</v>
      </c>
      <c r="D170" s="322">
        <v>2</v>
      </c>
      <c r="E170" s="417">
        <v>402</v>
      </c>
      <c r="F170" s="379"/>
      <c r="G170" s="296"/>
      <c r="H170" s="296"/>
      <c r="I170" s="296"/>
      <c r="J170" s="296"/>
      <c r="K170" s="296"/>
      <c r="L170" s="297"/>
      <c r="M170" s="298">
        <v>43522</v>
      </c>
      <c r="N170" s="298"/>
      <c r="O170" s="315"/>
      <c r="P170" s="300"/>
    </row>
    <row r="171" spans="1:16" s="301" customFormat="1" x14ac:dyDescent="0.2">
      <c r="A171" s="319">
        <v>5095</v>
      </c>
      <c r="B171" s="320" t="s">
        <v>297</v>
      </c>
      <c r="C171" s="399" t="s">
        <v>497</v>
      </c>
      <c r="D171" s="322">
        <v>2</v>
      </c>
      <c r="E171" s="417">
        <v>391</v>
      </c>
      <c r="F171" s="379"/>
      <c r="G171" s="296"/>
      <c r="H171" s="296"/>
      <c r="I171" s="296"/>
      <c r="J171" s="296"/>
      <c r="K171" s="296"/>
      <c r="L171" s="297"/>
      <c r="M171" s="298">
        <v>43522</v>
      </c>
      <c r="N171" s="298"/>
      <c r="O171" s="315"/>
      <c r="P171" s="300"/>
    </row>
    <row r="172" spans="1:16" s="301" customFormat="1" x14ac:dyDescent="0.2">
      <c r="A172" s="319">
        <v>5096</v>
      </c>
      <c r="B172" s="320" t="s">
        <v>297</v>
      </c>
      <c r="C172" s="399" t="s">
        <v>498</v>
      </c>
      <c r="D172" s="322">
        <v>2</v>
      </c>
      <c r="E172" s="417">
        <v>412</v>
      </c>
      <c r="F172" s="379"/>
      <c r="G172" s="296"/>
      <c r="H172" s="296"/>
      <c r="I172" s="296"/>
      <c r="J172" s="296"/>
      <c r="K172" s="296"/>
      <c r="L172" s="297"/>
      <c r="M172" s="298">
        <v>43522</v>
      </c>
      <c r="N172" s="298"/>
      <c r="O172" s="315"/>
      <c r="P172" s="300"/>
    </row>
    <row r="173" spans="1:16" s="301" customFormat="1" x14ac:dyDescent="0.2">
      <c r="A173" s="319">
        <v>5097</v>
      </c>
      <c r="B173" s="320" t="s">
        <v>297</v>
      </c>
      <c r="C173" s="399" t="s">
        <v>499</v>
      </c>
      <c r="D173" s="322">
        <v>2</v>
      </c>
      <c r="E173" s="417">
        <v>455</v>
      </c>
      <c r="F173" s="379"/>
      <c r="G173" s="296"/>
      <c r="H173" s="296"/>
      <c r="I173" s="296"/>
      <c r="J173" s="296"/>
      <c r="K173" s="296"/>
      <c r="L173" s="297"/>
      <c r="M173" s="298">
        <v>43522</v>
      </c>
      <c r="N173" s="298"/>
      <c r="O173" s="315"/>
      <c r="P173" s="300"/>
    </row>
    <row r="174" spans="1:16" s="301" customFormat="1" x14ac:dyDescent="0.2">
      <c r="A174" s="319">
        <v>5098</v>
      </c>
      <c r="B174" s="320" t="s">
        <v>297</v>
      </c>
      <c r="C174" s="399" t="s">
        <v>500</v>
      </c>
      <c r="D174" s="322">
        <v>2</v>
      </c>
      <c r="E174" s="417">
        <v>455</v>
      </c>
      <c r="F174" s="379"/>
      <c r="G174" s="296"/>
      <c r="H174" s="296"/>
      <c r="I174" s="296"/>
      <c r="J174" s="296"/>
      <c r="K174" s="296"/>
      <c r="L174" s="297"/>
      <c r="M174" s="298">
        <v>43522</v>
      </c>
      <c r="N174" s="298"/>
      <c r="O174" s="315"/>
      <c r="P174" s="300"/>
    </row>
    <row r="175" spans="1:16" s="301" customFormat="1" x14ac:dyDescent="0.2">
      <c r="A175" s="319">
        <v>5099</v>
      </c>
      <c r="B175" s="320" t="s">
        <v>297</v>
      </c>
      <c r="C175" s="399" t="s">
        <v>501</v>
      </c>
      <c r="D175" s="322">
        <v>1</v>
      </c>
      <c r="E175" s="417">
        <v>471</v>
      </c>
      <c r="F175" s="379"/>
      <c r="G175" s="296"/>
      <c r="H175" s="296"/>
      <c r="I175" s="296"/>
      <c r="J175" s="296"/>
      <c r="K175" s="296"/>
      <c r="L175" s="297"/>
      <c r="M175" s="298">
        <v>43522</v>
      </c>
      <c r="N175" s="298"/>
      <c r="O175" s="315"/>
      <c r="P175" s="300"/>
    </row>
    <row r="176" spans="1:16" s="301" customFormat="1" x14ac:dyDescent="0.2">
      <c r="A176" s="319">
        <v>5100</v>
      </c>
      <c r="B176" s="320" t="s">
        <v>297</v>
      </c>
      <c r="C176" s="399" t="s">
        <v>502</v>
      </c>
      <c r="D176" s="322">
        <v>1</v>
      </c>
      <c r="E176" s="417">
        <v>471</v>
      </c>
      <c r="F176" s="379"/>
      <c r="G176" s="296"/>
      <c r="H176" s="296"/>
      <c r="I176" s="296"/>
      <c r="J176" s="296"/>
      <c r="K176" s="296"/>
      <c r="L176" s="297"/>
      <c r="M176" s="298">
        <v>43522</v>
      </c>
      <c r="N176" s="298"/>
      <c r="O176" s="315"/>
      <c r="P176" s="300"/>
    </row>
    <row r="177" spans="1:16" s="301" customFormat="1" x14ac:dyDescent="0.2">
      <c r="A177" s="319">
        <v>5101</v>
      </c>
      <c r="B177" s="320" t="s">
        <v>297</v>
      </c>
      <c r="C177" s="399" t="s">
        <v>503</v>
      </c>
      <c r="D177" s="322">
        <v>1</v>
      </c>
      <c r="E177" s="417">
        <v>479</v>
      </c>
      <c r="F177" s="379"/>
      <c r="G177" s="296"/>
      <c r="H177" s="296"/>
      <c r="I177" s="296"/>
      <c r="J177" s="296"/>
      <c r="K177" s="296"/>
      <c r="L177" s="297"/>
      <c r="M177" s="298">
        <v>43522</v>
      </c>
      <c r="N177" s="298"/>
      <c r="O177" s="315"/>
      <c r="P177" s="300"/>
    </row>
    <row r="178" spans="1:16" s="301" customFormat="1" x14ac:dyDescent="0.2">
      <c r="A178" s="319">
        <v>5102</v>
      </c>
      <c r="B178" s="320" t="s">
        <v>297</v>
      </c>
      <c r="C178" s="399" t="s">
        <v>504</v>
      </c>
      <c r="D178" s="322">
        <v>1</v>
      </c>
      <c r="E178" s="417">
        <v>248</v>
      </c>
      <c r="F178" s="379"/>
      <c r="G178" s="296"/>
      <c r="H178" s="296"/>
      <c r="I178" s="296"/>
      <c r="J178" s="296"/>
      <c r="K178" s="296"/>
      <c r="L178" s="297"/>
      <c r="M178" s="298">
        <v>43522</v>
      </c>
      <c r="N178" s="298"/>
      <c r="O178" s="315"/>
      <c r="P178" s="300"/>
    </row>
    <row r="179" spans="1:16" s="301" customFormat="1" x14ac:dyDescent="0.2">
      <c r="A179" s="319">
        <v>5103</v>
      </c>
      <c r="B179" s="320" t="s">
        <v>297</v>
      </c>
      <c r="C179" s="399" t="s">
        <v>505</v>
      </c>
      <c r="D179" s="322">
        <v>1</v>
      </c>
      <c r="E179" s="417">
        <v>248</v>
      </c>
      <c r="F179" s="379"/>
      <c r="G179" s="296">
        <v>1</v>
      </c>
      <c r="H179" s="296"/>
      <c r="I179" s="296"/>
      <c r="J179" s="296"/>
      <c r="K179" s="296"/>
      <c r="L179" s="297"/>
      <c r="M179" s="298">
        <v>43522</v>
      </c>
      <c r="N179" s="298"/>
      <c r="O179" s="315"/>
      <c r="P179" s="300"/>
    </row>
    <row r="180" spans="1:16" s="301" customFormat="1" x14ac:dyDescent="0.2">
      <c r="A180" s="319"/>
      <c r="B180" s="320"/>
      <c r="C180" s="399"/>
      <c r="D180" s="322"/>
      <c r="E180" s="417"/>
      <c r="F180" s="379"/>
      <c r="G180" s="296"/>
      <c r="H180" s="296"/>
      <c r="I180" s="296"/>
      <c r="J180" s="296"/>
      <c r="K180" s="296"/>
      <c r="L180" s="297"/>
      <c r="M180" s="298"/>
      <c r="N180" s="298"/>
      <c r="O180" s="315"/>
      <c r="P180" s="300"/>
    </row>
    <row r="181" spans="1:16" s="301" customFormat="1" x14ac:dyDescent="0.2">
      <c r="A181" s="319"/>
      <c r="B181" s="320"/>
      <c r="C181" s="399"/>
      <c r="D181" s="322"/>
      <c r="E181" s="417"/>
      <c r="F181" s="379">
        <f t="shared" si="16"/>
        <v>0</v>
      </c>
      <c r="G181" s="296"/>
      <c r="H181" s="296"/>
      <c r="I181" s="296"/>
      <c r="J181" s="296"/>
      <c r="K181" s="296"/>
      <c r="L181" s="297">
        <f t="shared" si="17"/>
        <v>0</v>
      </c>
      <c r="M181" s="298"/>
      <c r="N181" s="298"/>
      <c r="O181" s="315"/>
      <c r="P181" s="300"/>
    </row>
    <row r="182" spans="1:16" s="301" customFormat="1" x14ac:dyDescent="0.2">
      <c r="A182" s="319">
        <v>4902</v>
      </c>
      <c r="B182" s="320" t="s">
        <v>349</v>
      </c>
      <c r="C182" s="399" t="s">
        <v>350</v>
      </c>
      <c r="D182" s="322">
        <v>5</v>
      </c>
      <c r="E182" s="412">
        <v>4200</v>
      </c>
      <c r="F182" s="379">
        <f t="shared" si="16"/>
        <v>21000</v>
      </c>
      <c r="G182" s="296">
        <v>5</v>
      </c>
      <c r="H182" s="296"/>
      <c r="I182" s="296"/>
      <c r="J182" s="296"/>
      <c r="K182" s="357">
        <v>5</v>
      </c>
      <c r="L182" s="297">
        <f t="shared" si="17"/>
        <v>21000</v>
      </c>
      <c r="M182" s="298">
        <v>43495</v>
      </c>
      <c r="N182" s="298">
        <v>43516</v>
      </c>
      <c r="O182" s="315"/>
      <c r="P182" s="300"/>
    </row>
    <row r="183" spans="1:16" s="301" customFormat="1" x14ac:dyDescent="0.2">
      <c r="A183" s="319"/>
      <c r="B183" s="320"/>
      <c r="C183" s="399"/>
      <c r="D183" s="322"/>
      <c r="E183" s="412"/>
      <c r="F183" s="379">
        <f t="shared" si="16"/>
        <v>0</v>
      </c>
      <c r="G183" s="296"/>
      <c r="H183" s="296"/>
      <c r="I183" s="296"/>
      <c r="J183" s="296"/>
      <c r="K183" s="296"/>
      <c r="L183" s="297">
        <f t="shared" si="17"/>
        <v>0</v>
      </c>
      <c r="M183" s="298"/>
      <c r="N183" s="298"/>
      <c r="O183" s="315"/>
      <c r="P183" s="300"/>
    </row>
    <row r="184" spans="1:16" s="301" customFormat="1" x14ac:dyDescent="0.2">
      <c r="A184" s="319">
        <v>4987</v>
      </c>
      <c r="B184" s="320" t="s">
        <v>369</v>
      </c>
      <c r="C184" s="399" t="s">
        <v>249</v>
      </c>
      <c r="D184" s="322">
        <v>4</v>
      </c>
      <c r="E184" s="412">
        <v>2000</v>
      </c>
      <c r="F184" s="379">
        <f t="shared" ref="F184:F233" si="22">E184*D184</f>
        <v>8000</v>
      </c>
      <c r="G184" s="296">
        <v>4</v>
      </c>
      <c r="H184" s="352">
        <v>4</v>
      </c>
      <c r="I184" s="296"/>
      <c r="J184" s="296"/>
      <c r="K184" s="296"/>
      <c r="L184" s="297">
        <f t="shared" si="17"/>
        <v>8000</v>
      </c>
      <c r="M184" s="298"/>
      <c r="N184" s="298"/>
      <c r="O184" s="315"/>
      <c r="P184" s="300"/>
    </row>
    <row r="185" spans="1:16" s="301" customFormat="1" x14ac:dyDescent="0.2">
      <c r="A185" s="319"/>
      <c r="B185" s="320"/>
      <c r="C185" s="399"/>
      <c r="D185" s="322"/>
      <c r="E185" s="412"/>
      <c r="F185" s="379">
        <f t="shared" si="22"/>
        <v>0</v>
      </c>
      <c r="G185" s="296"/>
      <c r="H185" s="296"/>
      <c r="I185" s="296"/>
      <c r="J185" s="296"/>
      <c r="K185" s="296"/>
      <c r="L185" s="297">
        <f t="shared" si="17"/>
        <v>0</v>
      </c>
      <c r="M185" s="298"/>
      <c r="N185" s="298"/>
      <c r="O185" s="315"/>
      <c r="P185" s="300"/>
    </row>
    <row r="186" spans="1:16" s="301" customFormat="1" x14ac:dyDescent="0.2">
      <c r="A186" s="319">
        <v>4988</v>
      </c>
      <c r="B186" s="320" t="s">
        <v>370</v>
      </c>
      <c r="C186" s="399" t="s">
        <v>371</v>
      </c>
      <c r="D186" s="322">
        <v>10</v>
      </c>
      <c r="E186" s="412">
        <v>4500</v>
      </c>
      <c r="F186" s="379">
        <f t="shared" si="22"/>
        <v>45000</v>
      </c>
      <c r="G186" s="296">
        <v>10</v>
      </c>
      <c r="H186" s="296"/>
      <c r="I186" s="357">
        <v>10</v>
      </c>
      <c r="J186" s="296"/>
      <c r="K186" s="296"/>
      <c r="L186" s="297">
        <f t="shared" si="17"/>
        <v>45000</v>
      </c>
      <c r="M186" s="298">
        <v>43500</v>
      </c>
      <c r="N186" s="298">
        <v>43504</v>
      </c>
      <c r="O186" s="315"/>
      <c r="P186" s="300"/>
    </row>
    <row r="187" spans="1:16" s="301" customFormat="1" x14ac:dyDescent="0.2">
      <c r="A187" s="319"/>
      <c r="B187" s="320"/>
      <c r="C187" s="399"/>
      <c r="D187" s="322"/>
      <c r="E187" s="412"/>
      <c r="F187" s="379">
        <f t="shared" si="22"/>
        <v>0</v>
      </c>
      <c r="G187" s="296"/>
      <c r="H187" s="296"/>
      <c r="I187" s="296"/>
      <c r="J187" s="296"/>
      <c r="K187" s="296"/>
      <c r="L187" s="297">
        <f t="shared" si="15"/>
        <v>0</v>
      </c>
      <c r="M187" s="298"/>
      <c r="N187" s="298"/>
      <c r="O187" s="315"/>
      <c r="P187" s="300"/>
    </row>
    <row r="188" spans="1:16" s="301" customFormat="1" x14ac:dyDescent="0.2">
      <c r="A188" s="319">
        <v>4868</v>
      </c>
      <c r="B188" s="381" t="s">
        <v>398</v>
      </c>
      <c r="C188" s="400" t="s">
        <v>197</v>
      </c>
      <c r="D188" s="355">
        <v>1</v>
      </c>
      <c r="E188" s="410">
        <v>6345</v>
      </c>
      <c r="F188" s="379">
        <f>E188*D188</f>
        <v>6345</v>
      </c>
      <c r="G188" s="296">
        <v>1</v>
      </c>
      <c r="H188" s="296"/>
      <c r="I188" s="352">
        <v>1</v>
      </c>
      <c r="J188" s="296"/>
      <c r="K188" s="296"/>
      <c r="L188" s="297">
        <f>E188*(H188+I188+J188+K188)</f>
        <v>6345</v>
      </c>
      <c r="M188" s="298"/>
      <c r="N188" s="298"/>
      <c r="O188" s="315"/>
      <c r="P188" s="300"/>
    </row>
    <row r="189" spans="1:16" s="301" customFormat="1" x14ac:dyDescent="0.2">
      <c r="A189" s="319"/>
      <c r="B189" s="320"/>
      <c r="C189" s="399"/>
      <c r="D189" s="322"/>
      <c r="E189" s="412"/>
      <c r="F189" s="379">
        <f t="shared" si="22"/>
        <v>0</v>
      </c>
      <c r="G189" s="296"/>
      <c r="H189" s="296"/>
      <c r="I189" s="296"/>
      <c r="J189" s="296"/>
      <c r="K189" s="296"/>
      <c r="L189" s="297">
        <f t="shared" si="15"/>
        <v>0</v>
      </c>
      <c r="M189" s="298"/>
      <c r="N189" s="298"/>
      <c r="O189" s="315"/>
      <c r="P189" s="300"/>
    </row>
    <row r="190" spans="1:16" s="301" customFormat="1" x14ac:dyDescent="0.2">
      <c r="A190" s="319">
        <v>5020</v>
      </c>
      <c r="B190" s="320" t="s">
        <v>269</v>
      </c>
      <c r="C190" s="399" t="s">
        <v>411</v>
      </c>
      <c r="D190" s="322">
        <v>100</v>
      </c>
      <c r="E190" s="412">
        <v>4733</v>
      </c>
      <c r="F190" s="379">
        <f t="shared" si="22"/>
        <v>473300</v>
      </c>
      <c r="G190" s="296">
        <v>100</v>
      </c>
      <c r="H190" s="296"/>
      <c r="I190" s="296"/>
      <c r="J190" s="296"/>
      <c r="K190" s="357">
        <v>100</v>
      </c>
      <c r="L190" s="297">
        <f t="shared" si="15"/>
        <v>473300</v>
      </c>
      <c r="M190" s="298">
        <v>43504</v>
      </c>
      <c r="N190" s="298">
        <v>43523</v>
      </c>
      <c r="O190" s="315"/>
      <c r="P190" s="300"/>
    </row>
    <row r="191" spans="1:16" s="301" customFormat="1" x14ac:dyDescent="0.2">
      <c r="A191" s="319">
        <v>5021</v>
      </c>
      <c r="B191" s="320" t="s">
        <v>269</v>
      </c>
      <c r="C191" s="399" t="s">
        <v>412</v>
      </c>
      <c r="D191" s="322">
        <v>50</v>
      </c>
      <c r="E191" s="412">
        <v>5330</v>
      </c>
      <c r="F191" s="379">
        <f t="shared" si="22"/>
        <v>266500</v>
      </c>
      <c r="G191" s="296">
        <v>50</v>
      </c>
      <c r="H191" s="296"/>
      <c r="I191" s="296"/>
      <c r="J191" s="296"/>
      <c r="K191" s="357">
        <v>50</v>
      </c>
      <c r="L191" s="297">
        <f t="shared" si="15"/>
        <v>266500</v>
      </c>
      <c r="M191" s="298">
        <v>43504</v>
      </c>
      <c r="N191" s="298">
        <v>43523</v>
      </c>
      <c r="O191" s="315"/>
      <c r="P191" s="300"/>
    </row>
    <row r="192" spans="1:16" s="301" customFormat="1" x14ac:dyDescent="0.2">
      <c r="A192" s="319">
        <v>5032</v>
      </c>
      <c r="B192" s="320" t="s">
        <v>269</v>
      </c>
      <c r="C192" s="399" t="s">
        <v>413</v>
      </c>
      <c r="D192" s="322">
        <v>200</v>
      </c>
      <c r="E192" s="412">
        <v>9255</v>
      </c>
      <c r="F192" s="379">
        <f t="shared" si="22"/>
        <v>1851000</v>
      </c>
      <c r="G192" s="296">
        <v>200</v>
      </c>
      <c r="H192" s="296"/>
      <c r="I192" s="296"/>
      <c r="J192" s="296"/>
      <c r="K192" s="357">
        <v>200</v>
      </c>
      <c r="L192" s="297">
        <f t="shared" si="15"/>
        <v>1851000</v>
      </c>
      <c r="M192" s="298">
        <v>43504</v>
      </c>
      <c r="N192" s="298">
        <v>43523</v>
      </c>
      <c r="O192" s="315"/>
      <c r="P192" s="300"/>
    </row>
    <row r="193" spans="1:16" s="301" customFormat="1" x14ac:dyDescent="0.2">
      <c r="A193" s="319"/>
      <c r="B193" s="320"/>
      <c r="C193" s="399"/>
      <c r="D193" s="322"/>
      <c r="E193" s="412"/>
      <c r="F193" s="379">
        <f t="shared" si="22"/>
        <v>0</v>
      </c>
      <c r="G193" s="296"/>
      <c r="H193" s="296"/>
      <c r="I193" s="296"/>
      <c r="J193" s="296"/>
      <c r="K193" s="296"/>
      <c r="L193" s="297">
        <f t="shared" si="15"/>
        <v>0</v>
      </c>
      <c r="M193" s="298"/>
      <c r="N193" s="298"/>
      <c r="O193" s="315"/>
      <c r="P193" s="300"/>
    </row>
    <row r="194" spans="1:16" s="301" customFormat="1" x14ac:dyDescent="0.2">
      <c r="A194" s="319" t="s">
        <v>417</v>
      </c>
      <c r="B194" s="320" t="s">
        <v>418</v>
      </c>
      <c r="C194" s="401" t="s">
        <v>249</v>
      </c>
      <c r="D194" s="322">
        <v>3</v>
      </c>
      <c r="E194" s="412">
        <v>2000</v>
      </c>
      <c r="F194" s="379">
        <f t="shared" si="22"/>
        <v>6000</v>
      </c>
      <c r="G194" s="296">
        <v>3</v>
      </c>
      <c r="H194" s="296"/>
      <c r="I194" s="352">
        <v>3</v>
      </c>
      <c r="J194" s="296"/>
      <c r="K194" s="296"/>
      <c r="L194" s="297">
        <f t="shared" si="15"/>
        <v>6000</v>
      </c>
      <c r="M194" s="298"/>
      <c r="N194" s="298"/>
      <c r="O194" s="315"/>
      <c r="P194" s="300"/>
    </row>
    <row r="195" spans="1:16" s="301" customFormat="1" x14ac:dyDescent="0.2">
      <c r="A195" s="319"/>
      <c r="B195" s="320"/>
      <c r="C195" s="399"/>
      <c r="D195" s="322"/>
      <c r="E195" s="412"/>
      <c r="F195" s="379">
        <f t="shared" si="22"/>
        <v>0</v>
      </c>
      <c r="G195" s="296"/>
      <c r="H195" s="296"/>
      <c r="I195" s="296"/>
      <c r="J195" s="296"/>
      <c r="K195" s="296"/>
      <c r="L195" s="297">
        <f t="shared" si="15"/>
        <v>0</v>
      </c>
      <c r="M195" s="298"/>
      <c r="N195" s="298"/>
      <c r="O195" s="315"/>
      <c r="P195" s="300"/>
    </row>
    <row r="196" spans="1:16" s="301" customFormat="1" x14ac:dyDescent="0.2">
      <c r="A196" s="319">
        <v>5047</v>
      </c>
      <c r="B196" s="353" t="s">
        <v>419</v>
      </c>
      <c r="C196" s="402" t="s">
        <v>420</v>
      </c>
      <c r="D196" s="355">
        <v>1</v>
      </c>
      <c r="E196" s="409">
        <v>250</v>
      </c>
      <c r="F196" s="379">
        <f>E196*D196</f>
        <v>250</v>
      </c>
      <c r="G196" s="296">
        <v>1</v>
      </c>
      <c r="H196" s="296"/>
      <c r="I196" s="296"/>
      <c r="J196" s="296"/>
      <c r="K196" s="357">
        <v>1</v>
      </c>
      <c r="L196" s="297">
        <f>E196*(H196+I196+J196+K196)</f>
        <v>250</v>
      </c>
      <c r="M196" s="298">
        <v>43507</v>
      </c>
      <c r="N196" s="298">
        <v>43511</v>
      </c>
      <c r="O196" s="315"/>
      <c r="P196" s="300"/>
    </row>
    <row r="197" spans="1:16" s="301" customFormat="1" x14ac:dyDescent="0.2">
      <c r="A197" s="319">
        <v>5048</v>
      </c>
      <c r="B197" s="353" t="s">
        <v>419</v>
      </c>
      <c r="C197" s="402" t="s">
        <v>421</v>
      </c>
      <c r="D197" s="355">
        <v>6</v>
      </c>
      <c r="E197" s="409">
        <v>130</v>
      </c>
      <c r="F197" s="379">
        <f>E197*D197</f>
        <v>780</v>
      </c>
      <c r="G197" s="296">
        <v>6</v>
      </c>
      <c r="H197" s="296"/>
      <c r="I197" s="296"/>
      <c r="J197" s="296"/>
      <c r="K197" s="357">
        <v>6</v>
      </c>
      <c r="L197" s="297">
        <f>E197*(H197+I197+J197+K197)</f>
        <v>780</v>
      </c>
      <c r="M197" s="298">
        <v>43507</v>
      </c>
      <c r="N197" s="298">
        <v>43511</v>
      </c>
      <c r="O197" s="315"/>
      <c r="P197" s="300"/>
    </row>
    <row r="198" spans="1:16" s="301" customFormat="1" x14ac:dyDescent="0.2">
      <c r="A198" s="319"/>
      <c r="B198" s="320"/>
      <c r="C198" s="399"/>
      <c r="D198" s="322"/>
      <c r="E198" s="412"/>
      <c r="F198" s="379">
        <f t="shared" si="22"/>
        <v>0</v>
      </c>
      <c r="G198" s="296"/>
      <c r="H198" s="296"/>
      <c r="I198" s="296"/>
      <c r="J198" s="296"/>
      <c r="K198" s="296"/>
      <c r="L198" s="297">
        <f t="shared" si="15"/>
        <v>0</v>
      </c>
      <c r="M198" s="298"/>
      <c r="N198" s="298"/>
      <c r="O198" s="315"/>
      <c r="P198" s="300"/>
    </row>
    <row r="199" spans="1:16" s="301" customFormat="1" x14ac:dyDescent="0.2">
      <c r="A199" s="350">
        <v>5076</v>
      </c>
      <c r="B199" s="353" t="s">
        <v>435</v>
      </c>
      <c r="C199" s="403" t="s">
        <v>436</v>
      </c>
      <c r="D199" s="355">
        <v>1</v>
      </c>
      <c r="E199" s="409">
        <v>19560</v>
      </c>
      <c r="F199" s="379"/>
      <c r="G199" s="296"/>
      <c r="H199" s="296"/>
      <c r="I199" s="296"/>
      <c r="J199" s="296"/>
      <c r="K199" s="296"/>
      <c r="L199" s="297">
        <f>E199*(H199+I199+J199+K199)</f>
        <v>0</v>
      </c>
      <c r="M199" s="298">
        <v>43510</v>
      </c>
      <c r="N199" s="298"/>
      <c r="O199" s="315"/>
      <c r="P199" s="300"/>
    </row>
    <row r="200" spans="1:16" s="301" customFormat="1" x14ac:dyDescent="0.2">
      <c r="A200" s="319"/>
      <c r="B200" s="320"/>
      <c r="C200" s="399"/>
      <c r="D200" s="322"/>
      <c r="E200" s="412"/>
      <c r="F200" s="379">
        <f t="shared" si="22"/>
        <v>0</v>
      </c>
      <c r="G200" s="296"/>
      <c r="H200" s="296"/>
      <c r="I200" s="296"/>
      <c r="J200" s="296"/>
      <c r="K200" s="296"/>
      <c r="L200" s="297">
        <f t="shared" si="15"/>
        <v>0</v>
      </c>
      <c r="M200" s="298"/>
      <c r="N200" s="298"/>
      <c r="O200" s="315"/>
      <c r="P200" s="300"/>
    </row>
    <row r="201" spans="1:16" s="301" customFormat="1" x14ac:dyDescent="0.2">
      <c r="A201" s="319" t="s">
        <v>437</v>
      </c>
      <c r="B201" s="320" t="s">
        <v>440</v>
      </c>
      <c r="C201" s="404" t="s">
        <v>428</v>
      </c>
      <c r="D201" s="322">
        <v>1</v>
      </c>
      <c r="E201" s="412">
        <v>2500</v>
      </c>
      <c r="F201" s="379">
        <f>E201*D201</f>
        <v>2500</v>
      </c>
      <c r="G201" s="296">
        <v>1</v>
      </c>
      <c r="H201" s="296"/>
      <c r="I201" s="357">
        <v>1</v>
      </c>
      <c r="J201" s="296"/>
      <c r="K201" s="296"/>
      <c r="L201" s="297">
        <f>E201*(H201+I201+J201+K201)</f>
        <v>2500</v>
      </c>
      <c r="M201" s="298"/>
      <c r="N201" s="298"/>
      <c r="O201" s="315"/>
      <c r="P201" s="300"/>
    </row>
    <row r="202" spans="1:16" s="301" customFormat="1" x14ac:dyDescent="0.2">
      <c r="A202" s="319" t="s">
        <v>438</v>
      </c>
      <c r="B202" s="320" t="s">
        <v>440</v>
      </c>
      <c r="C202" s="404" t="s">
        <v>429</v>
      </c>
      <c r="D202" s="322">
        <v>1</v>
      </c>
      <c r="E202" s="412">
        <v>2500</v>
      </c>
      <c r="F202" s="379">
        <f t="shared" si="22"/>
        <v>2500</v>
      </c>
      <c r="G202" s="296">
        <v>1</v>
      </c>
      <c r="H202" s="296"/>
      <c r="I202" s="357">
        <v>1</v>
      </c>
      <c r="J202" s="296"/>
      <c r="K202" s="296"/>
      <c r="L202" s="297">
        <f t="shared" si="15"/>
        <v>2500</v>
      </c>
      <c r="M202" s="298"/>
      <c r="N202" s="298"/>
      <c r="O202" s="315"/>
      <c r="P202" s="300"/>
    </row>
    <row r="203" spans="1:16" s="301" customFormat="1" x14ac:dyDescent="0.2">
      <c r="A203" s="319"/>
      <c r="B203" s="320" t="s">
        <v>440</v>
      </c>
      <c r="C203" s="399" t="s">
        <v>439</v>
      </c>
      <c r="D203" s="322">
        <v>1</v>
      </c>
      <c r="E203" s="412">
        <v>3000</v>
      </c>
      <c r="F203" s="379">
        <f t="shared" si="22"/>
        <v>3000</v>
      </c>
      <c r="G203" s="296">
        <v>1</v>
      </c>
      <c r="H203" s="296"/>
      <c r="I203" s="352">
        <v>1</v>
      </c>
      <c r="J203" s="296"/>
      <c r="K203" s="296"/>
      <c r="L203" s="297">
        <f t="shared" si="15"/>
        <v>3000</v>
      </c>
      <c r="M203" s="298"/>
      <c r="N203" s="298"/>
      <c r="O203" s="315"/>
      <c r="P203" s="300"/>
    </row>
    <row r="204" spans="1:16" s="301" customFormat="1" x14ac:dyDescent="0.2">
      <c r="A204" s="319"/>
      <c r="B204" s="320"/>
      <c r="C204" s="399"/>
      <c r="D204" s="322"/>
      <c r="E204" s="412"/>
      <c r="F204" s="379">
        <f t="shared" si="22"/>
        <v>0</v>
      </c>
      <c r="G204" s="296"/>
      <c r="H204" s="296"/>
      <c r="I204" s="296"/>
      <c r="J204" s="296"/>
      <c r="K204" s="296"/>
      <c r="L204" s="297">
        <f t="shared" si="15"/>
        <v>0</v>
      </c>
      <c r="M204" s="298"/>
      <c r="N204" s="298"/>
      <c r="O204" s="315"/>
      <c r="P204" s="300"/>
    </row>
    <row r="205" spans="1:16" s="301" customFormat="1" x14ac:dyDescent="0.2">
      <c r="A205" s="319">
        <v>5051</v>
      </c>
      <c r="B205" s="320" t="s">
        <v>443</v>
      </c>
      <c r="C205" s="399" t="s">
        <v>444</v>
      </c>
      <c r="D205" s="322">
        <v>6</v>
      </c>
      <c r="E205" s="412">
        <v>140</v>
      </c>
      <c r="F205" s="379">
        <f t="shared" si="22"/>
        <v>840</v>
      </c>
      <c r="G205" s="296">
        <v>6</v>
      </c>
      <c r="H205" s="296"/>
      <c r="I205" s="296"/>
      <c r="J205" s="296"/>
      <c r="K205" s="357">
        <v>6</v>
      </c>
      <c r="L205" s="297">
        <f t="shared" si="15"/>
        <v>840</v>
      </c>
      <c r="M205" s="298">
        <v>43514</v>
      </c>
      <c r="N205" s="298">
        <v>43518</v>
      </c>
      <c r="O205" s="315"/>
      <c r="P205" s="300"/>
    </row>
    <row r="206" spans="1:16" s="301" customFormat="1" x14ac:dyDescent="0.2">
      <c r="A206" s="319"/>
      <c r="B206" s="320"/>
      <c r="C206" s="399"/>
      <c r="D206" s="322"/>
      <c r="E206" s="412"/>
      <c r="F206" s="379">
        <f t="shared" si="22"/>
        <v>0</v>
      </c>
      <c r="G206" s="296"/>
      <c r="H206" s="296"/>
      <c r="I206" s="296"/>
      <c r="J206" s="296"/>
      <c r="K206" s="296"/>
      <c r="L206" s="297">
        <f t="shared" si="15"/>
        <v>0</v>
      </c>
      <c r="M206" s="298"/>
      <c r="N206" s="298"/>
      <c r="O206" s="315"/>
      <c r="P206" s="300"/>
    </row>
    <row r="207" spans="1:16" s="301" customFormat="1" x14ac:dyDescent="0.2">
      <c r="A207" s="319">
        <v>5082</v>
      </c>
      <c r="B207" s="320" t="s">
        <v>452</v>
      </c>
      <c r="C207" s="399" t="s">
        <v>453</v>
      </c>
      <c r="D207" s="322">
        <v>1</v>
      </c>
      <c r="E207" s="412">
        <v>9300</v>
      </c>
      <c r="F207" s="379">
        <f t="shared" si="22"/>
        <v>9300</v>
      </c>
      <c r="G207" s="296">
        <v>1</v>
      </c>
      <c r="H207" s="296"/>
      <c r="I207" s="296"/>
      <c r="J207" s="352">
        <v>1</v>
      </c>
      <c r="K207" s="296"/>
      <c r="L207" s="297">
        <f t="shared" si="15"/>
        <v>9300</v>
      </c>
      <c r="M207" s="298">
        <v>43514</v>
      </c>
      <c r="N207" s="298" t="s">
        <v>228</v>
      </c>
      <c r="O207" s="315"/>
      <c r="P207" s="300"/>
    </row>
    <row r="208" spans="1:16" s="301" customFormat="1" x14ac:dyDescent="0.2">
      <c r="A208" s="319"/>
      <c r="B208" s="320"/>
      <c r="C208" s="399"/>
      <c r="D208" s="322"/>
      <c r="E208" s="412"/>
      <c r="F208" s="379">
        <f t="shared" si="22"/>
        <v>0</v>
      </c>
      <c r="G208" s="296"/>
      <c r="H208" s="296"/>
      <c r="I208" s="296"/>
      <c r="J208" s="296"/>
      <c r="K208" s="296"/>
      <c r="L208" s="297">
        <f t="shared" ref="L208:L227" si="23">E208*(H208+I208+J208+K208)</f>
        <v>0</v>
      </c>
      <c r="M208" s="298"/>
      <c r="N208" s="298"/>
      <c r="O208" s="315"/>
      <c r="P208" s="300"/>
    </row>
    <row r="209" spans="1:16" s="301" customFormat="1" x14ac:dyDescent="0.2">
      <c r="A209" s="319" t="s">
        <v>468</v>
      </c>
      <c r="B209" s="353" t="s">
        <v>472</v>
      </c>
      <c r="C209" s="405" t="s">
        <v>470</v>
      </c>
      <c r="D209" s="322">
        <v>1</v>
      </c>
      <c r="E209" s="412">
        <v>120500</v>
      </c>
      <c r="F209" s="379">
        <f t="shared" ref="F209:F227" si="24">E209*D209</f>
        <v>120500</v>
      </c>
      <c r="G209" s="296">
        <v>1</v>
      </c>
      <c r="H209" s="296"/>
      <c r="I209" s="296"/>
      <c r="J209" s="357">
        <v>1</v>
      </c>
      <c r="K209" s="296"/>
      <c r="L209" s="297">
        <f t="shared" si="23"/>
        <v>120500</v>
      </c>
      <c r="M209" s="298"/>
      <c r="N209" s="298"/>
      <c r="O209" s="315"/>
      <c r="P209" s="300"/>
    </row>
    <row r="210" spans="1:16" s="301" customFormat="1" x14ac:dyDescent="0.2">
      <c r="A210" s="350">
        <v>4882</v>
      </c>
      <c r="B210" s="353" t="s">
        <v>472</v>
      </c>
      <c r="C210" s="396" t="s">
        <v>490</v>
      </c>
      <c r="D210" s="355">
        <v>1</v>
      </c>
      <c r="E210" s="409">
        <v>120000</v>
      </c>
      <c r="F210" s="379"/>
      <c r="G210" s="296"/>
      <c r="H210" s="296"/>
      <c r="I210" s="296"/>
      <c r="J210" s="296"/>
      <c r="K210" s="296"/>
      <c r="L210" s="297"/>
      <c r="M210" s="298">
        <v>43522</v>
      </c>
      <c r="N210" s="298">
        <v>43542</v>
      </c>
      <c r="O210" s="315"/>
      <c r="P210" s="300"/>
    </row>
    <row r="211" spans="1:16" s="301" customFormat="1" x14ac:dyDescent="0.2">
      <c r="A211" s="319" t="s">
        <v>469</v>
      </c>
      <c r="B211" s="353" t="s">
        <v>472</v>
      </c>
      <c r="C211" s="405" t="s">
        <v>471</v>
      </c>
      <c r="D211" s="322">
        <v>1</v>
      </c>
      <c r="E211" s="412">
        <v>100000</v>
      </c>
      <c r="F211" s="379">
        <f t="shared" si="24"/>
        <v>100000</v>
      </c>
      <c r="G211" s="296">
        <v>1</v>
      </c>
      <c r="H211" s="296"/>
      <c r="I211" s="296"/>
      <c r="J211" s="357">
        <v>1</v>
      </c>
      <c r="K211" s="296"/>
      <c r="L211" s="297">
        <f t="shared" si="23"/>
        <v>100000</v>
      </c>
      <c r="M211" s="298"/>
      <c r="N211" s="298"/>
      <c r="O211" s="315"/>
      <c r="P211" s="300"/>
    </row>
    <row r="212" spans="1:16" s="301" customFormat="1" x14ac:dyDescent="0.2">
      <c r="A212" s="319"/>
      <c r="B212" s="353"/>
      <c r="C212" s="405"/>
      <c r="D212" s="322"/>
      <c r="E212" s="412"/>
      <c r="F212" s="379"/>
      <c r="G212" s="296"/>
      <c r="H212" s="296"/>
      <c r="I212" s="296"/>
      <c r="J212" s="296"/>
      <c r="K212" s="296"/>
      <c r="L212" s="297"/>
      <c r="M212" s="298"/>
      <c r="N212" s="298"/>
      <c r="O212" s="315"/>
      <c r="P212" s="300"/>
    </row>
    <row r="213" spans="1:16" s="301" customFormat="1" x14ac:dyDescent="0.2">
      <c r="A213" s="319"/>
      <c r="B213" s="353"/>
      <c r="C213" s="405"/>
      <c r="D213" s="322"/>
      <c r="E213" s="412"/>
      <c r="F213" s="379">
        <f t="shared" si="24"/>
        <v>0</v>
      </c>
      <c r="G213" s="296"/>
      <c r="H213" s="296"/>
      <c r="I213" s="296"/>
      <c r="J213" s="296"/>
      <c r="K213" s="296"/>
      <c r="L213" s="297">
        <f t="shared" si="23"/>
        <v>0</v>
      </c>
      <c r="M213" s="298"/>
      <c r="N213" s="298"/>
      <c r="O213" s="315"/>
      <c r="P213" s="300"/>
    </row>
    <row r="214" spans="1:16" s="301" customFormat="1" x14ac:dyDescent="0.2">
      <c r="A214" s="350">
        <v>5079</v>
      </c>
      <c r="B214" s="353" t="s">
        <v>473</v>
      </c>
      <c r="C214" s="396" t="s">
        <v>204</v>
      </c>
      <c r="D214" s="355">
        <v>1</v>
      </c>
      <c r="E214" s="409">
        <v>2600</v>
      </c>
      <c r="F214" s="379">
        <f>E214*D214</f>
        <v>2600</v>
      </c>
      <c r="G214" s="296">
        <v>1</v>
      </c>
      <c r="H214" s="296"/>
      <c r="I214" s="296"/>
      <c r="J214" s="296"/>
      <c r="K214" s="296"/>
      <c r="L214" s="297">
        <f>E214*(H214+I214+J214+K214)</f>
        <v>0</v>
      </c>
      <c r="M214" s="298">
        <v>43516</v>
      </c>
      <c r="N214" s="298">
        <v>43524</v>
      </c>
      <c r="O214" s="315"/>
      <c r="P214" s="300"/>
    </row>
    <row r="215" spans="1:16" s="301" customFormat="1" x14ac:dyDescent="0.2">
      <c r="A215" s="350">
        <v>5080</v>
      </c>
      <c r="B215" s="353" t="s">
        <v>473</v>
      </c>
      <c r="C215" s="396" t="s">
        <v>474</v>
      </c>
      <c r="D215" s="355">
        <v>1</v>
      </c>
      <c r="E215" s="409">
        <v>5300</v>
      </c>
      <c r="F215" s="379">
        <f>E215*D215</f>
        <v>5300</v>
      </c>
      <c r="G215" s="296">
        <v>1</v>
      </c>
      <c r="H215" s="296"/>
      <c r="I215" s="296"/>
      <c r="J215" s="296"/>
      <c r="K215" s="296"/>
      <c r="L215" s="297">
        <f>E215*(H215+I215+J215+K215)</f>
        <v>0</v>
      </c>
      <c r="M215" s="298">
        <v>43516</v>
      </c>
      <c r="N215" s="298">
        <v>43524</v>
      </c>
      <c r="O215" s="315"/>
      <c r="P215" s="300"/>
    </row>
    <row r="216" spans="1:16" s="301" customFormat="1" x14ac:dyDescent="0.2">
      <c r="A216" s="319"/>
      <c r="B216" s="353"/>
      <c r="C216" s="405"/>
      <c r="D216" s="322"/>
      <c r="E216" s="412"/>
      <c r="F216" s="379">
        <f>E216*D216</f>
        <v>0</v>
      </c>
      <c r="G216" s="296"/>
      <c r="H216" s="296"/>
      <c r="I216" s="296"/>
      <c r="J216" s="296"/>
      <c r="K216" s="296"/>
      <c r="L216" s="297">
        <f>E216*(H216+I216+J216+K216)</f>
        <v>0</v>
      </c>
      <c r="M216" s="298"/>
      <c r="N216" s="298"/>
      <c r="O216" s="315"/>
      <c r="P216" s="300"/>
    </row>
    <row r="217" spans="1:16" s="301" customFormat="1" x14ac:dyDescent="0.2">
      <c r="A217" s="350">
        <v>4903</v>
      </c>
      <c r="B217" s="353" t="s">
        <v>475</v>
      </c>
      <c r="C217" s="396" t="s">
        <v>476</v>
      </c>
      <c r="D217" s="423">
        <v>8</v>
      </c>
      <c r="E217" s="409">
        <v>22500</v>
      </c>
      <c r="F217" s="379">
        <f>E217*D217</f>
        <v>180000</v>
      </c>
      <c r="G217" s="296">
        <v>8</v>
      </c>
      <c r="H217" s="296"/>
      <c r="I217" s="296"/>
      <c r="J217" s="357">
        <v>8</v>
      </c>
      <c r="K217" s="296"/>
      <c r="L217" s="297">
        <f>E217*(H217+I217+J217+K217)</f>
        <v>180000</v>
      </c>
      <c r="M217" s="298"/>
      <c r="N217" s="298"/>
      <c r="O217" s="315"/>
      <c r="P217" s="300"/>
    </row>
    <row r="218" spans="1:16" s="301" customFormat="1" x14ac:dyDescent="0.2">
      <c r="A218" s="350">
        <v>5089</v>
      </c>
      <c r="B218" s="353" t="s">
        <v>477</v>
      </c>
      <c r="C218" s="396" t="s">
        <v>478</v>
      </c>
      <c r="D218" s="355">
        <v>4</v>
      </c>
      <c r="E218" s="409">
        <v>2950</v>
      </c>
      <c r="F218" s="379">
        <f>E218*D218</f>
        <v>11800</v>
      </c>
      <c r="G218" s="296">
        <v>4</v>
      </c>
      <c r="H218" s="296"/>
      <c r="I218" s="296"/>
      <c r="J218" s="296"/>
      <c r="K218" s="296"/>
      <c r="L218" s="297">
        <f>E218*(H218+I218+J218+K218)</f>
        <v>0</v>
      </c>
      <c r="M218" s="298">
        <v>43517</v>
      </c>
      <c r="N218" s="298">
        <v>43524</v>
      </c>
      <c r="O218" s="315"/>
      <c r="P218" s="300"/>
    </row>
    <row r="219" spans="1:16" s="301" customFormat="1" x14ac:dyDescent="0.2">
      <c r="A219" s="319"/>
      <c r="B219" s="353"/>
      <c r="C219" s="405"/>
      <c r="D219" s="322"/>
      <c r="E219" s="412"/>
      <c r="F219" s="379">
        <f t="shared" si="24"/>
        <v>0</v>
      </c>
      <c r="G219" s="296"/>
      <c r="H219" s="296"/>
      <c r="I219" s="296"/>
      <c r="J219" s="296"/>
      <c r="K219" s="296"/>
      <c r="L219" s="297">
        <f t="shared" si="23"/>
        <v>0</v>
      </c>
      <c r="M219" s="298"/>
      <c r="N219" s="298"/>
      <c r="O219" s="315"/>
      <c r="P219" s="300"/>
    </row>
    <row r="220" spans="1:16" s="301" customFormat="1" x14ac:dyDescent="0.2">
      <c r="A220" s="319">
        <v>5104</v>
      </c>
      <c r="B220" s="353" t="s">
        <v>480</v>
      </c>
      <c r="C220" s="396" t="s">
        <v>249</v>
      </c>
      <c r="D220" s="355">
        <v>1</v>
      </c>
      <c r="E220" s="409">
        <v>2000</v>
      </c>
      <c r="F220" s="379">
        <f>E220*D220</f>
        <v>2000</v>
      </c>
      <c r="G220" s="296">
        <v>1</v>
      </c>
      <c r="H220" s="296"/>
      <c r="I220" s="296"/>
      <c r="J220" s="296"/>
      <c r="K220" s="352">
        <v>1</v>
      </c>
      <c r="L220" s="297">
        <f>E220*(H220+I220+J220+K220)</f>
        <v>2000</v>
      </c>
      <c r="M220" s="298">
        <v>43518</v>
      </c>
      <c r="N220" s="298">
        <v>43522</v>
      </c>
      <c r="O220" s="315"/>
      <c r="P220" s="300"/>
    </row>
    <row r="221" spans="1:16" s="301" customFormat="1" x14ac:dyDescent="0.2">
      <c r="A221" s="350"/>
      <c r="B221" s="353"/>
      <c r="C221" s="396"/>
      <c r="D221" s="355"/>
      <c r="E221" s="409"/>
      <c r="F221" s="379">
        <f t="shared" si="24"/>
        <v>0</v>
      </c>
      <c r="G221" s="296"/>
      <c r="H221" s="296"/>
      <c r="I221" s="296"/>
      <c r="J221" s="296"/>
      <c r="K221" s="296"/>
      <c r="L221" s="297">
        <f t="shared" si="23"/>
        <v>0</v>
      </c>
      <c r="M221" s="298"/>
      <c r="N221" s="298"/>
      <c r="O221" s="315"/>
      <c r="P221" s="300"/>
    </row>
    <row r="222" spans="1:16" s="301" customFormat="1" x14ac:dyDescent="0.2">
      <c r="A222" s="350">
        <v>5088</v>
      </c>
      <c r="B222" s="353" t="s">
        <v>486</v>
      </c>
      <c r="C222" s="396" t="s">
        <v>487</v>
      </c>
      <c r="D222" s="355">
        <v>15</v>
      </c>
      <c r="E222" s="409">
        <v>1020</v>
      </c>
      <c r="F222" s="379"/>
      <c r="G222" s="296"/>
      <c r="H222" s="296"/>
      <c r="I222" s="296"/>
      <c r="J222" s="296"/>
      <c r="K222" s="296"/>
      <c r="L222" s="297">
        <f>E222*(H222+I222+J222+K222)</f>
        <v>0</v>
      </c>
      <c r="M222" s="298">
        <v>43522</v>
      </c>
      <c r="N222" s="298">
        <v>43530</v>
      </c>
      <c r="O222" s="315"/>
      <c r="P222" s="300"/>
    </row>
    <row r="223" spans="1:16" s="301" customFormat="1" x14ac:dyDescent="0.2">
      <c r="A223" s="319"/>
      <c r="B223" s="353"/>
      <c r="C223" s="405"/>
      <c r="D223" s="322"/>
      <c r="E223" s="412"/>
      <c r="F223" s="379">
        <f t="shared" si="24"/>
        <v>0</v>
      </c>
      <c r="G223" s="296"/>
      <c r="H223" s="296"/>
      <c r="I223" s="296"/>
      <c r="J223" s="296"/>
      <c r="K223" s="296"/>
      <c r="L223" s="297">
        <f t="shared" si="23"/>
        <v>0</v>
      </c>
      <c r="M223" s="298"/>
      <c r="N223" s="298"/>
      <c r="O223" s="315"/>
      <c r="P223" s="300"/>
    </row>
    <row r="224" spans="1:16" s="301" customFormat="1" x14ac:dyDescent="0.2">
      <c r="A224" s="350">
        <v>5134</v>
      </c>
      <c r="B224" s="353" t="s">
        <v>488</v>
      </c>
      <c r="C224" s="396" t="s">
        <v>489</v>
      </c>
      <c r="D224" s="355">
        <v>3</v>
      </c>
      <c r="E224" s="409"/>
      <c r="F224" s="379">
        <f>E224*D224</f>
        <v>0</v>
      </c>
      <c r="G224" s="296"/>
      <c r="H224" s="296"/>
      <c r="I224" s="296"/>
      <c r="J224" s="296"/>
      <c r="K224" s="296"/>
      <c r="L224" s="297">
        <f>E224*(H224+I224+J224+K224)</f>
        <v>0</v>
      </c>
      <c r="M224" s="298">
        <v>43522</v>
      </c>
      <c r="N224" s="298"/>
      <c r="O224" s="315"/>
      <c r="P224" s="300"/>
    </row>
    <row r="225" spans="1:18" s="301" customFormat="1" x14ac:dyDescent="0.2">
      <c r="A225" s="319"/>
      <c r="B225" s="353"/>
      <c r="C225" s="405"/>
      <c r="D225" s="322"/>
      <c r="E225" s="412"/>
      <c r="F225" s="379">
        <f t="shared" si="24"/>
        <v>0</v>
      </c>
      <c r="G225" s="296"/>
      <c r="H225" s="296"/>
      <c r="I225" s="296"/>
      <c r="J225" s="296"/>
      <c r="K225" s="296"/>
      <c r="L225" s="297">
        <f t="shared" si="23"/>
        <v>0</v>
      </c>
      <c r="M225" s="298"/>
      <c r="N225" s="298"/>
      <c r="O225" s="315"/>
      <c r="P225" s="300"/>
    </row>
    <row r="226" spans="1:18" s="301" customFormat="1" x14ac:dyDescent="0.2">
      <c r="A226" s="350">
        <v>5105</v>
      </c>
      <c r="B226" s="353" t="s">
        <v>510</v>
      </c>
      <c r="C226" s="396" t="s">
        <v>511</v>
      </c>
      <c r="D226" s="355">
        <v>1</v>
      </c>
      <c r="E226" s="409">
        <v>2100</v>
      </c>
      <c r="F226" s="379"/>
      <c r="G226" s="296"/>
      <c r="H226" s="296"/>
      <c r="I226" s="296"/>
      <c r="J226" s="296"/>
      <c r="K226" s="296"/>
      <c r="L226" s="297">
        <f>E226*(H226+I226+J226+K226)</f>
        <v>0</v>
      </c>
      <c r="M226" s="298">
        <v>43524</v>
      </c>
      <c r="N226" s="298">
        <v>43529</v>
      </c>
      <c r="O226" s="315"/>
      <c r="P226" s="300"/>
    </row>
    <row r="227" spans="1:18" s="301" customFormat="1" x14ac:dyDescent="0.2">
      <c r="A227" s="350"/>
      <c r="B227" s="353"/>
      <c r="C227" s="396"/>
      <c r="D227" s="355"/>
      <c r="E227" s="409"/>
      <c r="F227" s="379">
        <f t="shared" si="24"/>
        <v>0</v>
      </c>
      <c r="G227" s="296"/>
      <c r="H227" s="296"/>
      <c r="I227" s="296"/>
      <c r="J227" s="296"/>
      <c r="K227" s="296"/>
      <c r="L227" s="297">
        <f t="shared" si="23"/>
        <v>0</v>
      </c>
      <c r="M227" s="298"/>
      <c r="N227" s="298"/>
      <c r="O227" s="315"/>
      <c r="P227" s="300"/>
    </row>
    <row r="228" spans="1:18" s="301" customFormat="1" x14ac:dyDescent="0.2">
      <c r="A228" s="350">
        <v>5131</v>
      </c>
      <c r="B228" s="353" t="s">
        <v>512</v>
      </c>
      <c r="C228" s="396" t="s">
        <v>513</v>
      </c>
      <c r="D228" s="355">
        <v>1</v>
      </c>
      <c r="E228" s="409">
        <v>1720</v>
      </c>
      <c r="F228" s="379"/>
      <c r="G228" s="296"/>
      <c r="H228" s="296"/>
      <c r="I228" s="296"/>
      <c r="J228" s="296"/>
      <c r="K228" s="296"/>
      <c r="L228" s="297">
        <f>E228*(H228+I228+J228+K228)</f>
        <v>0</v>
      </c>
      <c r="M228" s="298">
        <v>43524</v>
      </c>
      <c r="N228" s="298">
        <v>43544</v>
      </c>
      <c r="O228" s="315"/>
      <c r="P228" s="300"/>
    </row>
    <row r="229" spans="1:18" s="301" customFormat="1" x14ac:dyDescent="0.2">
      <c r="A229" s="350">
        <v>5132</v>
      </c>
      <c r="B229" s="353" t="s">
        <v>512</v>
      </c>
      <c r="C229" s="396" t="s">
        <v>514</v>
      </c>
      <c r="D229" s="355">
        <v>1</v>
      </c>
      <c r="E229" s="409">
        <v>1600</v>
      </c>
      <c r="F229" s="379"/>
      <c r="G229" s="296"/>
      <c r="H229" s="296"/>
      <c r="I229" s="296"/>
      <c r="J229" s="296"/>
      <c r="K229" s="296"/>
      <c r="L229" s="297">
        <f>E229*(H229+I229+J229+K229)</f>
        <v>0</v>
      </c>
      <c r="M229" s="298">
        <v>43524</v>
      </c>
      <c r="N229" s="298">
        <v>43544</v>
      </c>
      <c r="O229" s="315"/>
      <c r="P229" s="300"/>
    </row>
    <row r="230" spans="1:18" s="301" customFormat="1" x14ac:dyDescent="0.2">
      <c r="A230" s="350">
        <v>5133</v>
      </c>
      <c r="B230" s="353" t="s">
        <v>512</v>
      </c>
      <c r="C230" s="396" t="s">
        <v>515</v>
      </c>
      <c r="D230" s="355">
        <v>1</v>
      </c>
      <c r="E230" s="409">
        <v>2900</v>
      </c>
      <c r="F230" s="379"/>
      <c r="G230" s="296"/>
      <c r="H230" s="296"/>
      <c r="I230" s="296"/>
      <c r="J230" s="296"/>
      <c r="K230" s="296"/>
      <c r="L230" s="297">
        <f>E230*(H230+I230+J230+K230)</f>
        <v>0</v>
      </c>
      <c r="M230" s="298">
        <v>43524</v>
      </c>
      <c r="N230" s="298">
        <v>43544</v>
      </c>
      <c r="O230" s="315"/>
      <c r="P230" s="300"/>
    </row>
    <row r="231" spans="1:18" s="301" customFormat="1" x14ac:dyDescent="0.2">
      <c r="A231" s="350"/>
      <c r="B231" s="353"/>
      <c r="C231" s="396"/>
      <c r="D231" s="355"/>
      <c r="E231" s="409"/>
      <c r="F231" s="379">
        <f t="shared" si="22"/>
        <v>0</v>
      </c>
      <c r="G231" s="296"/>
      <c r="H231" s="296"/>
      <c r="I231" s="296"/>
      <c r="J231" s="296"/>
      <c r="K231" s="296"/>
      <c r="L231" s="297">
        <f t="shared" si="15"/>
        <v>0</v>
      </c>
      <c r="M231" s="298"/>
      <c r="N231" s="298"/>
      <c r="O231" s="315"/>
      <c r="P231" s="300"/>
    </row>
    <row r="232" spans="1:18" s="301" customFormat="1" x14ac:dyDescent="0.2">
      <c r="A232" s="350"/>
      <c r="B232" s="353"/>
      <c r="C232" s="396" t="s">
        <v>426</v>
      </c>
      <c r="D232" s="355">
        <v>6</v>
      </c>
      <c r="E232" s="409">
        <v>600</v>
      </c>
      <c r="F232" s="379">
        <f t="shared" si="22"/>
        <v>3600</v>
      </c>
      <c r="G232" s="296">
        <v>6</v>
      </c>
      <c r="H232" s="296"/>
      <c r="I232" s="357">
        <v>6</v>
      </c>
      <c r="J232" s="296"/>
      <c r="K232" s="296"/>
      <c r="L232" s="297">
        <f t="shared" si="15"/>
        <v>3600</v>
      </c>
      <c r="M232" s="298"/>
      <c r="N232" s="298"/>
      <c r="O232" s="315"/>
      <c r="P232" s="300"/>
    </row>
    <row r="233" spans="1:18" s="301" customFormat="1" ht="13.5" thickBot="1" x14ac:dyDescent="0.25">
      <c r="A233" s="332"/>
      <c r="B233" s="334"/>
      <c r="C233" s="406"/>
      <c r="D233" s="340"/>
      <c r="E233" s="418"/>
      <c r="F233" s="379">
        <f t="shared" si="22"/>
        <v>0</v>
      </c>
      <c r="G233" s="344"/>
      <c r="H233" s="296"/>
      <c r="I233" s="296"/>
      <c r="J233" s="296"/>
      <c r="K233" s="296"/>
      <c r="L233" s="297">
        <f t="shared" si="15"/>
        <v>0</v>
      </c>
      <c r="M233" s="298"/>
      <c r="N233" s="298"/>
      <c r="O233" s="315"/>
      <c r="P233" s="300"/>
    </row>
    <row r="234" spans="1:18" s="301" customFormat="1" ht="13.5" thickBot="1" x14ac:dyDescent="0.25">
      <c r="A234" s="333"/>
      <c r="B234" s="336"/>
      <c r="C234" s="407"/>
      <c r="D234" s="341"/>
      <c r="E234" s="419"/>
      <c r="F234" s="347">
        <f>SUM(F8:F233)</f>
        <v>4702928</v>
      </c>
      <c r="G234" s="345"/>
      <c r="H234" s="345"/>
      <c r="I234" s="345"/>
      <c r="J234" s="345"/>
      <c r="K234" s="345"/>
      <c r="L234" s="346">
        <f>SUM(L8:L233)</f>
        <v>4335470.8</v>
      </c>
      <c r="M234" s="345"/>
      <c r="N234" s="345"/>
      <c r="O234" s="345"/>
      <c r="P234" s="300"/>
    </row>
    <row r="235" spans="1:18" s="301" customFormat="1" ht="13.5" thickBot="1" x14ac:dyDescent="0.25">
      <c r="A235" s="324"/>
      <c r="B235" s="335"/>
      <c r="C235" s="338"/>
      <c r="D235" s="325"/>
      <c r="E235" s="326"/>
      <c r="F235" s="327"/>
      <c r="G235" s="328"/>
      <c r="H235" s="328"/>
      <c r="I235" s="328"/>
      <c r="J235" s="328"/>
      <c r="K235" s="328"/>
      <c r="L235" s="435">
        <f>L234/F234</f>
        <v>0.92186629265853104</v>
      </c>
      <c r="M235" s="330"/>
      <c r="N235" s="330"/>
      <c r="O235" s="331"/>
      <c r="P235" s="300"/>
    </row>
    <row r="236" spans="1:18" s="282" customFormat="1" x14ac:dyDescent="0.2">
      <c r="A236" s="302"/>
      <c r="B236" s="306"/>
      <c r="C236" s="305" t="s">
        <v>250</v>
      </c>
      <c r="D236" s="303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O236" s="304"/>
      <c r="R236" s="369"/>
    </row>
    <row r="237" spans="1:18" s="282" customFormat="1" x14ac:dyDescent="0.2">
      <c r="A237" s="302"/>
      <c r="B237" s="307"/>
      <c r="C237" s="305" t="s">
        <v>251</v>
      </c>
      <c r="D237" s="303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4"/>
      <c r="R237" s="369"/>
    </row>
    <row r="238" spans="1:18" s="282" customFormat="1" x14ac:dyDescent="0.2">
      <c r="A238" s="302"/>
      <c r="B238" s="308"/>
      <c r="C238" s="305" t="s">
        <v>252</v>
      </c>
      <c r="D238" s="303"/>
      <c r="E238" s="15"/>
      <c r="F238" s="236" t="s">
        <v>24</v>
      </c>
      <c r="G238" s="302"/>
      <c r="H238" s="302"/>
      <c r="I238" s="302"/>
      <c r="J238" s="302"/>
      <c r="K238" s="302"/>
      <c r="L238" s="302"/>
      <c r="M238" s="302"/>
      <c r="N238" s="302"/>
      <c r="O238" s="304"/>
      <c r="R238" s="369"/>
    </row>
    <row r="239" spans="1:18" s="282" customFormat="1" x14ac:dyDescent="0.2">
      <c r="A239" s="302"/>
      <c r="B239" s="309"/>
      <c r="C239" s="305" t="s">
        <v>253</v>
      </c>
      <c r="D239" s="303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4"/>
      <c r="R239" s="369"/>
    </row>
    <row r="240" spans="1:18" s="282" customFormat="1" x14ac:dyDescent="0.2">
      <c r="A240" s="302"/>
      <c r="B240" s="310"/>
      <c r="C240" s="305" t="s">
        <v>254</v>
      </c>
      <c r="D240" s="303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4"/>
      <c r="R240" s="369"/>
    </row>
    <row r="241" spans="1:18" s="282" customFormat="1" x14ac:dyDescent="0.2">
      <c r="A241" s="302"/>
      <c r="B241" s="311"/>
      <c r="C241" s="305" t="s">
        <v>255</v>
      </c>
      <c r="D241" s="303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O241" s="304"/>
      <c r="R241" s="369"/>
    </row>
    <row r="242" spans="1:18" s="282" customFormat="1" x14ac:dyDescent="0.2">
      <c r="A242" s="302"/>
      <c r="B242" s="377"/>
      <c r="C242" s="378" t="s">
        <v>256</v>
      </c>
      <c r="D242" s="303"/>
      <c r="E242" s="302"/>
      <c r="F242" s="302"/>
      <c r="G242" s="302"/>
      <c r="H242" s="302"/>
      <c r="I242" s="302"/>
      <c r="J242" s="302"/>
      <c r="K242" s="302"/>
      <c r="L242" s="302"/>
      <c r="M242" s="302"/>
      <c r="N242" s="302"/>
      <c r="O242" s="304"/>
      <c r="R242" s="369"/>
    </row>
    <row r="243" spans="1:18" s="282" customFormat="1" x14ac:dyDescent="0.2">
      <c r="A243" s="302"/>
      <c r="B243" s="374"/>
      <c r="C243" s="375" t="s">
        <v>364</v>
      </c>
      <c r="D243" s="303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4"/>
      <c r="R243" s="369"/>
    </row>
    <row r="244" spans="1:18" s="282" customFormat="1" x14ac:dyDescent="0.2">
      <c r="A244" s="302"/>
      <c r="B244" s="376"/>
      <c r="C244" s="375" t="s">
        <v>365</v>
      </c>
      <c r="D244" s="303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O244" s="304"/>
      <c r="R244" s="369"/>
    </row>
    <row r="245" spans="1:18" s="282" customFormat="1" x14ac:dyDescent="0.2">
      <c r="A245" s="302"/>
      <c r="B245" s="302"/>
      <c r="C245" s="302"/>
      <c r="D245" s="303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4"/>
      <c r="R245" s="369"/>
    </row>
    <row r="246" spans="1:18" s="282" customFormat="1" x14ac:dyDescent="0.2">
      <c r="A246" s="302"/>
      <c r="B246" s="302"/>
      <c r="C246" s="302"/>
      <c r="D246" s="303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4"/>
      <c r="R246" s="369"/>
    </row>
    <row r="247" spans="1:18" s="282" customFormat="1" x14ac:dyDescent="0.2">
      <c r="A247" s="302"/>
      <c r="B247" s="302"/>
      <c r="C247" s="302"/>
      <c r="D247" s="303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4"/>
      <c r="R247" s="369"/>
    </row>
    <row r="248" spans="1:18" s="282" customFormat="1" x14ac:dyDescent="0.2">
      <c r="A248" s="302"/>
      <c r="B248" s="302"/>
      <c r="C248" s="302"/>
      <c r="D248" s="303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4"/>
      <c r="R248" s="369"/>
    </row>
    <row r="249" spans="1:18" s="282" customFormat="1" x14ac:dyDescent="0.2">
      <c r="A249" s="302"/>
      <c r="B249" s="302"/>
      <c r="C249" s="302"/>
      <c r="D249" s="303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4"/>
      <c r="R249" s="369"/>
    </row>
    <row r="250" spans="1:18" s="282" customFormat="1" x14ac:dyDescent="0.2">
      <c r="A250" s="302"/>
      <c r="B250" s="302"/>
      <c r="C250" s="302"/>
      <c r="D250" s="303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4"/>
      <c r="R250" s="369"/>
    </row>
    <row r="251" spans="1:18" s="282" customFormat="1" x14ac:dyDescent="0.2">
      <c r="A251" s="302"/>
      <c r="B251" s="302"/>
      <c r="C251" s="302"/>
      <c r="D251" s="303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O251" s="304"/>
      <c r="R251" s="369"/>
    </row>
    <row r="252" spans="1:18" s="282" customFormat="1" x14ac:dyDescent="0.2">
      <c r="A252" s="302"/>
      <c r="B252" s="302"/>
      <c r="C252" s="302"/>
      <c r="D252" s="303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4"/>
      <c r="R252" s="369"/>
    </row>
    <row r="253" spans="1:18" s="282" customFormat="1" x14ac:dyDescent="0.2">
      <c r="A253" s="302"/>
      <c r="B253" s="302"/>
      <c r="C253" s="302"/>
      <c r="D253" s="303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4"/>
      <c r="R253" s="369"/>
    </row>
    <row r="254" spans="1:18" s="282" customFormat="1" x14ac:dyDescent="0.2">
      <c r="A254" s="302"/>
      <c r="B254" s="302"/>
      <c r="C254" s="302"/>
      <c r="D254" s="303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4"/>
      <c r="R254" s="369"/>
    </row>
    <row r="255" spans="1:18" s="282" customFormat="1" x14ac:dyDescent="0.2">
      <c r="A255" s="302"/>
      <c r="B255" s="302"/>
      <c r="C255" s="302"/>
      <c r="D255" s="303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O255" s="304"/>
      <c r="R255" s="369"/>
    </row>
    <row r="256" spans="1:18" s="282" customFormat="1" x14ac:dyDescent="0.2">
      <c r="A256" s="302"/>
      <c r="B256" s="302"/>
      <c r="C256" s="302"/>
      <c r="D256" s="303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R256" s="369"/>
    </row>
    <row r="257" spans="1:18" s="282" customFormat="1" x14ac:dyDescent="0.2">
      <c r="A257" s="302"/>
      <c r="B257" s="302"/>
      <c r="C257" s="302"/>
      <c r="D257" s="303"/>
      <c r="E257" s="302"/>
      <c r="F257" s="302"/>
      <c r="G257" s="302"/>
      <c r="H257" s="302"/>
      <c r="I257" s="302"/>
      <c r="J257" s="302"/>
      <c r="K257" s="302"/>
      <c r="L257" s="302"/>
      <c r="M257" s="302"/>
      <c r="N257" s="302"/>
      <c r="R257" s="369"/>
    </row>
    <row r="258" spans="1:18" s="282" customFormat="1" x14ac:dyDescent="0.2">
      <c r="A258" s="302"/>
      <c r="B258" s="302"/>
      <c r="C258" s="302"/>
      <c r="D258" s="303"/>
      <c r="E258" s="302"/>
      <c r="F258" s="302"/>
      <c r="G258" s="302"/>
      <c r="H258" s="302"/>
      <c r="I258" s="302"/>
      <c r="J258" s="302"/>
      <c r="K258" s="302"/>
      <c r="L258" s="302"/>
      <c r="M258" s="302"/>
      <c r="N258" s="302"/>
      <c r="R258" s="369"/>
    </row>
    <row r="259" spans="1:18" s="282" customFormat="1" x14ac:dyDescent="0.2">
      <c r="A259" s="302"/>
      <c r="B259" s="302"/>
      <c r="C259" s="302"/>
      <c r="D259" s="303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R259" s="369"/>
    </row>
    <row r="260" spans="1:18" s="282" customFormat="1" x14ac:dyDescent="0.2">
      <c r="A260" s="302"/>
      <c r="B260" s="302"/>
      <c r="C260" s="302"/>
      <c r="D260" s="303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R260" s="369"/>
    </row>
    <row r="261" spans="1:18" s="282" customFormat="1" x14ac:dyDescent="0.2">
      <c r="A261" s="302"/>
      <c r="B261" s="302"/>
      <c r="C261" s="302"/>
      <c r="D261" s="303"/>
      <c r="E261" s="302"/>
      <c r="F261" s="302"/>
      <c r="G261" s="302"/>
      <c r="H261" s="302"/>
      <c r="I261" s="302"/>
      <c r="J261" s="302"/>
      <c r="K261" s="302"/>
      <c r="L261" s="302"/>
      <c r="M261" s="302"/>
      <c r="N261" s="302"/>
      <c r="R261" s="369"/>
    </row>
    <row r="262" spans="1:18" s="282" customFormat="1" x14ac:dyDescent="0.2">
      <c r="A262" s="302"/>
      <c r="B262" s="302"/>
      <c r="C262" s="302"/>
      <c r="D262" s="303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R262" s="369"/>
    </row>
    <row r="263" spans="1:18" s="282" customFormat="1" x14ac:dyDescent="0.2">
      <c r="A263" s="302"/>
      <c r="B263" s="302"/>
      <c r="C263" s="302"/>
      <c r="D263" s="303"/>
      <c r="E263" s="302"/>
      <c r="F263" s="302"/>
      <c r="G263" s="302"/>
      <c r="H263" s="302"/>
      <c r="I263" s="302"/>
      <c r="J263" s="302"/>
      <c r="K263" s="302"/>
      <c r="L263" s="302"/>
      <c r="M263" s="302"/>
      <c r="N263" s="302"/>
      <c r="R263" s="369"/>
    </row>
    <row r="264" spans="1:18" s="282" customFormat="1" x14ac:dyDescent="0.2">
      <c r="A264" s="302"/>
      <c r="B264" s="302"/>
      <c r="C264" s="302"/>
      <c r="D264" s="303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R264" s="369"/>
    </row>
    <row r="265" spans="1:18" s="282" customFormat="1" x14ac:dyDescent="0.2">
      <c r="A265" s="302"/>
      <c r="B265" s="302"/>
      <c r="C265" s="302"/>
      <c r="D265" s="303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R265" s="369"/>
    </row>
    <row r="266" spans="1:18" s="282" customFormat="1" x14ac:dyDescent="0.2">
      <c r="A266" s="302"/>
      <c r="B266" s="302"/>
      <c r="C266" s="302"/>
      <c r="D266" s="303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R266" s="369"/>
    </row>
    <row r="267" spans="1:18" s="282" customFormat="1" x14ac:dyDescent="0.2">
      <c r="A267" s="302"/>
      <c r="B267" s="302"/>
      <c r="C267" s="302"/>
      <c r="D267" s="303"/>
      <c r="E267" s="302"/>
      <c r="F267" s="302"/>
      <c r="G267" s="302"/>
      <c r="H267" s="302"/>
      <c r="I267" s="302"/>
      <c r="J267" s="302"/>
      <c r="K267" s="302"/>
      <c r="L267" s="302"/>
      <c r="M267" s="302"/>
      <c r="N267" s="302"/>
      <c r="R267" s="369"/>
    </row>
    <row r="268" spans="1:18" s="282" customFormat="1" x14ac:dyDescent="0.2">
      <c r="A268" s="302"/>
      <c r="B268" s="302"/>
      <c r="C268" s="302"/>
      <c r="D268" s="303"/>
      <c r="E268" s="302"/>
      <c r="F268" s="302"/>
      <c r="G268" s="302"/>
      <c r="H268" s="302"/>
      <c r="I268" s="302"/>
      <c r="J268" s="302"/>
      <c r="K268" s="302"/>
      <c r="L268" s="302"/>
      <c r="M268" s="302"/>
      <c r="N268" s="302"/>
      <c r="R268" s="369"/>
    </row>
    <row r="269" spans="1:18" s="282" customFormat="1" x14ac:dyDescent="0.2">
      <c r="A269" s="302"/>
      <c r="B269" s="302"/>
      <c r="C269" s="302"/>
      <c r="D269" s="303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R269" s="369"/>
    </row>
    <row r="270" spans="1:18" s="282" customFormat="1" x14ac:dyDescent="0.2">
      <c r="A270" s="302"/>
      <c r="B270" s="302"/>
      <c r="C270" s="302"/>
      <c r="D270" s="303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R270" s="369"/>
    </row>
    <row r="271" spans="1:18" s="282" customFormat="1" x14ac:dyDescent="0.2">
      <c r="A271" s="302"/>
      <c r="B271" s="302"/>
      <c r="C271" s="302"/>
      <c r="D271" s="303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R271" s="369"/>
    </row>
    <row r="272" spans="1:18" s="282" customFormat="1" x14ac:dyDescent="0.2">
      <c r="A272" s="302"/>
      <c r="B272" s="302"/>
      <c r="C272" s="302"/>
      <c r="D272" s="303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R272" s="369"/>
    </row>
    <row r="273" spans="1:18" s="282" customFormat="1" x14ac:dyDescent="0.2">
      <c r="A273" s="302"/>
      <c r="B273" s="302"/>
      <c r="C273" s="302"/>
      <c r="D273" s="303"/>
      <c r="E273" s="302"/>
      <c r="F273" s="302"/>
      <c r="G273" s="302"/>
      <c r="H273" s="302"/>
      <c r="I273" s="302"/>
      <c r="J273" s="302"/>
      <c r="K273" s="302"/>
      <c r="L273" s="302"/>
      <c r="M273" s="302"/>
      <c r="N273" s="302"/>
      <c r="R273" s="369"/>
    </row>
    <row r="274" spans="1:18" s="282" customFormat="1" x14ac:dyDescent="0.2">
      <c r="A274" s="302"/>
      <c r="B274" s="302"/>
      <c r="C274" s="302"/>
      <c r="D274" s="303"/>
      <c r="E274" s="302"/>
      <c r="F274" s="302"/>
      <c r="G274" s="302"/>
      <c r="H274" s="302"/>
      <c r="I274" s="302"/>
      <c r="J274" s="302"/>
      <c r="K274" s="302"/>
      <c r="L274" s="302"/>
      <c r="M274" s="302"/>
      <c r="N274" s="302"/>
      <c r="R274" s="369"/>
    </row>
    <row r="275" spans="1:18" s="282" customFormat="1" x14ac:dyDescent="0.2">
      <c r="A275" s="302"/>
      <c r="B275" s="302"/>
      <c r="C275" s="302"/>
      <c r="D275" s="303"/>
      <c r="E275" s="302"/>
      <c r="F275" s="302"/>
      <c r="G275" s="302"/>
      <c r="H275" s="302"/>
      <c r="I275" s="302"/>
      <c r="J275" s="302"/>
      <c r="K275" s="302"/>
      <c r="L275" s="302"/>
      <c r="M275" s="302"/>
      <c r="N275" s="302"/>
      <c r="R275" s="369"/>
    </row>
    <row r="276" spans="1:18" s="282" customFormat="1" x14ac:dyDescent="0.2">
      <c r="A276" s="302"/>
      <c r="B276" s="302"/>
      <c r="C276" s="302"/>
      <c r="D276" s="303"/>
      <c r="E276" s="302"/>
      <c r="F276" s="302"/>
      <c r="G276" s="302"/>
      <c r="H276" s="302"/>
      <c r="I276" s="302"/>
      <c r="J276" s="302"/>
      <c r="K276" s="302"/>
      <c r="L276" s="302"/>
      <c r="M276" s="302"/>
      <c r="N276" s="302"/>
      <c r="R276" s="369"/>
    </row>
    <row r="277" spans="1:18" s="282" customFormat="1" x14ac:dyDescent="0.2">
      <c r="A277" s="302"/>
      <c r="B277" s="302"/>
      <c r="C277" s="302"/>
      <c r="D277" s="303"/>
      <c r="E277" s="302"/>
      <c r="F277" s="302"/>
      <c r="G277" s="302"/>
      <c r="H277" s="302"/>
      <c r="I277" s="302"/>
      <c r="J277" s="302"/>
      <c r="K277" s="302"/>
      <c r="L277" s="302"/>
      <c r="M277" s="302"/>
      <c r="N277" s="302"/>
      <c r="R277" s="369"/>
    </row>
    <row r="278" spans="1:18" s="282" customFormat="1" x14ac:dyDescent="0.2">
      <c r="A278" s="302"/>
      <c r="B278" s="302"/>
      <c r="C278" s="302"/>
      <c r="D278" s="303"/>
      <c r="E278" s="302"/>
      <c r="F278" s="302"/>
      <c r="G278" s="302"/>
      <c r="H278" s="302"/>
      <c r="I278" s="302"/>
      <c r="J278" s="302"/>
      <c r="K278" s="302"/>
      <c r="L278" s="302"/>
      <c r="M278" s="302"/>
      <c r="N278" s="302"/>
      <c r="R278" s="369"/>
    </row>
    <row r="279" spans="1:18" s="282" customFormat="1" x14ac:dyDescent="0.2">
      <c r="A279" s="302"/>
      <c r="B279" s="302"/>
      <c r="C279" s="302"/>
      <c r="D279" s="303"/>
      <c r="E279" s="302"/>
      <c r="F279" s="302"/>
      <c r="G279" s="302"/>
      <c r="H279" s="302"/>
      <c r="I279" s="302"/>
      <c r="J279" s="302"/>
      <c r="K279" s="302"/>
      <c r="L279" s="302"/>
      <c r="M279" s="302"/>
      <c r="N279" s="302"/>
      <c r="R279" s="369"/>
    </row>
    <row r="280" spans="1:18" s="282" customFormat="1" x14ac:dyDescent="0.2">
      <c r="A280" s="302"/>
      <c r="B280" s="302"/>
      <c r="C280" s="302"/>
      <c r="D280" s="303"/>
      <c r="E280" s="302"/>
      <c r="F280" s="302"/>
      <c r="G280" s="302"/>
      <c r="H280" s="302"/>
      <c r="I280" s="302"/>
      <c r="J280" s="302"/>
      <c r="K280" s="302"/>
      <c r="L280" s="302"/>
      <c r="M280" s="302"/>
      <c r="N280" s="302"/>
      <c r="R280" s="369"/>
    </row>
    <row r="281" spans="1:18" s="282" customFormat="1" x14ac:dyDescent="0.2">
      <c r="A281" s="302"/>
      <c r="B281" s="302"/>
      <c r="C281" s="302"/>
      <c r="D281" s="303"/>
      <c r="E281" s="302"/>
      <c r="F281" s="302"/>
      <c r="G281" s="302"/>
      <c r="H281" s="302"/>
      <c r="I281" s="302"/>
      <c r="J281" s="302"/>
      <c r="K281" s="302"/>
      <c r="L281" s="302"/>
      <c r="M281" s="302"/>
      <c r="N281" s="302"/>
      <c r="R281" s="369"/>
    </row>
    <row r="282" spans="1:18" s="282" customFormat="1" x14ac:dyDescent="0.2">
      <c r="A282" s="302"/>
      <c r="B282" s="302"/>
      <c r="C282" s="302"/>
      <c r="D282" s="303"/>
      <c r="E282" s="302"/>
      <c r="F282" s="302"/>
      <c r="G282" s="302"/>
      <c r="H282" s="302"/>
      <c r="I282" s="302"/>
      <c r="J282" s="302"/>
      <c r="K282" s="302"/>
      <c r="L282" s="302"/>
      <c r="M282" s="302"/>
      <c r="N282" s="302"/>
      <c r="R282" s="369"/>
    </row>
    <row r="283" spans="1:18" s="282" customFormat="1" x14ac:dyDescent="0.2">
      <c r="A283" s="302"/>
      <c r="B283" s="302"/>
      <c r="C283" s="302"/>
      <c r="D283" s="303"/>
      <c r="E283" s="302"/>
      <c r="F283" s="302"/>
      <c r="G283" s="302"/>
      <c r="H283" s="302"/>
      <c r="I283" s="302"/>
      <c r="J283" s="302"/>
      <c r="K283" s="302"/>
      <c r="L283" s="302"/>
      <c r="M283" s="302"/>
      <c r="N283" s="302"/>
      <c r="R283" s="369"/>
    </row>
    <row r="284" spans="1:18" s="282" customFormat="1" x14ac:dyDescent="0.2">
      <c r="A284" s="302"/>
      <c r="B284" s="302"/>
      <c r="C284" s="302"/>
      <c r="D284" s="303"/>
      <c r="E284" s="302"/>
      <c r="F284" s="302"/>
      <c r="G284" s="302"/>
      <c r="H284" s="302"/>
      <c r="I284" s="302"/>
      <c r="J284" s="302"/>
      <c r="K284" s="302"/>
      <c r="L284" s="302"/>
      <c r="M284" s="302"/>
      <c r="N284" s="302"/>
      <c r="R284" s="369"/>
    </row>
    <row r="285" spans="1:18" s="282" customFormat="1" x14ac:dyDescent="0.2">
      <c r="A285" s="302"/>
      <c r="B285" s="302"/>
      <c r="C285" s="302"/>
      <c r="D285" s="303"/>
      <c r="E285" s="302"/>
      <c r="F285" s="302"/>
      <c r="G285" s="302"/>
      <c r="H285" s="302"/>
      <c r="I285" s="302"/>
      <c r="J285" s="302"/>
      <c r="K285" s="302"/>
      <c r="L285" s="302"/>
      <c r="M285" s="302"/>
      <c r="N285" s="302"/>
      <c r="R285" s="369"/>
    </row>
    <row r="286" spans="1:18" s="282" customFormat="1" x14ac:dyDescent="0.2">
      <c r="A286" s="302"/>
      <c r="B286" s="302"/>
      <c r="C286" s="302"/>
      <c r="D286" s="303"/>
      <c r="E286" s="302"/>
      <c r="F286" s="302"/>
      <c r="G286" s="302"/>
      <c r="H286" s="302"/>
      <c r="I286" s="302"/>
      <c r="J286" s="302"/>
      <c r="K286" s="302"/>
      <c r="L286" s="302"/>
      <c r="M286" s="302"/>
      <c r="N286" s="302"/>
      <c r="R286" s="369"/>
    </row>
    <row r="287" spans="1:18" s="282" customFormat="1" x14ac:dyDescent="0.2">
      <c r="A287" s="302"/>
      <c r="B287" s="302"/>
      <c r="C287" s="302"/>
      <c r="D287" s="303"/>
      <c r="E287" s="302"/>
      <c r="F287" s="302"/>
      <c r="G287" s="302"/>
      <c r="H287" s="302"/>
      <c r="I287" s="302"/>
      <c r="J287" s="302"/>
      <c r="K287" s="302"/>
      <c r="L287" s="302"/>
      <c r="M287" s="302"/>
      <c r="N287" s="302"/>
      <c r="R287" s="369"/>
    </row>
    <row r="288" spans="1:18" s="282" customFormat="1" x14ac:dyDescent="0.2">
      <c r="A288" s="302"/>
      <c r="B288" s="302"/>
      <c r="C288" s="302"/>
      <c r="D288" s="303"/>
      <c r="E288" s="302"/>
      <c r="F288" s="302"/>
      <c r="G288" s="302"/>
      <c r="H288" s="302"/>
      <c r="I288" s="302"/>
      <c r="J288" s="302"/>
      <c r="K288" s="302"/>
      <c r="L288" s="302"/>
      <c r="M288" s="302"/>
      <c r="N288" s="302"/>
      <c r="R288" s="369"/>
    </row>
    <row r="289" spans="1:18" s="282" customFormat="1" x14ac:dyDescent="0.2">
      <c r="A289" s="302"/>
      <c r="B289" s="302"/>
      <c r="C289" s="302"/>
      <c r="D289" s="303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R289" s="369"/>
    </row>
    <row r="290" spans="1:18" s="282" customFormat="1" x14ac:dyDescent="0.2">
      <c r="A290" s="302"/>
      <c r="B290" s="302"/>
      <c r="C290" s="302"/>
      <c r="D290" s="303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R290" s="369"/>
    </row>
    <row r="291" spans="1:18" s="282" customFormat="1" x14ac:dyDescent="0.2">
      <c r="A291" s="302"/>
      <c r="B291" s="302"/>
      <c r="C291" s="302"/>
      <c r="D291" s="303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R291" s="369"/>
    </row>
    <row r="292" spans="1:18" s="282" customFormat="1" x14ac:dyDescent="0.2">
      <c r="A292" s="302"/>
      <c r="B292" s="302"/>
      <c r="C292" s="302"/>
      <c r="D292" s="303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R292" s="369"/>
    </row>
    <row r="293" spans="1:18" s="282" customFormat="1" x14ac:dyDescent="0.2">
      <c r="A293" s="302"/>
      <c r="B293" s="302"/>
      <c r="C293" s="302"/>
      <c r="D293" s="303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R293" s="369"/>
    </row>
    <row r="294" spans="1:18" s="282" customFormat="1" x14ac:dyDescent="0.2">
      <c r="A294" s="302"/>
      <c r="B294" s="302"/>
      <c r="C294" s="302"/>
      <c r="D294" s="303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R294" s="369"/>
    </row>
    <row r="295" spans="1:18" s="282" customFormat="1" x14ac:dyDescent="0.2">
      <c r="A295" s="302"/>
      <c r="B295" s="302"/>
      <c r="C295" s="302"/>
      <c r="D295" s="303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R295" s="369"/>
    </row>
    <row r="296" spans="1:18" s="282" customFormat="1" x14ac:dyDescent="0.2">
      <c r="A296" s="302"/>
      <c r="B296" s="302"/>
      <c r="C296" s="302"/>
      <c r="D296" s="303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R296" s="369"/>
    </row>
    <row r="297" spans="1:18" s="282" customFormat="1" x14ac:dyDescent="0.2">
      <c r="A297" s="302"/>
      <c r="B297" s="302"/>
      <c r="C297" s="302"/>
      <c r="D297" s="303"/>
      <c r="E297" s="302"/>
      <c r="F297" s="302"/>
      <c r="G297" s="302"/>
      <c r="H297" s="302"/>
      <c r="I297" s="302"/>
      <c r="J297" s="302"/>
      <c r="K297" s="302"/>
      <c r="L297" s="302"/>
      <c r="M297" s="302"/>
      <c r="N297" s="302"/>
      <c r="R297" s="369"/>
    </row>
    <row r="298" spans="1:18" s="282" customFormat="1" x14ac:dyDescent="0.2">
      <c r="A298" s="302"/>
      <c r="B298" s="302"/>
      <c r="C298" s="302"/>
      <c r="D298" s="303"/>
      <c r="E298" s="302"/>
      <c r="F298" s="302"/>
      <c r="G298" s="302"/>
      <c r="H298" s="302"/>
      <c r="I298" s="302"/>
      <c r="J298" s="302"/>
      <c r="K298" s="302"/>
      <c r="L298" s="302"/>
      <c r="M298" s="302"/>
      <c r="N298" s="302"/>
      <c r="R298" s="369"/>
    </row>
    <row r="299" spans="1:18" s="282" customFormat="1" x14ac:dyDescent="0.2">
      <c r="A299" s="302"/>
      <c r="B299" s="302"/>
      <c r="C299" s="302"/>
      <c r="D299" s="303"/>
      <c r="E299" s="302"/>
      <c r="F299" s="302"/>
      <c r="G299" s="302"/>
      <c r="H299" s="302"/>
      <c r="I299" s="302"/>
      <c r="J299" s="302"/>
      <c r="K299" s="302"/>
      <c r="L299" s="302"/>
      <c r="M299" s="302"/>
      <c r="N299" s="302"/>
      <c r="R299" s="369"/>
    </row>
    <row r="300" spans="1:18" s="282" customFormat="1" x14ac:dyDescent="0.2">
      <c r="A300" s="302"/>
      <c r="B300" s="302"/>
      <c r="C300" s="302"/>
      <c r="D300" s="303"/>
      <c r="E300" s="302"/>
      <c r="F300" s="302"/>
      <c r="G300" s="302"/>
      <c r="H300" s="302"/>
      <c r="I300" s="302"/>
      <c r="J300" s="302"/>
      <c r="K300" s="302"/>
      <c r="L300" s="302"/>
      <c r="M300" s="302"/>
      <c r="N300" s="302"/>
      <c r="R300" s="369"/>
    </row>
    <row r="301" spans="1:18" s="282" customFormat="1" x14ac:dyDescent="0.2">
      <c r="A301" s="302"/>
      <c r="B301" s="302"/>
      <c r="C301" s="302"/>
      <c r="D301" s="303"/>
      <c r="E301" s="302"/>
      <c r="F301" s="302"/>
      <c r="G301" s="302"/>
      <c r="H301" s="302"/>
      <c r="I301" s="302"/>
      <c r="J301" s="302"/>
      <c r="K301" s="302"/>
      <c r="L301" s="302"/>
      <c r="M301" s="302"/>
      <c r="N301" s="302"/>
      <c r="R301" s="369"/>
    </row>
    <row r="302" spans="1:18" s="282" customFormat="1" x14ac:dyDescent="0.2">
      <c r="A302" s="302"/>
      <c r="B302" s="302"/>
      <c r="C302" s="302"/>
      <c r="D302" s="303"/>
      <c r="E302" s="302"/>
      <c r="F302" s="302"/>
      <c r="G302" s="302"/>
      <c r="H302" s="302"/>
      <c r="I302" s="302"/>
      <c r="J302" s="302"/>
      <c r="K302" s="302"/>
      <c r="L302" s="302"/>
      <c r="M302" s="302"/>
      <c r="N302" s="302"/>
      <c r="R302" s="369"/>
    </row>
    <row r="303" spans="1:18" s="282" customFormat="1" x14ac:dyDescent="0.2">
      <c r="A303" s="302"/>
      <c r="B303" s="302"/>
      <c r="C303" s="302"/>
      <c r="D303" s="303"/>
      <c r="E303" s="302"/>
      <c r="F303" s="302"/>
      <c r="G303" s="302"/>
      <c r="H303" s="302"/>
      <c r="I303" s="302"/>
      <c r="J303" s="302"/>
      <c r="K303" s="302"/>
      <c r="L303" s="302"/>
      <c r="M303" s="302"/>
      <c r="N303" s="302"/>
      <c r="R303" s="369"/>
    </row>
    <row r="304" spans="1:18" s="282" customFormat="1" x14ac:dyDescent="0.2">
      <c r="A304" s="302"/>
      <c r="B304" s="302"/>
      <c r="C304" s="302"/>
      <c r="D304" s="303"/>
      <c r="E304" s="302"/>
      <c r="F304" s="302"/>
      <c r="G304" s="302"/>
      <c r="H304" s="302"/>
      <c r="I304" s="302"/>
      <c r="J304" s="302"/>
      <c r="K304" s="302"/>
      <c r="L304" s="302"/>
      <c r="M304" s="302"/>
      <c r="N304" s="302"/>
      <c r="R304" s="369"/>
    </row>
    <row r="305" spans="1:18" s="282" customFormat="1" x14ac:dyDescent="0.2">
      <c r="A305" s="302"/>
      <c r="B305" s="302"/>
      <c r="C305" s="302"/>
      <c r="D305" s="303"/>
      <c r="E305" s="302"/>
      <c r="F305" s="302"/>
      <c r="G305" s="302"/>
      <c r="H305" s="302"/>
      <c r="I305" s="302"/>
      <c r="J305" s="302"/>
      <c r="K305" s="302"/>
      <c r="L305" s="302"/>
      <c r="M305" s="302"/>
      <c r="N305" s="302"/>
      <c r="R305" s="369"/>
    </row>
    <row r="306" spans="1:18" s="282" customFormat="1" x14ac:dyDescent="0.2">
      <c r="A306" s="302"/>
      <c r="B306" s="302"/>
      <c r="C306" s="302"/>
      <c r="D306" s="303"/>
      <c r="E306" s="302"/>
      <c r="F306" s="302"/>
      <c r="G306" s="302"/>
      <c r="H306" s="302"/>
      <c r="I306" s="302"/>
      <c r="J306" s="302"/>
      <c r="K306" s="302"/>
      <c r="L306" s="302"/>
      <c r="M306" s="302"/>
      <c r="N306" s="302"/>
      <c r="R306" s="369"/>
    </row>
    <row r="307" spans="1:18" s="282" customFormat="1" x14ac:dyDescent="0.2">
      <c r="A307" s="302"/>
      <c r="B307" s="302"/>
      <c r="C307" s="302"/>
      <c r="D307" s="303"/>
      <c r="E307" s="302"/>
      <c r="F307" s="302"/>
      <c r="G307" s="302"/>
      <c r="H307" s="302"/>
      <c r="I307" s="302"/>
      <c r="J307" s="302"/>
      <c r="K307" s="302"/>
      <c r="L307" s="302"/>
      <c r="M307" s="302"/>
      <c r="N307" s="302"/>
      <c r="R307" s="369"/>
    </row>
    <row r="308" spans="1:18" s="282" customFormat="1" x14ac:dyDescent="0.2">
      <c r="A308" s="302"/>
      <c r="B308" s="302"/>
      <c r="C308" s="302"/>
      <c r="D308" s="303"/>
      <c r="E308" s="302"/>
      <c r="F308" s="302"/>
      <c r="G308" s="302"/>
      <c r="H308" s="302"/>
      <c r="I308" s="302"/>
      <c r="J308" s="302"/>
      <c r="K308" s="302"/>
      <c r="L308" s="302"/>
      <c r="M308" s="302"/>
      <c r="N308" s="302"/>
      <c r="R308" s="369"/>
    </row>
    <row r="309" spans="1:18" s="282" customFormat="1" x14ac:dyDescent="0.2">
      <c r="A309" s="302"/>
      <c r="B309" s="302"/>
      <c r="C309" s="302"/>
      <c r="D309" s="303"/>
      <c r="E309" s="302"/>
      <c r="F309" s="302"/>
      <c r="G309" s="302"/>
      <c r="H309" s="302"/>
      <c r="I309" s="302"/>
      <c r="J309" s="302"/>
      <c r="K309" s="302"/>
      <c r="L309" s="302"/>
      <c r="M309" s="302"/>
      <c r="N309" s="302"/>
      <c r="R309" s="369"/>
    </row>
    <row r="310" spans="1:18" s="282" customFormat="1" x14ac:dyDescent="0.2">
      <c r="A310" s="302"/>
      <c r="B310" s="302"/>
      <c r="C310" s="302"/>
      <c r="D310" s="303"/>
      <c r="E310" s="302"/>
      <c r="F310" s="302"/>
      <c r="G310" s="302"/>
      <c r="H310" s="302"/>
      <c r="I310" s="302"/>
      <c r="J310" s="302"/>
      <c r="K310" s="302"/>
      <c r="L310" s="302"/>
      <c r="M310" s="302"/>
      <c r="N310" s="302"/>
      <c r="R310" s="369"/>
    </row>
    <row r="311" spans="1:18" s="282" customFormat="1" x14ac:dyDescent="0.2">
      <c r="A311" s="302"/>
      <c r="B311" s="302"/>
      <c r="C311" s="302"/>
      <c r="D311" s="303"/>
      <c r="E311" s="302"/>
      <c r="F311" s="302"/>
      <c r="G311" s="302"/>
      <c r="H311" s="302"/>
      <c r="I311" s="302"/>
      <c r="J311" s="302"/>
      <c r="K311" s="302"/>
      <c r="L311" s="302"/>
      <c r="M311" s="302"/>
      <c r="N311" s="302"/>
      <c r="R311" s="369"/>
    </row>
    <row r="312" spans="1:18" s="282" customFormat="1" x14ac:dyDescent="0.2">
      <c r="A312" s="302"/>
      <c r="B312" s="302"/>
      <c r="C312" s="302"/>
      <c r="D312" s="303"/>
      <c r="E312" s="302"/>
      <c r="F312" s="302"/>
      <c r="G312" s="302"/>
      <c r="H312" s="302"/>
      <c r="I312" s="302"/>
      <c r="J312" s="302"/>
      <c r="K312" s="302"/>
      <c r="L312" s="302"/>
      <c r="M312" s="302"/>
      <c r="N312" s="302"/>
      <c r="R312" s="369"/>
    </row>
    <row r="313" spans="1:18" s="282" customFormat="1" x14ac:dyDescent="0.2">
      <c r="A313" s="302"/>
      <c r="B313" s="302"/>
      <c r="C313" s="302"/>
      <c r="D313" s="303"/>
      <c r="E313" s="302"/>
      <c r="F313" s="302"/>
      <c r="G313" s="302"/>
      <c r="H313" s="302"/>
      <c r="I313" s="302"/>
      <c r="J313" s="302"/>
      <c r="K313" s="302"/>
      <c r="L313" s="302"/>
      <c r="M313" s="302"/>
      <c r="N313" s="302"/>
      <c r="R313" s="369"/>
    </row>
    <row r="314" spans="1:18" s="282" customFormat="1" x14ac:dyDescent="0.2">
      <c r="A314" s="302"/>
      <c r="B314" s="302"/>
      <c r="C314" s="302"/>
      <c r="D314" s="303"/>
      <c r="E314" s="302"/>
      <c r="F314" s="302"/>
      <c r="G314" s="302"/>
      <c r="H314" s="302"/>
      <c r="I314" s="302"/>
      <c r="J314" s="302"/>
      <c r="K314" s="302"/>
      <c r="L314" s="302"/>
      <c r="M314" s="302"/>
      <c r="N314" s="302"/>
      <c r="R314" s="369"/>
    </row>
    <row r="315" spans="1:18" s="282" customFormat="1" x14ac:dyDescent="0.2">
      <c r="A315" s="302"/>
      <c r="B315" s="302"/>
      <c r="C315" s="302"/>
      <c r="D315" s="303"/>
      <c r="E315" s="302"/>
      <c r="F315" s="302"/>
      <c r="G315" s="302"/>
      <c r="H315" s="302"/>
      <c r="I315" s="302"/>
      <c r="J315" s="302"/>
      <c r="K315" s="302"/>
      <c r="L315" s="302"/>
      <c r="M315" s="302"/>
      <c r="N315" s="302"/>
      <c r="R315" s="369"/>
    </row>
    <row r="316" spans="1:18" s="282" customFormat="1" x14ac:dyDescent="0.2">
      <c r="A316" s="302"/>
      <c r="B316" s="302"/>
      <c r="C316" s="302"/>
      <c r="D316" s="303"/>
      <c r="E316" s="302"/>
      <c r="F316" s="302"/>
      <c r="G316" s="302"/>
      <c r="H316" s="302"/>
      <c r="I316" s="302"/>
      <c r="J316" s="302"/>
      <c r="K316" s="302"/>
      <c r="L316" s="302"/>
      <c r="M316" s="302"/>
      <c r="N316" s="302"/>
      <c r="R316" s="369"/>
    </row>
    <row r="317" spans="1:18" s="282" customFormat="1" x14ac:dyDescent="0.2">
      <c r="A317" s="302"/>
      <c r="B317" s="302"/>
      <c r="C317" s="302"/>
      <c r="D317" s="303"/>
      <c r="E317" s="302"/>
      <c r="F317" s="302"/>
      <c r="G317" s="302"/>
      <c r="H317" s="302"/>
      <c r="I317" s="302"/>
      <c r="J317" s="302"/>
      <c r="K317" s="302"/>
      <c r="L317" s="302"/>
      <c r="M317" s="302"/>
      <c r="N317" s="302"/>
      <c r="R317" s="369"/>
    </row>
    <row r="318" spans="1:18" s="282" customFormat="1" x14ac:dyDescent="0.2">
      <c r="A318" s="302"/>
      <c r="B318" s="302"/>
      <c r="C318" s="302"/>
      <c r="D318" s="303"/>
      <c r="E318" s="302"/>
      <c r="F318" s="302"/>
      <c r="G318" s="302"/>
      <c r="H318" s="302"/>
      <c r="I318" s="302"/>
      <c r="J318" s="302"/>
      <c r="K318" s="302"/>
      <c r="L318" s="302"/>
      <c r="M318" s="302"/>
      <c r="N318" s="302"/>
      <c r="R318" s="369"/>
    </row>
    <row r="319" spans="1:18" s="282" customFormat="1" x14ac:dyDescent="0.2">
      <c r="A319" s="302"/>
      <c r="B319" s="302"/>
      <c r="C319" s="302"/>
      <c r="D319" s="303"/>
      <c r="E319" s="302"/>
      <c r="F319" s="302"/>
      <c r="G319" s="302"/>
      <c r="H319" s="302"/>
      <c r="I319" s="302"/>
      <c r="J319" s="302"/>
      <c r="K319" s="302"/>
      <c r="L319" s="302"/>
      <c r="M319" s="302"/>
      <c r="N319" s="302"/>
      <c r="R319" s="369"/>
    </row>
    <row r="320" spans="1:18" s="282" customFormat="1" x14ac:dyDescent="0.2">
      <c r="A320" s="302"/>
      <c r="B320" s="302"/>
      <c r="C320" s="302"/>
      <c r="D320" s="303"/>
      <c r="E320" s="302"/>
      <c r="F320" s="302"/>
      <c r="G320" s="302"/>
      <c r="H320" s="302"/>
      <c r="I320" s="302"/>
      <c r="J320" s="302"/>
      <c r="K320" s="302"/>
      <c r="L320" s="302"/>
      <c r="M320" s="302"/>
      <c r="N320" s="302"/>
      <c r="R320" s="369"/>
    </row>
    <row r="321" spans="1:18" s="282" customFormat="1" x14ac:dyDescent="0.2">
      <c r="A321" s="302"/>
      <c r="B321" s="302"/>
      <c r="C321" s="302"/>
      <c r="D321" s="303"/>
      <c r="E321" s="302"/>
      <c r="F321" s="302"/>
      <c r="G321" s="302"/>
      <c r="H321" s="302"/>
      <c r="I321" s="302"/>
      <c r="J321" s="302"/>
      <c r="K321" s="302"/>
      <c r="L321" s="302"/>
      <c r="M321" s="302"/>
      <c r="N321" s="302"/>
      <c r="R321" s="369"/>
    </row>
    <row r="322" spans="1:18" s="282" customFormat="1" x14ac:dyDescent="0.2">
      <c r="A322" s="302"/>
      <c r="B322" s="302"/>
      <c r="C322" s="302"/>
      <c r="D322" s="303"/>
      <c r="E322" s="302"/>
      <c r="F322" s="302"/>
      <c r="G322" s="302"/>
      <c r="H322" s="302"/>
      <c r="I322" s="302"/>
      <c r="J322" s="302"/>
      <c r="K322" s="302"/>
      <c r="L322" s="302"/>
      <c r="M322" s="302"/>
      <c r="N322" s="302"/>
      <c r="R322" s="369"/>
    </row>
    <row r="323" spans="1:18" s="282" customFormat="1" x14ac:dyDescent="0.2">
      <c r="A323" s="302"/>
      <c r="B323" s="302"/>
      <c r="C323" s="302"/>
      <c r="D323" s="303"/>
      <c r="E323" s="302"/>
      <c r="F323" s="302"/>
      <c r="G323" s="302"/>
      <c r="H323" s="302"/>
      <c r="I323" s="302"/>
      <c r="J323" s="302"/>
      <c r="K323" s="302"/>
      <c r="L323" s="302"/>
      <c r="M323" s="302"/>
      <c r="N323" s="302"/>
      <c r="R323" s="369"/>
    </row>
    <row r="324" spans="1:18" s="282" customFormat="1" x14ac:dyDescent="0.2">
      <c r="A324" s="302"/>
      <c r="B324" s="302"/>
      <c r="C324" s="302"/>
      <c r="D324" s="303"/>
      <c r="E324" s="302"/>
      <c r="F324" s="302"/>
      <c r="G324" s="302"/>
      <c r="H324" s="302"/>
      <c r="I324" s="302"/>
      <c r="J324" s="302"/>
      <c r="K324" s="302"/>
      <c r="L324" s="302"/>
      <c r="M324" s="302"/>
      <c r="N324" s="302"/>
      <c r="R324" s="369"/>
    </row>
    <row r="325" spans="1:18" s="282" customFormat="1" x14ac:dyDescent="0.2">
      <c r="A325" s="302"/>
      <c r="B325" s="302"/>
      <c r="C325" s="302"/>
      <c r="D325" s="303"/>
      <c r="E325" s="302"/>
      <c r="F325" s="302"/>
      <c r="G325" s="302"/>
      <c r="H325" s="302"/>
      <c r="I325" s="302"/>
      <c r="J325" s="302"/>
      <c r="K325" s="302"/>
      <c r="L325" s="302"/>
      <c r="M325" s="302"/>
      <c r="N325" s="302"/>
      <c r="R325" s="369"/>
    </row>
    <row r="326" spans="1:18" s="282" customFormat="1" x14ac:dyDescent="0.2">
      <c r="A326" s="302"/>
      <c r="B326" s="302"/>
      <c r="C326" s="302"/>
      <c r="D326" s="303"/>
      <c r="E326" s="302"/>
      <c r="F326" s="302"/>
      <c r="G326" s="302"/>
      <c r="H326" s="302"/>
      <c r="I326" s="302"/>
      <c r="J326" s="302"/>
      <c r="K326" s="302"/>
      <c r="L326" s="302"/>
      <c r="M326" s="302"/>
      <c r="N326" s="302"/>
      <c r="R326" s="369"/>
    </row>
    <row r="327" spans="1:18" s="282" customFormat="1" x14ac:dyDescent="0.2">
      <c r="A327" s="302"/>
      <c r="B327" s="302"/>
      <c r="C327" s="302"/>
      <c r="D327" s="303"/>
      <c r="E327" s="302"/>
      <c r="F327" s="302"/>
      <c r="G327" s="302"/>
      <c r="H327" s="302"/>
      <c r="I327" s="302"/>
      <c r="J327" s="302"/>
      <c r="K327" s="302"/>
      <c r="L327" s="302"/>
      <c r="M327" s="302"/>
      <c r="N327" s="302"/>
      <c r="R327" s="369"/>
    </row>
    <row r="328" spans="1:18" s="282" customFormat="1" x14ac:dyDescent="0.2">
      <c r="A328" s="369"/>
      <c r="B328" s="369"/>
      <c r="C328" s="369"/>
      <c r="D328" s="279"/>
      <c r="E328" s="369"/>
      <c r="F328" s="369"/>
      <c r="G328" s="302"/>
      <c r="H328" s="302"/>
      <c r="I328" s="302"/>
      <c r="J328" s="302"/>
      <c r="K328" s="302"/>
      <c r="L328" s="302"/>
      <c r="M328" s="302"/>
      <c r="N328" s="302"/>
      <c r="R328" s="369"/>
    </row>
    <row r="329" spans="1:18" s="282" customFormat="1" x14ac:dyDescent="0.2">
      <c r="A329" s="369"/>
      <c r="B329" s="369"/>
      <c r="C329" s="369"/>
      <c r="D329" s="279"/>
      <c r="E329" s="369"/>
      <c r="F329" s="369"/>
      <c r="G329" s="302"/>
      <c r="H329" s="302"/>
      <c r="I329" s="302"/>
      <c r="J329" s="302"/>
      <c r="K329" s="302"/>
      <c r="L329" s="302"/>
      <c r="M329" s="302"/>
      <c r="N329" s="302"/>
      <c r="R329" s="369"/>
    </row>
    <row r="330" spans="1:18" s="282" customFormat="1" x14ac:dyDescent="0.2">
      <c r="A330" s="369"/>
      <c r="B330" s="369"/>
      <c r="C330" s="369"/>
      <c r="D330" s="279"/>
      <c r="E330" s="369"/>
      <c r="F330" s="369"/>
      <c r="G330" s="302"/>
      <c r="H330" s="302"/>
      <c r="I330" s="302"/>
      <c r="J330" s="302"/>
      <c r="K330" s="302"/>
      <c r="L330" s="302"/>
      <c r="M330" s="302"/>
      <c r="N330" s="302"/>
      <c r="R330" s="369"/>
    </row>
    <row r="331" spans="1:18" s="282" customFormat="1" x14ac:dyDescent="0.2">
      <c r="A331" s="369"/>
      <c r="B331" s="369"/>
      <c r="C331" s="369"/>
      <c r="D331" s="279"/>
      <c r="E331" s="369"/>
      <c r="F331" s="369"/>
      <c r="G331" s="302"/>
      <c r="H331" s="302"/>
      <c r="I331" s="302"/>
      <c r="J331" s="302"/>
      <c r="K331" s="302"/>
      <c r="L331" s="302"/>
      <c r="M331" s="302"/>
      <c r="N331" s="302"/>
      <c r="R331" s="369"/>
    </row>
    <row r="332" spans="1:18" s="282" customFormat="1" x14ac:dyDescent="0.2">
      <c r="A332" s="369"/>
      <c r="B332" s="369"/>
      <c r="C332" s="369"/>
      <c r="D332" s="279"/>
      <c r="E332" s="369"/>
      <c r="F332" s="369"/>
      <c r="G332" s="302"/>
      <c r="H332" s="302"/>
      <c r="I332" s="302"/>
      <c r="J332" s="302"/>
      <c r="K332" s="302"/>
      <c r="L332" s="302"/>
      <c r="M332" s="302"/>
      <c r="N332" s="302"/>
      <c r="R332" s="369"/>
    </row>
    <row r="333" spans="1:18" s="282" customFormat="1" x14ac:dyDescent="0.2">
      <c r="A333" s="369"/>
      <c r="B333" s="369"/>
      <c r="C333" s="369"/>
      <c r="D333" s="279"/>
      <c r="E333" s="369"/>
      <c r="F333" s="369"/>
      <c r="G333" s="302"/>
      <c r="H333" s="302"/>
      <c r="I333" s="302"/>
      <c r="J333" s="302"/>
      <c r="K333" s="302"/>
      <c r="L333" s="302"/>
      <c r="M333" s="302"/>
      <c r="N333" s="302"/>
      <c r="R333" s="369"/>
    </row>
    <row r="334" spans="1:18" s="282" customFormat="1" x14ac:dyDescent="0.2">
      <c r="A334" s="369"/>
      <c r="B334" s="369"/>
      <c r="C334" s="369"/>
      <c r="D334" s="279"/>
      <c r="E334" s="369"/>
      <c r="F334" s="369"/>
      <c r="G334" s="302"/>
      <c r="H334" s="302"/>
      <c r="I334" s="302"/>
      <c r="J334" s="302"/>
      <c r="K334" s="302"/>
      <c r="L334" s="302"/>
      <c r="M334" s="302"/>
      <c r="N334" s="302"/>
      <c r="R334" s="369"/>
    </row>
    <row r="335" spans="1:18" s="282" customFormat="1" x14ac:dyDescent="0.2">
      <c r="A335" s="369"/>
      <c r="B335" s="369"/>
      <c r="C335" s="369"/>
      <c r="D335" s="279"/>
      <c r="E335" s="369"/>
      <c r="F335" s="369"/>
      <c r="G335" s="302"/>
      <c r="H335" s="302"/>
      <c r="I335" s="302"/>
      <c r="J335" s="302"/>
      <c r="K335" s="302"/>
      <c r="L335" s="302"/>
      <c r="M335" s="302"/>
      <c r="N335" s="302"/>
      <c r="R335" s="369"/>
    </row>
    <row r="336" spans="1:18" s="282" customFormat="1" x14ac:dyDescent="0.2">
      <c r="A336" s="369"/>
      <c r="B336" s="369"/>
      <c r="C336" s="369"/>
      <c r="D336" s="279"/>
      <c r="E336" s="369"/>
      <c r="F336" s="369"/>
      <c r="G336" s="302"/>
      <c r="H336" s="302"/>
      <c r="I336" s="302"/>
      <c r="J336" s="302"/>
      <c r="K336" s="302"/>
      <c r="L336" s="302"/>
      <c r="M336" s="302"/>
      <c r="N336" s="302"/>
      <c r="R336" s="369"/>
    </row>
    <row r="337" spans="1:18" s="282" customFormat="1" x14ac:dyDescent="0.2">
      <c r="A337" s="369"/>
      <c r="B337" s="369"/>
      <c r="C337" s="369"/>
      <c r="D337" s="279"/>
      <c r="E337" s="369"/>
      <c r="F337" s="369"/>
      <c r="G337" s="302"/>
      <c r="H337" s="302"/>
      <c r="I337" s="302"/>
      <c r="J337" s="302"/>
      <c r="K337" s="302"/>
      <c r="L337" s="302"/>
      <c r="M337" s="302"/>
      <c r="N337" s="302"/>
      <c r="R337" s="369"/>
    </row>
    <row r="338" spans="1:18" s="282" customFormat="1" x14ac:dyDescent="0.2">
      <c r="A338" s="369"/>
      <c r="B338" s="369"/>
      <c r="C338" s="369"/>
      <c r="D338" s="279"/>
      <c r="E338" s="369"/>
      <c r="F338" s="369"/>
      <c r="G338" s="302"/>
      <c r="H338" s="369"/>
      <c r="I338" s="369"/>
      <c r="J338" s="369"/>
      <c r="K338" s="369"/>
      <c r="L338" s="302"/>
      <c r="M338" s="302"/>
      <c r="N338" s="302"/>
      <c r="R338" s="369"/>
    </row>
    <row r="339" spans="1:18" s="282" customFormat="1" x14ac:dyDescent="0.2">
      <c r="A339" s="369"/>
      <c r="B339" s="369"/>
      <c r="C339" s="369"/>
      <c r="D339" s="279"/>
      <c r="E339" s="369"/>
      <c r="F339" s="369"/>
      <c r="G339" s="302"/>
      <c r="H339" s="369"/>
      <c r="I339" s="369"/>
      <c r="J339" s="369"/>
      <c r="K339" s="369"/>
      <c r="L339" s="302"/>
      <c r="M339" s="302"/>
      <c r="N339" s="302"/>
      <c r="R339" s="369"/>
    </row>
    <row r="340" spans="1:18" s="282" customFormat="1" x14ac:dyDescent="0.2">
      <c r="A340" s="369"/>
      <c r="B340" s="369"/>
      <c r="C340" s="369"/>
      <c r="D340" s="279"/>
      <c r="E340" s="369"/>
      <c r="F340" s="369"/>
      <c r="G340" s="369"/>
      <c r="H340" s="369"/>
      <c r="I340" s="369"/>
      <c r="J340" s="369"/>
      <c r="K340" s="369"/>
      <c r="L340" s="369"/>
      <c r="M340" s="302"/>
      <c r="N340" s="302"/>
      <c r="R340" s="369"/>
    </row>
    <row r="341" spans="1:18" s="282" customFormat="1" x14ac:dyDescent="0.2">
      <c r="A341" s="369"/>
      <c r="B341" s="369"/>
      <c r="C341" s="369"/>
      <c r="D341" s="279"/>
      <c r="E341" s="369"/>
      <c r="F341" s="369"/>
      <c r="G341" s="369"/>
      <c r="H341" s="369"/>
      <c r="I341" s="369"/>
      <c r="J341" s="369"/>
      <c r="K341" s="369"/>
      <c r="L341" s="369"/>
      <c r="M341" s="302"/>
      <c r="N341" s="302"/>
      <c r="R341" s="369"/>
    </row>
    <row r="342" spans="1:18" s="282" customFormat="1" x14ac:dyDescent="0.2">
      <c r="A342" s="369"/>
      <c r="B342" s="369"/>
      <c r="C342" s="369"/>
      <c r="D342" s="279"/>
      <c r="E342" s="369"/>
      <c r="F342" s="369"/>
      <c r="G342" s="369"/>
      <c r="H342" s="369"/>
      <c r="I342" s="369"/>
      <c r="J342" s="369"/>
      <c r="K342" s="369"/>
      <c r="L342" s="369"/>
      <c r="M342" s="302"/>
      <c r="N342" s="302"/>
      <c r="R342" s="369"/>
    </row>
    <row r="343" spans="1:18" s="282" customFormat="1" x14ac:dyDescent="0.2">
      <c r="A343" s="369"/>
      <c r="B343" s="369"/>
      <c r="C343" s="369"/>
      <c r="D343" s="279"/>
      <c r="E343" s="369"/>
      <c r="F343" s="369"/>
      <c r="G343" s="369"/>
      <c r="H343" s="369"/>
      <c r="I343" s="369"/>
      <c r="J343" s="369"/>
      <c r="K343" s="369"/>
      <c r="L343" s="369"/>
      <c r="M343" s="302"/>
      <c r="N343" s="302"/>
      <c r="R343" s="369"/>
    </row>
    <row r="344" spans="1:18" s="282" customFormat="1" x14ac:dyDescent="0.2">
      <c r="A344" s="369"/>
      <c r="B344" s="369"/>
      <c r="C344" s="369"/>
      <c r="D344" s="279"/>
      <c r="E344" s="369"/>
      <c r="F344" s="369"/>
      <c r="G344" s="369"/>
      <c r="H344" s="369"/>
      <c r="I344" s="369"/>
      <c r="J344" s="369"/>
      <c r="K344" s="369"/>
      <c r="L344" s="369"/>
      <c r="M344" s="302"/>
      <c r="N344" s="302"/>
      <c r="R344" s="369"/>
    </row>
    <row r="345" spans="1:18" s="282" customFormat="1" x14ac:dyDescent="0.2">
      <c r="A345" s="369"/>
      <c r="B345" s="369"/>
      <c r="C345" s="369"/>
      <c r="D345" s="279"/>
      <c r="E345" s="369"/>
      <c r="F345" s="369"/>
      <c r="G345" s="369"/>
      <c r="H345" s="369"/>
      <c r="I345" s="369"/>
      <c r="J345" s="369"/>
      <c r="K345" s="369"/>
      <c r="L345" s="369"/>
      <c r="M345" s="302"/>
      <c r="N345" s="302"/>
      <c r="R345" s="369"/>
    </row>
    <row r="346" spans="1:18" s="282" customFormat="1" x14ac:dyDescent="0.2">
      <c r="A346" s="369"/>
      <c r="B346" s="369"/>
      <c r="C346" s="369"/>
      <c r="D346" s="279"/>
      <c r="E346" s="369"/>
      <c r="F346" s="369"/>
      <c r="G346" s="369"/>
      <c r="H346" s="369"/>
      <c r="I346" s="369"/>
      <c r="J346" s="369"/>
      <c r="K346" s="369"/>
      <c r="L346" s="369"/>
      <c r="M346" s="302"/>
      <c r="N346" s="302"/>
      <c r="R346" s="369"/>
    </row>
    <row r="347" spans="1:18" s="282" customFormat="1" x14ac:dyDescent="0.2">
      <c r="A347" s="369"/>
      <c r="B347" s="369"/>
      <c r="C347" s="369"/>
      <c r="D347" s="279"/>
      <c r="E347" s="369"/>
      <c r="F347" s="369"/>
      <c r="G347" s="369"/>
      <c r="H347" s="369"/>
      <c r="I347" s="369"/>
      <c r="J347" s="369"/>
      <c r="K347" s="369"/>
      <c r="L347" s="369"/>
      <c r="M347" s="302"/>
      <c r="N347" s="302"/>
      <c r="R347" s="369"/>
    </row>
    <row r="348" spans="1:18" s="282" customFormat="1" x14ac:dyDescent="0.2">
      <c r="A348" s="369"/>
      <c r="B348" s="369"/>
      <c r="C348" s="369"/>
      <c r="D348" s="279"/>
      <c r="E348" s="369"/>
      <c r="F348" s="369"/>
      <c r="G348" s="369"/>
      <c r="H348" s="369"/>
      <c r="I348" s="369"/>
      <c r="J348" s="369"/>
      <c r="K348" s="369"/>
      <c r="L348" s="369"/>
      <c r="M348" s="302"/>
      <c r="N348" s="302"/>
      <c r="R348" s="369"/>
    </row>
    <row r="349" spans="1:18" s="282" customFormat="1" x14ac:dyDescent="0.2">
      <c r="A349" s="369"/>
      <c r="B349" s="369"/>
      <c r="C349" s="369"/>
      <c r="D349" s="279"/>
      <c r="E349" s="369"/>
      <c r="F349" s="369"/>
      <c r="G349" s="369"/>
      <c r="H349" s="369"/>
      <c r="I349" s="369"/>
      <c r="J349" s="369"/>
      <c r="K349" s="369"/>
      <c r="L349" s="369"/>
      <c r="M349" s="302"/>
      <c r="N349" s="302"/>
      <c r="R349" s="369"/>
    </row>
  </sheetData>
  <customSheetViews>
    <customSheetView guid="{06317133-151B-4DBC-8EB3-9345BA061F91}" scale="80" showPageBreaks="1" fitToPage="1">
      <pane ySplit="7" topLeftCell="A32" activePane="bottomLeft" state="frozen"/>
      <selection pane="bottomLeft" activeCell="A38" sqref="A38:XFD38"/>
      <pageMargins left="0.11811023622047245" right="0" top="1.0629921259842521" bottom="0.11811023622047245" header="0.31496062992125984" footer="0.11811023622047245"/>
      <pageSetup paperSize="8" scale="24" orientation="landscape" r:id="rId1"/>
      <headerFooter>
        <oddFooter>&amp;L&amp;A&amp;Rлист &amp;P    листов &amp;N</oddFooter>
      </headerFooter>
    </customSheetView>
    <customSheetView guid="{375BA386-B398-4A0E-AF86-4319F1FDDF11}" scale="115" showPageBreaks="1" fitToPage="1">
      <pane ySplit="7" topLeftCell="A197" activePane="bottomLeft" state="frozen"/>
      <selection pane="bottomLeft" activeCell="C28" sqref="C28"/>
      <pageMargins left="0.11811023622047245" right="0" top="1.0629921259842521" bottom="0.11811023622047245" header="0.31496062992125984" footer="0.11811023622047245"/>
      <pageSetup paperSize="8" scale="41" fitToHeight="0" orientation="portrait" r:id="rId2"/>
      <headerFooter>
        <oddFooter>&amp;L&amp;A&amp;Rлист &amp;P    листов &amp;N</oddFooter>
      </headerFooter>
    </customSheetView>
    <customSheetView guid="{45C31AC1-6FB2-488C-94EA-BCF9E79D0043}" scale="115" showPageBreaks="1" fitToPage="1">
      <pane ySplit="7" topLeftCell="A197" activePane="bottomLeft" state="frozen"/>
      <selection pane="bottomLeft" activeCell="E210" sqref="E210"/>
      <pageMargins left="0.11811023622047245" right="0" top="1.0629921259842521" bottom="0.11811023622047245" header="0.31496062992125984" footer="0.11811023622047245"/>
      <pageSetup paperSize="8" scale="59" fitToHeight="0" orientation="portrait" r:id="rId3"/>
      <headerFooter>
        <oddFooter>&amp;L&amp;A&amp;Rлист &amp;P    листов &amp;N</oddFooter>
      </headerFooter>
    </customSheetView>
    <customSheetView guid="{368B64E8-7AD6-4BC7-A731-9903B52ABB0C}" scale="90" fitToPage="1">
      <pane ySplit="7" topLeftCell="A191" activePane="bottomLeft" state="frozen"/>
      <selection pane="bottomLeft" activeCell="K193" sqref="K193"/>
      <pageMargins left="0.11811023622047245" right="0" top="1.0629921259842521" bottom="0.11811023622047245" header="0.31496062992125984" footer="0.11811023622047245"/>
      <pageSetup paperSize="8" scale="22" orientation="landscape" r:id="rId4"/>
      <headerFooter>
        <oddFooter>&amp;L&amp;A&amp;Rлист &amp;P    листов &amp;N</oddFooter>
      </headerFooter>
    </customSheetView>
    <customSheetView guid="{845EA106-2CB5-4F86-BBCF-D0DE18153B1C}" scale="110" showPageBreaks="1" fitToPage="1">
      <pane ySplit="7" topLeftCell="A38" activePane="bottomLeft" state="frozen"/>
      <selection pane="bottomLeft" activeCell="D45" sqref="D45"/>
      <pageMargins left="0.11811023622047245" right="0" top="1.0629921259842521" bottom="0.11811023622047245" header="0.31496062992125984" footer="0.11811023622047245"/>
      <pageSetup paperSize="8" scale="16" orientation="landscape" r:id="rId5"/>
      <headerFooter>
        <oddFooter>&amp;L&amp;A&amp;Rлист &amp;P    листов &amp;N</oddFooter>
      </headerFooter>
    </customSheetView>
    <customSheetView guid="{C29DA669-F4F9-44CD-9569-E796ADF74A86}" scale="110" showPageBreaks="1" fitToPage="1">
      <pane ySplit="7" topLeftCell="A155" activePane="bottomLeft" state="frozen"/>
      <selection pane="bottomLeft" activeCell="G183" sqref="G183"/>
      <pageMargins left="0.11811023622047245" right="0" top="1.0629921259842521" bottom="0.11811023622047245" header="0.31496062992125984" footer="0.11811023622047245"/>
      <pageSetup paperSize="8" scale="24" orientation="landscape" r:id="rId6"/>
      <headerFooter>
        <oddFooter>&amp;L&amp;A&amp;Rлист &amp;P    листов &amp;N</oddFooter>
      </headerFooter>
    </customSheetView>
    <customSheetView guid="{A1BD6C0C-B1B9-4F48-A6B1-3BFD273F4CD7}" scale="115" showPageBreaks="1" fitToPage="1">
      <pane ySplit="7" topLeftCell="A197" activePane="bottomLeft" state="frozen"/>
      <selection pane="bottomLeft" activeCell="E210" sqref="E210"/>
      <pageMargins left="0.11811023622047245" right="0" top="1.0629921259842521" bottom="0.11811023622047245" header="0.31496062992125984" footer="0.11811023622047245"/>
      <pageSetup paperSize="8" scale="41" fitToHeight="0" orientation="portrait" r:id="rId7"/>
      <headerFooter>
        <oddFooter>&amp;L&amp;A&amp;Rлист &amp;P    листов &amp;N</oddFooter>
      </headerFooter>
    </customSheetView>
    <customSheetView guid="{D42288F7-1871-4EF6-BC87-1B9EF747C744}" scale="80" fitToPage="1">
      <pane ySplit="7" topLeftCell="A164" activePane="bottomLeft" state="frozen"/>
      <selection pane="bottomLeft" activeCell="K201" sqref="K201"/>
      <pageMargins left="0.11811023622047245" right="0" top="1.0629921259842521" bottom="0.11811023622047245" header="0.31496062992125984" footer="0.11811023622047245"/>
      <pageSetup paperSize="8" scale="24" orientation="landscape" r:id="rId8"/>
      <headerFooter>
        <oddFooter>&amp;L&amp;A&amp;Rлист &amp;P    листов &amp;N</oddFooter>
      </headerFooter>
    </customSheetView>
    <customSheetView guid="{8C638750-2D78-446E-B8DA-A6202AF1ED31}" scale="90" showPageBreaks="1" fitToPage="1">
      <pane ySplit="7" topLeftCell="A77" activePane="bottomLeft" state="frozen"/>
      <selection pane="bottomLeft" activeCell="O205" sqref="O205"/>
      <pageMargins left="0.11811023622047245" right="0" top="1.0629921259842521" bottom="0.11811023622047245" header="0.31496062992125984" footer="0.11811023622047245"/>
      <pageSetup paperSize="8" scale="22" orientation="landscape" r:id="rId9"/>
      <headerFooter>
        <oddFooter>&amp;L&amp;A&amp;Rлист &amp;P    листов &amp;N</oddFooter>
      </headerFooter>
    </customSheetView>
  </customSheetViews>
  <mergeCells count="18">
    <mergeCell ref="H6:K6"/>
    <mergeCell ref="L6:L7"/>
    <mergeCell ref="M6:M7"/>
    <mergeCell ref="C4:D4"/>
    <mergeCell ref="E4:G4"/>
    <mergeCell ref="F6:F7"/>
    <mergeCell ref="G6:G7"/>
    <mergeCell ref="A6:A7"/>
    <mergeCell ref="B6:B7"/>
    <mergeCell ref="C6:C7"/>
    <mergeCell ref="D6:D7"/>
    <mergeCell ref="E6:E7"/>
    <mergeCell ref="A1:B1"/>
    <mergeCell ref="J1:M1"/>
    <mergeCell ref="A2:B2"/>
    <mergeCell ref="J2:M2"/>
    <mergeCell ref="A3:B3"/>
    <mergeCell ref="J3:M3"/>
  </mergeCells>
  <pageMargins left="0.11811023622047245" right="0" top="1.0629921259842521" bottom="0.11811023622047245" header="0.31496062992125984" footer="0.11811023622047245"/>
  <pageSetup paperSize="8" scale="24" orientation="landscape" r:id="rId10"/>
  <headerFooter>
    <oddFooter>&amp;L&amp;A&amp;Rлист &amp;P    листов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069"/>
  <sheetViews>
    <sheetView zoomScale="60" zoomScaleNormal="80" zoomScaleSheetLayoutView="90" workbookViewId="0">
      <pane ySplit="6" topLeftCell="A61" activePane="bottomLeft" state="frozen"/>
      <selection pane="bottomLeft" activeCell="A7" sqref="A7:XFD7"/>
    </sheetView>
  </sheetViews>
  <sheetFormatPr defaultColWidth="9.140625" defaultRowHeight="15" x14ac:dyDescent="0.25"/>
  <cols>
    <col min="1" max="1" width="8.7109375" style="9" customWidth="1"/>
    <col min="2" max="2" width="80.7109375" style="9" customWidth="1"/>
    <col min="3" max="3" width="13" style="9" customWidth="1"/>
    <col min="4" max="4" width="17" style="9" customWidth="1"/>
    <col min="5" max="5" width="24.85546875" style="9" customWidth="1"/>
    <col min="6" max="6" width="12.28515625" style="9" customWidth="1"/>
    <col min="7" max="10" width="10.7109375" style="9" customWidth="1"/>
    <col min="11" max="11" width="11.7109375" style="9" customWidth="1"/>
    <col min="12" max="12" width="25.140625" style="9" customWidth="1"/>
    <col min="13" max="13" width="12.28515625" style="4" customWidth="1"/>
    <col min="14" max="14" width="11.28515625" style="4" customWidth="1"/>
    <col min="15" max="16" width="9.140625" style="5" customWidth="1"/>
    <col min="17" max="16384" width="9.140625" style="4"/>
  </cols>
  <sheetData>
    <row r="1" spans="1:16" ht="15" customHeight="1" x14ac:dyDescent="0.25">
      <c r="A1" s="577" t="s">
        <v>0</v>
      </c>
      <c r="B1" s="577"/>
      <c r="H1" s="1"/>
      <c r="I1" s="578" t="s">
        <v>1</v>
      </c>
      <c r="J1" s="578"/>
      <c r="K1" s="578"/>
    </row>
    <row r="2" spans="1:16" ht="15" customHeight="1" x14ac:dyDescent="0.25">
      <c r="A2" s="577" t="s">
        <v>2</v>
      </c>
      <c r="B2" s="577"/>
      <c r="E2" s="9" t="s">
        <v>508</v>
      </c>
      <c r="H2" s="22"/>
      <c r="I2" s="579" t="s">
        <v>3</v>
      </c>
      <c r="J2" s="579"/>
      <c r="K2" s="579"/>
    </row>
    <row r="3" spans="1:16" ht="23.25" x14ac:dyDescent="0.35">
      <c r="A3" s="577" t="s">
        <v>4</v>
      </c>
      <c r="B3" s="577"/>
      <c r="C3" s="580" t="s">
        <v>509</v>
      </c>
      <c r="D3" s="580"/>
      <c r="E3" s="580"/>
      <c r="F3" s="99" t="s">
        <v>158</v>
      </c>
      <c r="H3" s="22"/>
      <c r="I3" s="579" t="s">
        <v>127</v>
      </c>
      <c r="J3" s="579"/>
      <c r="K3" s="579"/>
    </row>
    <row r="4" spans="1:16" ht="9" customHeight="1" thickBot="1" x14ac:dyDescent="0.3"/>
    <row r="5" spans="1:16" s="6" customFormat="1" ht="23.25" customHeight="1" thickBot="1" x14ac:dyDescent="0.25">
      <c r="A5" s="571" t="s">
        <v>5</v>
      </c>
      <c r="B5" s="571" t="s">
        <v>6</v>
      </c>
      <c r="C5" s="569" t="s">
        <v>7</v>
      </c>
      <c r="D5" s="571" t="s">
        <v>8</v>
      </c>
      <c r="E5" s="571" t="s">
        <v>9</v>
      </c>
      <c r="F5" s="569" t="s">
        <v>34</v>
      </c>
      <c r="G5" s="568" t="s">
        <v>11</v>
      </c>
      <c r="H5" s="568"/>
      <c r="I5" s="568"/>
      <c r="J5" s="568"/>
      <c r="K5" s="569" t="s">
        <v>10</v>
      </c>
      <c r="L5" s="571" t="s">
        <v>12</v>
      </c>
      <c r="M5" s="571" t="s">
        <v>30</v>
      </c>
      <c r="N5" s="573" t="s">
        <v>13</v>
      </c>
    </row>
    <row r="6" spans="1:16" s="6" customFormat="1" ht="32.25" customHeight="1" thickBot="1" x14ac:dyDescent="0.25">
      <c r="A6" s="572"/>
      <c r="B6" s="572"/>
      <c r="C6" s="570"/>
      <c r="D6" s="572"/>
      <c r="E6" s="572"/>
      <c r="F6" s="570"/>
      <c r="G6" s="2" t="s">
        <v>14</v>
      </c>
      <c r="H6" s="2" t="s">
        <v>15</v>
      </c>
      <c r="I6" s="2" t="s">
        <v>16</v>
      </c>
      <c r="J6" s="2" t="s">
        <v>17</v>
      </c>
      <c r="K6" s="570"/>
      <c r="L6" s="572"/>
      <c r="M6" s="572"/>
      <c r="N6" s="573"/>
    </row>
    <row r="7" spans="1:16" s="6" customFormat="1" ht="30" customHeight="1" x14ac:dyDescent="0.3">
      <c r="A7" s="259">
        <v>4316</v>
      </c>
      <c r="B7" s="425" t="s">
        <v>22</v>
      </c>
      <c r="C7" s="102">
        <v>6000</v>
      </c>
      <c r="D7" s="91">
        <v>200.54</v>
      </c>
      <c r="E7" s="55">
        <f>D7*C7</f>
        <v>1203240</v>
      </c>
      <c r="F7" s="41">
        <v>6000</v>
      </c>
      <c r="G7" s="40">
        <f>400+300+300+300</f>
        <v>1300</v>
      </c>
      <c r="H7" s="41">
        <f>300+300+500+500</f>
        <v>1600</v>
      </c>
      <c r="I7" s="41">
        <f>500+400+400+400+300</f>
        <v>2000</v>
      </c>
      <c r="J7" s="58">
        <f>300+400+400</f>
        <v>1100</v>
      </c>
      <c r="K7" s="456">
        <f>G7+H7+I7+J7</f>
        <v>6000</v>
      </c>
      <c r="L7" s="57">
        <f>D7*K7</f>
        <v>1203240</v>
      </c>
      <c r="M7" s="64">
        <f>F7-K7</f>
        <v>0</v>
      </c>
      <c r="N7" s="242">
        <f>K7/C7</f>
        <v>1</v>
      </c>
      <c r="O7" s="32"/>
    </row>
    <row r="8" spans="1:16" s="6" customFormat="1" ht="5.0999999999999996" customHeight="1" x14ac:dyDescent="0.2">
      <c r="A8" s="68"/>
      <c r="B8" s="44"/>
      <c r="C8" s="102"/>
      <c r="D8" s="92"/>
      <c r="E8" s="34"/>
      <c r="F8" s="41"/>
      <c r="G8" s="40"/>
      <c r="H8" s="41"/>
      <c r="I8" s="41"/>
      <c r="J8" s="58"/>
      <c r="K8" s="62"/>
      <c r="L8" s="60"/>
      <c r="M8" s="3"/>
      <c r="N8" s="243"/>
    </row>
    <row r="9" spans="1:16" s="6" customFormat="1" ht="20.100000000000001" customHeight="1" x14ac:dyDescent="0.2">
      <c r="A9" s="68"/>
      <c r="B9" s="35" t="s">
        <v>23</v>
      </c>
      <c r="C9" s="102"/>
      <c r="D9" s="91"/>
      <c r="E9" s="34"/>
      <c r="F9" s="41"/>
      <c r="G9" s="40"/>
      <c r="H9" s="41"/>
      <c r="I9" s="41"/>
      <c r="J9" s="58"/>
      <c r="K9" s="62"/>
      <c r="L9" s="61"/>
      <c r="M9" s="64"/>
      <c r="N9" s="243"/>
      <c r="P9" s="30"/>
    </row>
    <row r="10" spans="1:16" s="6" customFormat="1" ht="5.0999999999999996" customHeight="1" x14ac:dyDescent="0.2">
      <c r="A10" s="68"/>
      <c r="B10" s="35"/>
      <c r="C10" s="102"/>
      <c r="D10" s="91"/>
      <c r="E10" s="56"/>
      <c r="F10" s="41"/>
      <c r="G10" s="40"/>
      <c r="H10" s="41"/>
      <c r="I10" s="41"/>
      <c r="J10" s="58"/>
      <c r="K10" s="62"/>
      <c r="L10" s="60"/>
      <c r="M10" s="3"/>
      <c r="N10" s="243"/>
      <c r="P10" s="30"/>
    </row>
    <row r="11" spans="1:16" s="6" customFormat="1" ht="20.100000000000001" customHeight="1" x14ac:dyDescent="0.2">
      <c r="A11" s="68">
        <v>4317</v>
      </c>
      <c r="B11" s="35" t="s">
        <v>86</v>
      </c>
      <c r="C11" s="102">
        <v>300</v>
      </c>
      <c r="D11" s="91">
        <v>105.58</v>
      </c>
      <c r="E11" s="56">
        <f t="shared" ref="E11:E20" si="0">D11*C11</f>
        <v>31674</v>
      </c>
      <c r="F11" s="41">
        <v>337</v>
      </c>
      <c r="G11" s="40"/>
      <c r="H11" s="41">
        <f>200+137</f>
        <v>337</v>
      </c>
      <c r="I11" s="41"/>
      <c r="J11" s="58"/>
      <c r="K11" s="456">
        <f t="shared" ref="K11:K20" si="1">G11+H11+I11+J11</f>
        <v>337</v>
      </c>
      <c r="L11" s="57">
        <f t="shared" ref="L11:L20" si="2">D11*K11</f>
        <v>35580.46</v>
      </c>
      <c r="M11" s="64">
        <f t="shared" ref="M11:M20" si="3">F11-K11</f>
        <v>0</v>
      </c>
      <c r="N11" s="243">
        <f t="shared" ref="N11:N20" si="4">K11/C11</f>
        <v>1.1233333333333333</v>
      </c>
    </row>
    <row r="12" spans="1:16" s="6" customFormat="1" ht="19.5" customHeight="1" x14ac:dyDescent="0.2">
      <c r="A12" s="68">
        <v>4318</v>
      </c>
      <c r="B12" s="35" t="s">
        <v>40</v>
      </c>
      <c r="C12" s="102">
        <v>300</v>
      </c>
      <c r="D12" s="91">
        <v>79.31</v>
      </c>
      <c r="E12" s="56">
        <f t="shared" si="0"/>
        <v>23793</v>
      </c>
      <c r="F12" s="41">
        <v>337</v>
      </c>
      <c r="G12" s="40"/>
      <c r="H12" s="41">
        <f>200+137</f>
        <v>337</v>
      </c>
      <c r="I12" s="41"/>
      <c r="J12" s="58"/>
      <c r="K12" s="456">
        <f t="shared" si="1"/>
        <v>337</v>
      </c>
      <c r="L12" s="57">
        <f t="shared" si="2"/>
        <v>26727.47</v>
      </c>
      <c r="M12" s="64">
        <f t="shared" si="3"/>
        <v>0</v>
      </c>
      <c r="N12" s="243">
        <f t="shared" si="4"/>
        <v>1.1233333333333333</v>
      </c>
    </row>
    <row r="13" spans="1:16" s="6" customFormat="1" ht="19.5" customHeight="1" x14ac:dyDescent="0.2">
      <c r="A13" s="68">
        <v>4319</v>
      </c>
      <c r="B13" s="35" t="s">
        <v>41</v>
      </c>
      <c r="C13" s="102">
        <v>300</v>
      </c>
      <c r="D13" s="91">
        <v>83.64</v>
      </c>
      <c r="E13" s="56">
        <f t="shared" si="0"/>
        <v>25092</v>
      </c>
      <c r="F13" s="41">
        <v>337</v>
      </c>
      <c r="G13" s="40"/>
      <c r="H13" s="268">
        <f>200+137</f>
        <v>337</v>
      </c>
      <c r="I13" s="41"/>
      <c r="J13" s="58"/>
      <c r="K13" s="456">
        <f t="shared" si="1"/>
        <v>337</v>
      </c>
      <c r="L13" s="57">
        <f t="shared" si="2"/>
        <v>28186.68</v>
      </c>
      <c r="M13" s="64">
        <f t="shared" si="3"/>
        <v>0</v>
      </c>
      <c r="N13" s="243">
        <f t="shared" si="4"/>
        <v>1.1233333333333333</v>
      </c>
    </row>
    <row r="14" spans="1:16" s="6" customFormat="1" ht="19.5" customHeight="1" x14ac:dyDescent="0.2">
      <c r="A14" s="68">
        <v>4320</v>
      </c>
      <c r="B14" s="47" t="s">
        <v>85</v>
      </c>
      <c r="C14" s="102">
        <v>300</v>
      </c>
      <c r="D14" s="91">
        <v>70.56</v>
      </c>
      <c r="E14" s="56">
        <f t="shared" si="0"/>
        <v>21168</v>
      </c>
      <c r="F14" s="41">
        <v>337</v>
      </c>
      <c r="G14" s="40"/>
      <c r="H14" s="41">
        <f>200+137</f>
        <v>337</v>
      </c>
      <c r="I14" s="41"/>
      <c r="J14" s="58"/>
      <c r="K14" s="456">
        <f t="shared" si="1"/>
        <v>337</v>
      </c>
      <c r="L14" s="57">
        <f t="shared" si="2"/>
        <v>23778.720000000001</v>
      </c>
      <c r="M14" s="64">
        <f t="shared" si="3"/>
        <v>0</v>
      </c>
      <c r="N14" s="243">
        <f t="shared" si="4"/>
        <v>1.1233333333333333</v>
      </c>
    </row>
    <row r="15" spans="1:16" s="6" customFormat="1" ht="19.5" customHeight="1" x14ac:dyDescent="0.25">
      <c r="A15" s="68" t="s">
        <v>491</v>
      </c>
      <c r="B15" s="47" t="s">
        <v>84</v>
      </c>
      <c r="C15" s="102">
        <v>300</v>
      </c>
      <c r="D15" s="91">
        <v>349</v>
      </c>
      <c r="E15" s="56">
        <f t="shared" si="0"/>
        <v>104700</v>
      </c>
      <c r="F15" s="41">
        <v>300</v>
      </c>
      <c r="G15" s="40"/>
      <c r="H15" s="41"/>
      <c r="I15" s="41"/>
      <c r="J15" s="58">
        <f t="shared" ref="J15:J20" si="5">150+150</f>
        <v>300</v>
      </c>
      <c r="K15" s="456">
        <f t="shared" si="1"/>
        <v>300</v>
      </c>
      <c r="L15" s="57">
        <f t="shared" si="2"/>
        <v>104700</v>
      </c>
      <c r="M15" s="64">
        <f t="shared" si="3"/>
        <v>0</v>
      </c>
      <c r="N15" s="243">
        <f t="shared" si="4"/>
        <v>1</v>
      </c>
      <c r="O15" s="5"/>
    </row>
    <row r="16" spans="1:16" s="6" customFormat="1" ht="19.5" customHeight="1" x14ac:dyDescent="0.2">
      <c r="A16" s="68">
        <v>4322</v>
      </c>
      <c r="B16" s="36" t="s">
        <v>83</v>
      </c>
      <c r="C16" s="102">
        <v>300</v>
      </c>
      <c r="D16" s="91">
        <v>104.03</v>
      </c>
      <c r="E16" s="56">
        <f t="shared" si="0"/>
        <v>31209</v>
      </c>
      <c r="F16" s="41">
        <v>300</v>
      </c>
      <c r="G16" s="40"/>
      <c r="H16" s="41"/>
      <c r="I16" s="41"/>
      <c r="J16" s="58">
        <f t="shared" si="5"/>
        <v>300</v>
      </c>
      <c r="K16" s="456">
        <f t="shared" si="1"/>
        <v>300</v>
      </c>
      <c r="L16" s="57">
        <f t="shared" si="2"/>
        <v>31209</v>
      </c>
      <c r="M16" s="64">
        <f t="shared" si="3"/>
        <v>0</v>
      </c>
      <c r="N16" s="243">
        <f t="shared" si="4"/>
        <v>1</v>
      </c>
    </row>
    <row r="17" spans="1:16" s="6" customFormat="1" ht="19.5" customHeight="1" x14ac:dyDescent="0.2">
      <c r="A17" s="68">
        <v>4323</v>
      </c>
      <c r="B17" s="35" t="s">
        <v>42</v>
      </c>
      <c r="C17" s="102">
        <v>300</v>
      </c>
      <c r="D17" s="91">
        <v>26.78</v>
      </c>
      <c r="E17" s="56">
        <f t="shared" si="0"/>
        <v>8034</v>
      </c>
      <c r="F17" s="41">
        <v>300</v>
      </c>
      <c r="G17" s="40"/>
      <c r="H17" s="41"/>
      <c r="I17" s="41"/>
      <c r="J17" s="58">
        <f t="shared" si="5"/>
        <v>300</v>
      </c>
      <c r="K17" s="456">
        <f t="shared" si="1"/>
        <v>300</v>
      </c>
      <c r="L17" s="57">
        <f t="shared" si="2"/>
        <v>8034</v>
      </c>
      <c r="M17" s="64">
        <f t="shared" si="3"/>
        <v>0</v>
      </c>
      <c r="N17" s="243">
        <f t="shared" si="4"/>
        <v>1</v>
      </c>
      <c r="P17" s="30"/>
    </row>
    <row r="18" spans="1:16" s="6" customFormat="1" ht="19.5" customHeight="1" x14ac:dyDescent="0.2">
      <c r="A18" s="68">
        <v>4325</v>
      </c>
      <c r="B18" s="35" t="s">
        <v>138</v>
      </c>
      <c r="C18" s="102">
        <v>300</v>
      </c>
      <c r="D18" s="91">
        <v>2.37</v>
      </c>
      <c r="E18" s="56">
        <f t="shared" si="0"/>
        <v>711</v>
      </c>
      <c r="F18" s="41">
        <v>300</v>
      </c>
      <c r="G18" s="40"/>
      <c r="H18" s="41"/>
      <c r="I18" s="41"/>
      <c r="J18" s="58">
        <f t="shared" si="5"/>
        <v>300</v>
      </c>
      <c r="K18" s="456">
        <f t="shared" si="1"/>
        <v>300</v>
      </c>
      <c r="L18" s="57">
        <f t="shared" si="2"/>
        <v>711</v>
      </c>
      <c r="M18" s="64">
        <f t="shared" si="3"/>
        <v>0</v>
      </c>
      <c r="N18" s="243">
        <f t="shared" si="4"/>
        <v>1</v>
      </c>
    </row>
    <row r="19" spans="1:16" s="6" customFormat="1" ht="19.5" customHeight="1" x14ac:dyDescent="0.2">
      <c r="A19" s="68">
        <v>4326</v>
      </c>
      <c r="B19" s="35" t="s">
        <v>139</v>
      </c>
      <c r="C19" s="102">
        <v>300</v>
      </c>
      <c r="D19" s="91">
        <v>5.25</v>
      </c>
      <c r="E19" s="56">
        <f t="shared" si="0"/>
        <v>1575</v>
      </c>
      <c r="F19" s="41">
        <v>300</v>
      </c>
      <c r="G19" s="40"/>
      <c r="H19" s="41"/>
      <c r="I19" s="41"/>
      <c r="J19" s="58">
        <f t="shared" si="5"/>
        <v>300</v>
      </c>
      <c r="K19" s="456">
        <f t="shared" si="1"/>
        <v>300</v>
      </c>
      <c r="L19" s="57">
        <f t="shared" si="2"/>
        <v>1575</v>
      </c>
      <c r="M19" s="64">
        <f t="shared" si="3"/>
        <v>0</v>
      </c>
      <c r="N19" s="243">
        <f t="shared" si="4"/>
        <v>1</v>
      </c>
    </row>
    <row r="20" spans="1:16" s="6" customFormat="1" ht="19.5" customHeight="1" x14ac:dyDescent="0.2">
      <c r="A20" s="68">
        <v>4327</v>
      </c>
      <c r="B20" s="35" t="s">
        <v>43</v>
      </c>
      <c r="C20" s="102">
        <v>300</v>
      </c>
      <c r="D20" s="91">
        <v>5.25</v>
      </c>
      <c r="E20" s="56">
        <f t="shared" si="0"/>
        <v>1575</v>
      </c>
      <c r="F20" s="41">
        <v>300</v>
      </c>
      <c r="G20" s="40"/>
      <c r="H20" s="41"/>
      <c r="I20" s="41"/>
      <c r="J20" s="58">
        <f t="shared" si="5"/>
        <v>300</v>
      </c>
      <c r="K20" s="456">
        <f t="shared" si="1"/>
        <v>300</v>
      </c>
      <c r="L20" s="57">
        <f t="shared" si="2"/>
        <v>1575</v>
      </c>
      <c r="M20" s="64">
        <f t="shared" si="3"/>
        <v>0</v>
      </c>
      <c r="N20" s="243">
        <f t="shared" si="4"/>
        <v>1</v>
      </c>
    </row>
    <row r="21" spans="1:16" s="6" customFormat="1" ht="5.0999999999999996" customHeight="1" x14ac:dyDescent="0.2">
      <c r="A21" s="69"/>
      <c r="B21" s="48"/>
      <c r="C21" s="102"/>
      <c r="D21" s="91"/>
      <c r="E21" s="34"/>
      <c r="F21" s="41"/>
      <c r="G21" s="40"/>
      <c r="H21" s="41"/>
      <c r="I21" s="41"/>
      <c r="J21" s="58"/>
      <c r="K21" s="62"/>
      <c r="L21" s="60"/>
      <c r="M21" s="3"/>
      <c r="N21" s="243"/>
    </row>
    <row r="22" spans="1:16" s="6" customFormat="1" ht="19.5" customHeight="1" x14ac:dyDescent="0.2">
      <c r="A22" s="68">
        <v>4352</v>
      </c>
      <c r="B22" s="47" t="s">
        <v>44</v>
      </c>
      <c r="C22" s="33">
        <f>52+32+2+230+2+24</f>
        <v>342</v>
      </c>
      <c r="D22" s="91">
        <v>374.41</v>
      </c>
      <c r="E22" s="56">
        <f t="shared" ref="E22:E29" si="6">D22*C22</f>
        <v>128048.22000000002</v>
      </c>
      <c r="F22" s="41">
        <v>166</v>
      </c>
      <c r="G22" s="40">
        <v>161</v>
      </c>
      <c r="H22" s="41">
        <v>5</v>
      </c>
      <c r="I22" s="41"/>
      <c r="J22" s="58"/>
      <c r="K22" s="456">
        <f t="shared" ref="K22:K29" si="7">G22+H22+I22+J22</f>
        <v>166</v>
      </c>
      <c r="L22" s="57">
        <f t="shared" ref="L22:L29" si="8">D22*K22</f>
        <v>62152.060000000005</v>
      </c>
      <c r="M22" s="64">
        <f t="shared" ref="M22:M29" si="9">F22-K22</f>
        <v>0</v>
      </c>
      <c r="N22" s="243">
        <f t="shared" ref="N22:N29" si="10">K22/C22</f>
        <v>0.4853801169590643</v>
      </c>
    </row>
    <row r="23" spans="1:16" s="6" customFormat="1" ht="19.5" customHeight="1" x14ac:dyDescent="0.2">
      <c r="A23" s="68">
        <v>4351</v>
      </c>
      <c r="B23" s="35" t="s">
        <v>45</v>
      </c>
      <c r="C23" s="33">
        <f>90+252+6</f>
        <v>348</v>
      </c>
      <c r="D23" s="91">
        <v>343.51</v>
      </c>
      <c r="E23" s="56">
        <f t="shared" si="6"/>
        <v>119541.48</v>
      </c>
      <c r="F23" s="41">
        <v>284</v>
      </c>
      <c r="G23" s="40">
        <v>37</v>
      </c>
      <c r="H23" s="41">
        <v>24</v>
      </c>
      <c r="I23" s="41"/>
      <c r="J23" s="58">
        <f>70+153</f>
        <v>223</v>
      </c>
      <c r="K23" s="456">
        <f t="shared" si="7"/>
        <v>284</v>
      </c>
      <c r="L23" s="57">
        <f t="shared" si="8"/>
        <v>97556.84</v>
      </c>
      <c r="M23" s="64">
        <f t="shared" si="9"/>
        <v>0</v>
      </c>
      <c r="N23" s="243">
        <f t="shared" si="10"/>
        <v>0.81609195402298851</v>
      </c>
    </row>
    <row r="24" spans="1:16" s="6" customFormat="1" ht="19.5" customHeight="1" x14ac:dyDescent="0.2">
      <c r="A24" s="68">
        <v>4355</v>
      </c>
      <c r="B24" s="36" t="s">
        <v>46</v>
      </c>
      <c r="C24" s="33">
        <f>52</f>
        <v>52</v>
      </c>
      <c r="D24" s="91">
        <v>28.33</v>
      </c>
      <c r="E24" s="56">
        <f t="shared" si="6"/>
        <v>1473.1599999999999</v>
      </c>
      <c r="F24" s="41"/>
      <c r="G24" s="40"/>
      <c r="H24" s="41"/>
      <c r="I24" s="41"/>
      <c r="J24" s="58"/>
      <c r="K24" s="62">
        <f t="shared" si="7"/>
        <v>0</v>
      </c>
      <c r="L24" s="57">
        <f t="shared" si="8"/>
        <v>0</v>
      </c>
      <c r="M24" s="64">
        <f t="shared" si="9"/>
        <v>0</v>
      </c>
      <c r="N24" s="243">
        <f t="shared" si="10"/>
        <v>0</v>
      </c>
    </row>
    <row r="25" spans="1:16" s="6" customFormat="1" ht="19.5" customHeight="1" x14ac:dyDescent="0.2">
      <c r="A25" s="68">
        <v>4353</v>
      </c>
      <c r="B25" s="47" t="s">
        <v>47</v>
      </c>
      <c r="C25" s="33">
        <f>32+90+2+6+24</f>
        <v>154</v>
      </c>
      <c r="D25" s="91">
        <v>28.33</v>
      </c>
      <c r="E25" s="56">
        <f t="shared" si="6"/>
        <v>4362.82</v>
      </c>
      <c r="F25" s="41"/>
      <c r="G25" s="40"/>
      <c r="H25" s="41"/>
      <c r="I25" s="41"/>
      <c r="J25" s="58"/>
      <c r="K25" s="62">
        <f t="shared" si="7"/>
        <v>0</v>
      </c>
      <c r="L25" s="57">
        <f t="shared" si="8"/>
        <v>0</v>
      </c>
      <c r="M25" s="64">
        <f t="shared" si="9"/>
        <v>0</v>
      </c>
      <c r="N25" s="243">
        <f t="shared" si="10"/>
        <v>0</v>
      </c>
    </row>
    <row r="26" spans="1:16" s="6" customFormat="1" ht="19.5" customHeight="1" x14ac:dyDescent="0.2">
      <c r="A26" s="68">
        <v>4354</v>
      </c>
      <c r="B26" s="35" t="s">
        <v>48</v>
      </c>
      <c r="C26" s="33">
        <f>52+32+90+2+252+230+2+6+24</f>
        <v>690</v>
      </c>
      <c r="D26" s="91">
        <v>24.21</v>
      </c>
      <c r="E26" s="56">
        <f t="shared" si="6"/>
        <v>16704.900000000001</v>
      </c>
      <c r="F26" s="41">
        <v>491</v>
      </c>
      <c r="G26" s="40">
        <v>198</v>
      </c>
      <c r="H26" s="41">
        <v>29</v>
      </c>
      <c r="I26" s="41">
        <v>41</v>
      </c>
      <c r="J26" s="58">
        <f>70+153</f>
        <v>223</v>
      </c>
      <c r="K26" s="456">
        <f t="shared" si="7"/>
        <v>491</v>
      </c>
      <c r="L26" s="57">
        <f t="shared" si="8"/>
        <v>11887.11</v>
      </c>
      <c r="M26" s="64">
        <f t="shared" si="9"/>
        <v>0</v>
      </c>
      <c r="N26" s="243">
        <f t="shared" si="10"/>
        <v>0.71159420289855069</v>
      </c>
    </row>
    <row r="27" spans="1:16" s="6" customFormat="1" ht="19.5" customHeight="1" x14ac:dyDescent="0.2">
      <c r="A27" s="68">
        <v>4356</v>
      </c>
      <c r="B27" s="45" t="s">
        <v>49</v>
      </c>
      <c r="C27" s="33"/>
      <c r="D27" s="91">
        <v>48.93</v>
      </c>
      <c r="E27" s="56">
        <f t="shared" si="6"/>
        <v>0</v>
      </c>
      <c r="F27" s="41"/>
      <c r="G27" s="40"/>
      <c r="H27" s="41"/>
      <c r="I27" s="41"/>
      <c r="J27" s="58"/>
      <c r="K27" s="62">
        <f t="shared" si="7"/>
        <v>0</v>
      </c>
      <c r="L27" s="57">
        <f t="shared" si="8"/>
        <v>0</v>
      </c>
      <c r="M27" s="64">
        <f t="shared" si="9"/>
        <v>0</v>
      </c>
      <c r="N27" s="243" t="e">
        <f t="shared" si="10"/>
        <v>#DIV/0!</v>
      </c>
    </row>
    <row r="28" spans="1:16" s="6" customFormat="1" ht="19.5" customHeight="1" x14ac:dyDescent="0.2">
      <c r="A28" s="68">
        <v>4357</v>
      </c>
      <c r="B28" s="35" t="s">
        <v>82</v>
      </c>
      <c r="C28" s="33"/>
      <c r="D28" s="91">
        <v>29.87</v>
      </c>
      <c r="E28" s="56">
        <f t="shared" si="6"/>
        <v>0</v>
      </c>
      <c r="F28" s="41"/>
      <c r="G28" s="40"/>
      <c r="H28" s="41"/>
      <c r="I28" s="41"/>
      <c r="J28" s="58"/>
      <c r="K28" s="62">
        <f t="shared" si="7"/>
        <v>0</v>
      </c>
      <c r="L28" s="57">
        <f t="shared" si="8"/>
        <v>0</v>
      </c>
      <c r="M28" s="64">
        <f t="shared" si="9"/>
        <v>0</v>
      </c>
      <c r="N28" s="243" t="e">
        <f t="shared" si="10"/>
        <v>#DIV/0!</v>
      </c>
    </row>
    <row r="29" spans="1:16" s="6" customFormat="1" ht="19.5" customHeight="1" x14ac:dyDescent="0.2">
      <c r="A29" s="68">
        <v>4349</v>
      </c>
      <c r="B29" s="36" t="s">
        <v>50</v>
      </c>
      <c r="C29" s="33">
        <f>90*2+252*2+6*2</f>
        <v>696</v>
      </c>
      <c r="D29" s="93">
        <v>2.06</v>
      </c>
      <c r="E29" s="56">
        <f t="shared" si="6"/>
        <v>1433.76</v>
      </c>
      <c r="F29" s="41">
        <v>650</v>
      </c>
      <c r="G29" s="40">
        <v>74</v>
      </c>
      <c r="H29" s="41">
        <v>48</v>
      </c>
      <c r="I29" s="241">
        <v>82</v>
      </c>
      <c r="J29" s="263">
        <f>140+306</f>
        <v>446</v>
      </c>
      <c r="K29" s="62">
        <f t="shared" si="7"/>
        <v>650</v>
      </c>
      <c r="L29" s="57">
        <f t="shared" si="8"/>
        <v>1339</v>
      </c>
      <c r="M29" s="64">
        <f t="shared" si="9"/>
        <v>0</v>
      </c>
      <c r="N29" s="243">
        <f t="shared" si="10"/>
        <v>0.93390804597701149</v>
      </c>
    </row>
    <row r="30" spans="1:16" s="6" customFormat="1" ht="5.0999999999999996" customHeight="1" x14ac:dyDescent="0.2">
      <c r="A30" s="69"/>
      <c r="B30" s="49"/>
      <c r="C30" s="33"/>
      <c r="D30" s="93"/>
      <c r="E30" s="34"/>
      <c r="F30" s="41"/>
      <c r="G30" s="40"/>
      <c r="H30" s="41"/>
      <c r="I30" s="41"/>
      <c r="J30" s="58"/>
      <c r="K30" s="62"/>
      <c r="L30" s="60"/>
      <c r="M30" s="3"/>
      <c r="N30" s="243"/>
    </row>
    <row r="31" spans="1:16" s="6" customFormat="1" ht="19.5" customHeight="1" x14ac:dyDescent="0.2">
      <c r="A31" s="68">
        <v>4344</v>
      </c>
      <c r="B31" s="35" t="s">
        <v>51</v>
      </c>
      <c r="C31" s="33">
        <v>1</v>
      </c>
      <c r="D31" s="91">
        <v>447.54</v>
      </c>
      <c r="E31" s="56">
        <f>D31*C31</f>
        <v>447.54</v>
      </c>
      <c r="F31" s="41"/>
      <c r="G31" s="40"/>
      <c r="H31" s="41"/>
      <c r="I31" s="41"/>
      <c r="J31" s="58"/>
      <c r="K31" s="62">
        <f>G31+H31+I31+J31</f>
        <v>0</v>
      </c>
      <c r="L31" s="57">
        <f>D31*K31</f>
        <v>0</v>
      </c>
      <c r="M31" s="64">
        <f>F31-K31</f>
        <v>0</v>
      </c>
      <c r="N31" s="243">
        <f>K31/C31</f>
        <v>0</v>
      </c>
    </row>
    <row r="32" spans="1:16" s="6" customFormat="1" ht="19.5" customHeight="1" x14ac:dyDescent="0.2">
      <c r="A32" s="68">
        <v>4345</v>
      </c>
      <c r="B32" s="35" t="s">
        <v>52</v>
      </c>
      <c r="C32" s="33">
        <v>1</v>
      </c>
      <c r="D32" s="91">
        <v>20.09</v>
      </c>
      <c r="E32" s="56">
        <f>D32*C32</f>
        <v>20.09</v>
      </c>
      <c r="F32" s="41"/>
      <c r="G32" s="40"/>
      <c r="H32" s="41"/>
      <c r="I32" s="41"/>
      <c r="J32" s="58"/>
      <c r="K32" s="62">
        <f>G32+H32+I32+J32</f>
        <v>0</v>
      </c>
      <c r="L32" s="57">
        <f>D32*K32</f>
        <v>0</v>
      </c>
      <c r="M32" s="64">
        <f>F32-K32</f>
        <v>0</v>
      </c>
      <c r="N32" s="243">
        <f>K32/C32</f>
        <v>0</v>
      </c>
    </row>
    <row r="33" spans="1:14" s="6" customFormat="1" ht="19.5" customHeight="1" x14ac:dyDescent="0.2">
      <c r="A33" s="68">
        <v>4346</v>
      </c>
      <c r="B33" s="35" t="s">
        <v>53</v>
      </c>
      <c r="C33" s="33"/>
      <c r="D33" s="91">
        <v>20.09</v>
      </c>
      <c r="E33" s="56">
        <f>D33*C33</f>
        <v>0</v>
      </c>
      <c r="F33" s="41"/>
      <c r="G33" s="40"/>
      <c r="H33" s="41"/>
      <c r="I33" s="41"/>
      <c r="J33" s="58"/>
      <c r="K33" s="62">
        <f>G33+H33+I33+J33</f>
        <v>0</v>
      </c>
      <c r="L33" s="57">
        <f>D33*K33</f>
        <v>0</v>
      </c>
      <c r="M33" s="64">
        <f>F33-K33</f>
        <v>0</v>
      </c>
      <c r="N33" s="243" t="e">
        <f>K33/C33</f>
        <v>#DIV/0!</v>
      </c>
    </row>
    <row r="34" spans="1:14" s="6" customFormat="1" ht="19.5" customHeight="1" x14ac:dyDescent="0.2">
      <c r="A34" s="68">
        <v>4347</v>
      </c>
      <c r="B34" s="35" t="s">
        <v>81</v>
      </c>
      <c r="C34" s="33"/>
      <c r="D34" s="91">
        <v>51.5</v>
      </c>
      <c r="E34" s="56">
        <f>D34*C34</f>
        <v>0</v>
      </c>
      <c r="F34" s="40"/>
      <c r="G34" s="40"/>
      <c r="H34" s="41"/>
      <c r="I34" s="41"/>
      <c r="J34" s="58"/>
      <c r="K34" s="62">
        <f>G34+H34+I34+J34</f>
        <v>0</v>
      </c>
      <c r="L34" s="57">
        <f>D34*K34</f>
        <v>0</v>
      </c>
      <c r="M34" s="64">
        <f>F34-K34</f>
        <v>0</v>
      </c>
      <c r="N34" s="243" t="e">
        <f>K34/C34</f>
        <v>#DIV/0!</v>
      </c>
    </row>
    <row r="35" spans="1:14" s="6" customFormat="1" ht="19.5" customHeight="1" x14ac:dyDescent="0.2">
      <c r="A35" s="68">
        <v>4348</v>
      </c>
      <c r="B35" s="35" t="s">
        <v>54</v>
      </c>
      <c r="C35" s="33">
        <v>1</v>
      </c>
      <c r="D35" s="91">
        <v>59.74</v>
      </c>
      <c r="E35" s="56">
        <f>D35*C35</f>
        <v>59.74</v>
      </c>
      <c r="F35" s="41"/>
      <c r="G35" s="40"/>
      <c r="H35" s="41"/>
      <c r="I35" s="41"/>
      <c r="J35" s="58"/>
      <c r="K35" s="62">
        <f>G35+H35+I35+J35</f>
        <v>0</v>
      </c>
      <c r="L35" s="57">
        <f>D35*K35</f>
        <v>0</v>
      </c>
      <c r="M35" s="64">
        <f>F35-K35</f>
        <v>0</v>
      </c>
      <c r="N35" s="243">
        <f>K35/C35</f>
        <v>0</v>
      </c>
    </row>
    <row r="36" spans="1:14" s="6" customFormat="1" ht="0.75" customHeight="1" x14ac:dyDescent="0.2">
      <c r="A36" s="69"/>
      <c r="B36" s="35"/>
      <c r="C36" s="33"/>
      <c r="D36" s="91"/>
      <c r="E36" s="34"/>
      <c r="F36" s="41"/>
      <c r="G36" s="40"/>
      <c r="H36" s="41"/>
      <c r="I36" s="41"/>
      <c r="J36" s="58"/>
      <c r="K36" s="62"/>
      <c r="L36" s="60"/>
      <c r="M36" s="3"/>
      <c r="N36" s="243"/>
    </row>
    <row r="37" spans="1:14" s="6" customFormat="1" ht="20.100000000000001" customHeight="1" x14ac:dyDescent="0.2">
      <c r="A37" s="68">
        <v>4350</v>
      </c>
      <c r="B37" s="35" t="s">
        <v>80</v>
      </c>
      <c r="C37" s="33">
        <f>124+52+52+3</f>
        <v>231</v>
      </c>
      <c r="D37" s="91">
        <v>301.79000000000002</v>
      </c>
      <c r="E37" s="56">
        <f>D37*C37</f>
        <v>69713.490000000005</v>
      </c>
      <c r="F37" s="41">
        <v>440</v>
      </c>
      <c r="G37" s="50"/>
      <c r="H37" s="41">
        <f>134+132</f>
        <v>266</v>
      </c>
      <c r="I37" s="41"/>
      <c r="J37" s="58">
        <v>174</v>
      </c>
      <c r="K37" s="456">
        <f>G37+H37+I37+J37</f>
        <v>440</v>
      </c>
      <c r="L37" s="57">
        <f>D37*K37</f>
        <v>132787.6</v>
      </c>
      <c r="M37" s="64">
        <f>F37-K37</f>
        <v>0</v>
      </c>
      <c r="N37" s="243">
        <f>K37/C37</f>
        <v>1.9047619047619047</v>
      </c>
    </row>
    <row r="38" spans="1:14" s="6" customFormat="1" ht="5.0999999999999996" customHeight="1" x14ac:dyDescent="0.2">
      <c r="A38" s="69"/>
      <c r="B38" s="48"/>
      <c r="C38" s="33"/>
      <c r="D38" s="91"/>
      <c r="E38" s="34"/>
      <c r="F38" s="41"/>
      <c r="G38" s="40"/>
      <c r="H38" s="41"/>
      <c r="I38" s="41"/>
      <c r="J38" s="58"/>
      <c r="K38" s="62"/>
      <c r="L38" s="60"/>
      <c r="M38" s="3"/>
      <c r="N38" s="243"/>
    </row>
    <row r="39" spans="1:14" s="6" customFormat="1" ht="20.100000000000001" customHeight="1" x14ac:dyDescent="0.2">
      <c r="A39" s="68">
        <v>4328</v>
      </c>
      <c r="B39" s="35" t="s">
        <v>33</v>
      </c>
      <c r="C39" s="260"/>
      <c r="D39" s="91">
        <v>67.47</v>
      </c>
      <c r="E39" s="56">
        <f t="shared" ref="E39:E45" si="11">D39*C39</f>
        <v>0</v>
      </c>
      <c r="F39" s="41">
        <v>60</v>
      </c>
      <c r="G39" s="40"/>
      <c r="H39" s="41">
        <v>60</v>
      </c>
      <c r="I39" s="41"/>
      <c r="K39" s="456">
        <f t="shared" ref="K39:K45" si="12">G39+H39+I39+J39</f>
        <v>60</v>
      </c>
      <c r="L39" s="57">
        <f t="shared" ref="L39:L45" si="13">D39*K39</f>
        <v>4048.2</v>
      </c>
      <c r="M39" s="64">
        <f t="shared" ref="M39:M45" si="14">F39-K39</f>
        <v>0</v>
      </c>
      <c r="N39" s="243" t="e">
        <f t="shared" ref="N39:N45" si="15">K39/C39</f>
        <v>#DIV/0!</v>
      </c>
    </row>
    <row r="40" spans="1:14" s="6" customFormat="1" ht="20.100000000000001" customHeight="1" x14ac:dyDescent="0.2">
      <c r="A40" s="68">
        <v>4329</v>
      </c>
      <c r="B40" s="35" t="s">
        <v>32</v>
      </c>
      <c r="C40" s="33"/>
      <c r="D40" s="91">
        <v>32.96</v>
      </c>
      <c r="E40" s="56">
        <f t="shared" si="11"/>
        <v>0</v>
      </c>
      <c r="F40" s="41"/>
      <c r="G40" s="40"/>
      <c r="H40" s="41"/>
      <c r="I40" s="41"/>
      <c r="J40" s="58"/>
      <c r="K40" s="62">
        <f t="shared" si="12"/>
        <v>0</v>
      </c>
      <c r="L40" s="57">
        <f t="shared" si="13"/>
        <v>0</v>
      </c>
      <c r="M40" s="64">
        <f t="shared" si="14"/>
        <v>0</v>
      </c>
      <c r="N40" s="243" t="e">
        <f t="shared" si="15"/>
        <v>#DIV/0!</v>
      </c>
    </row>
    <row r="41" spans="1:14" s="6" customFormat="1" ht="20.100000000000001" customHeight="1" x14ac:dyDescent="0.2">
      <c r="A41" s="68">
        <v>4330</v>
      </c>
      <c r="B41" s="45" t="s">
        <v>79</v>
      </c>
      <c r="C41" s="37">
        <v>1200</v>
      </c>
      <c r="D41" s="91">
        <v>61.8</v>
      </c>
      <c r="E41" s="56">
        <f t="shared" si="11"/>
        <v>74160</v>
      </c>
      <c r="F41" s="41">
        <v>1600</v>
      </c>
      <c r="G41" s="42">
        <f>400+400+400</f>
        <v>1200</v>
      </c>
      <c r="H41" s="43"/>
      <c r="I41" s="43"/>
      <c r="J41" s="59">
        <v>400</v>
      </c>
      <c r="K41" s="456">
        <f t="shared" si="12"/>
        <v>1600</v>
      </c>
      <c r="L41" s="57">
        <f t="shared" si="13"/>
        <v>98880</v>
      </c>
      <c r="M41" s="64">
        <f t="shared" si="14"/>
        <v>0</v>
      </c>
      <c r="N41" s="243">
        <f t="shared" si="15"/>
        <v>1.3333333333333333</v>
      </c>
    </row>
    <row r="42" spans="1:14" s="6" customFormat="1" ht="20.100000000000001" customHeight="1" x14ac:dyDescent="0.2">
      <c r="A42" s="68">
        <v>4331</v>
      </c>
      <c r="B42" s="35" t="s">
        <v>78</v>
      </c>
      <c r="C42" s="102"/>
      <c r="D42" s="91">
        <v>122.06</v>
      </c>
      <c r="E42" s="56">
        <f t="shared" si="11"/>
        <v>0</v>
      </c>
      <c r="F42" s="41"/>
      <c r="G42" s="40"/>
      <c r="H42" s="41"/>
      <c r="I42" s="41"/>
      <c r="J42" s="58"/>
      <c r="K42" s="62">
        <f t="shared" si="12"/>
        <v>0</v>
      </c>
      <c r="L42" s="57">
        <f t="shared" si="13"/>
        <v>0</v>
      </c>
      <c r="M42" s="64">
        <f t="shared" si="14"/>
        <v>0</v>
      </c>
      <c r="N42" s="243" t="e">
        <f t="shared" si="15"/>
        <v>#DIV/0!</v>
      </c>
    </row>
    <row r="43" spans="1:14" s="6" customFormat="1" ht="20.100000000000001" customHeight="1" x14ac:dyDescent="0.2">
      <c r="A43" s="68" t="s">
        <v>136</v>
      </c>
      <c r="B43" s="101" t="s">
        <v>128</v>
      </c>
      <c r="C43" s="252"/>
      <c r="D43" s="90">
        <v>114.85</v>
      </c>
      <c r="E43" s="56">
        <f t="shared" si="11"/>
        <v>0</v>
      </c>
      <c r="F43" s="267">
        <v>962</v>
      </c>
      <c r="G43" s="42"/>
      <c r="H43" s="43"/>
      <c r="I43" s="43">
        <v>195</v>
      </c>
      <c r="J43" s="59">
        <v>767</v>
      </c>
      <c r="K43" s="62">
        <f t="shared" si="12"/>
        <v>962</v>
      </c>
      <c r="L43" s="57">
        <f t="shared" si="13"/>
        <v>110485.7</v>
      </c>
      <c r="M43" s="64">
        <f t="shared" si="14"/>
        <v>0</v>
      </c>
      <c r="N43" s="243" t="e">
        <f t="shared" si="15"/>
        <v>#DIV/0!</v>
      </c>
    </row>
    <row r="44" spans="1:14" s="6" customFormat="1" ht="20.100000000000001" customHeight="1" x14ac:dyDescent="0.2">
      <c r="A44" s="68">
        <v>4358</v>
      </c>
      <c r="B44" s="38" t="s">
        <v>77</v>
      </c>
      <c r="C44" s="253"/>
      <c r="D44" s="118">
        <v>13.39</v>
      </c>
      <c r="E44" s="56">
        <f t="shared" si="11"/>
        <v>0</v>
      </c>
      <c r="F44" s="267">
        <v>1008</v>
      </c>
      <c r="G44" s="42"/>
      <c r="H44" s="43"/>
      <c r="I44" s="43"/>
      <c r="J44" s="59">
        <v>708</v>
      </c>
      <c r="K44" s="62">
        <f t="shared" si="12"/>
        <v>708</v>
      </c>
      <c r="L44" s="57">
        <f t="shared" si="13"/>
        <v>9480.1200000000008</v>
      </c>
      <c r="M44" s="64">
        <f t="shared" si="14"/>
        <v>300</v>
      </c>
      <c r="N44" s="243" t="e">
        <f t="shared" si="15"/>
        <v>#DIV/0!</v>
      </c>
    </row>
    <row r="45" spans="1:14" s="6" customFormat="1" ht="20.100000000000001" customHeight="1" x14ac:dyDescent="0.2">
      <c r="A45" s="68">
        <v>4359</v>
      </c>
      <c r="B45" s="45" t="s">
        <v>76</v>
      </c>
      <c r="C45" s="46"/>
      <c r="D45" s="65">
        <v>23.69</v>
      </c>
      <c r="E45" s="56">
        <f t="shared" si="11"/>
        <v>0</v>
      </c>
      <c r="F45" s="41"/>
      <c r="G45" s="42"/>
      <c r="H45" s="43"/>
      <c r="I45" s="43"/>
      <c r="J45" s="59"/>
      <c r="K45" s="62">
        <f t="shared" si="12"/>
        <v>0</v>
      </c>
      <c r="L45" s="57">
        <f t="shared" si="13"/>
        <v>0</v>
      </c>
      <c r="M45" s="64">
        <f t="shared" si="14"/>
        <v>0</v>
      </c>
      <c r="N45" s="243" t="e">
        <f t="shared" si="15"/>
        <v>#DIV/0!</v>
      </c>
    </row>
    <row r="46" spans="1:14" s="6" customFormat="1" ht="5.0999999999999996" customHeight="1" x14ac:dyDescent="0.2">
      <c r="A46" s="68"/>
      <c r="B46" s="100"/>
      <c r="C46" s="103"/>
      <c r="D46" s="94"/>
      <c r="E46" s="56"/>
      <c r="F46" s="41"/>
      <c r="G46" s="42"/>
      <c r="H46" s="43"/>
      <c r="I46" s="43"/>
      <c r="J46" s="59"/>
      <c r="K46" s="62"/>
      <c r="L46" s="57"/>
      <c r="M46" s="64"/>
      <c r="N46" s="243"/>
    </row>
    <row r="47" spans="1:14" s="6" customFormat="1" ht="19.5" customHeight="1" x14ac:dyDescent="0.2">
      <c r="A47" s="68">
        <v>4332</v>
      </c>
      <c r="B47" s="54" t="s">
        <v>144</v>
      </c>
      <c r="C47" s="103"/>
      <c r="D47" s="94">
        <v>3.81</v>
      </c>
      <c r="E47" s="56">
        <f t="shared" ref="E47:E54" si="16">D47*C47</f>
        <v>0</v>
      </c>
      <c r="F47" s="41">
        <v>1000</v>
      </c>
      <c r="G47" s="42"/>
      <c r="H47" s="43">
        <v>1000</v>
      </c>
      <c r="I47" s="43"/>
      <c r="J47" s="59"/>
      <c r="K47" s="456">
        <f t="shared" ref="K47:K54" si="17">G47+H47+I47+J47</f>
        <v>1000</v>
      </c>
      <c r="L47" s="57">
        <f t="shared" ref="L47:L54" si="18">D47*K47</f>
        <v>3810</v>
      </c>
      <c r="M47" s="64">
        <f t="shared" ref="M47:M54" si="19">F47-K47</f>
        <v>0</v>
      </c>
      <c r="N47" s="243" t="e">
        <f t="shared" ref="N47:N54" si="20">K47/C47</f>
        <v>#DIV/0!</v>
      </c>
    </row>
    <row r="48" spans="1:14" s="6" customFormat="1" ht="19.149999999999999" customHeight="1" x14ac:dyDescent="0.2">
      <c r="A48" s="250">
        <v>4567</v>
      </c>
      <c r="B48" s="54" t="s">
        <v>143</v>
      </c>
      <c r="C48" s="103">
        <v>400</v>
      </c>
      <c r="D48" s="245">
        <v>19.78</v>
      </c>
      <c r="E48" s="56">
        <f t="shared" si="16"/>
        <v>7912</v>
      </c>
      <c r="F48" s="41">
        <v>400</v>
      </c>
      <c r="G48" s="42"/>
      <c r="H48" s="43"/>
      <c r="I48" s="43">
        <v>200</v>
      </c>
      <c r="J48" s="59">
        <v>200</v>
      </c>
      <c r="K48" s="456">
        <f t="shared" si="17"/>
        <v>400</v>
      </c>
      <c r="L48" s="57">
        <f t="shared" si="18"/>
        <v>7912</v>
      </c>
      <c r="M48" s="64">
        <f t="shared" si="19"/>
        <v>0</v>
      </c>
      <c r="N48" s="243">
        <f t="shared" si="20"/>
        <v>1</v>
      </c>
    </row>
    <row r="49" spans="1:14" s="6" customFormat="1" ht="19.149999999999999" customHeight="1" x14ac:dyDescent="0.2">
      <c r="A49" s="250">
        <v>4563</v>
      </c>
      <c r="B49" s="54" t="s">
        <v>142</v>
      </c>
      <c r="C49" s="103">
        <v>400</v>
      </c>
      <c r="D49" s="245">
        <v>57.63</v>
      </c>
      <c r="E49" s="56">
        <f t="shared" si="16"/>
        <v>23052</v>
      </c>
      <c r="F49" s="41">
        <v>400</v>
      </c>
      <c r="G49" s="42"/>
      <c r="H49" s="43">
        <v>200</v>
      </c>
      <c r="I49" s="43"/>
      <c r="J49" s="59">
        <v>200</v>
      </c>
      <c r="K49" s="456">
        <f>J49+I49+H49+G49</f>
        <v>400</v>
      </c>
      <c r="L49" s="57">
        <f t="shared" si="18"/>
        <v>23052</v>
      </c>
      <c r="M49" s="64">
        <f t="shared" si="19"/>
        <v>0</v>
      </c>
      <c r="N49" s="243">
        <f t="shared" si="20"/>
        <v>1</v>
      </c>
    </row>
    <row r="50" spans="1:14" s="6" customFormat="1" ht="19.149999999999999" customHeight="1" x14ac:dyDescent="0.2">
      <c r="A50" s="250">
        <v>4525</v>
      </c>
      <c r="B50" s="54" t="s">
        <v>141</v>
      </c>
      <c r="C50" s="103">
        <v>400</v>
      </c>
      <c r="D50" s="245">
        <v>116.95</v>
      </c>
      <c r="E50" s="56">
        <f t="shared" si="16"/>
        <v>46780</v>
      </c>
      <c r="F50" s="42">
        <v>400</v>
      </c>
      <c r="G50" s="42"/>
      <c r="H50" s="43"/>
      <c r="I50" s="43">
        <v>200</v>
      </c>
      <c r="J50" s="59">
        <v>200</v>
      </c>
      <c r="K50" s="62">
        <f t="shared" si="17"/>
        <v>400</v>
      </c>
      <c r="L50" s="57">
        <f t="shared" si="18"/>
        <v>46780</v>
      </c>
      <c r="M50" s="64">
        <f t="shared" si="19"/>
        <v>0</v>
      </c>
      <c r="N50" s="243">
        <f t="shared" si="20"/>
        <v>1</v>
      </c>
    </row>
    <row r="51" spans="1:14" s="6" customFormat="1" ht="19.149999999999999" customHeight="1" x14ac:dyDescent="0.2">
      <c r="A51" s="250">
        <v>4526</v>
      </c>
      <c r="B51" s="54" t="s">
        <v>75</v>
      </c>
      <c r="C51" s="103">
        <v>200</v>
      </c>
      <c r="D51" s="245">
        <v>57.63</v>
      </c>
      <c r="E51" s="56">
        <f t="shared" si="16"/>
        <v>11526</v>
      </c>
      <c r="F51" s="42">
        <v>200</v>
      </c>
      <c r="G51" s="42"/>
      <c r="H51" s="43">
        <v>200</v>
      </c>
      <c r="I51" s="43"/>
      <c r="J51" s="264"/>
      <c r="K51" s="456">
        <f>G51+H51+I51+J51</f>
        <v>200</v>
      </c>
      <c r="L51" s="57">
        <f t="shared" si="18"/>
        <v>11526</v>
      </c>
      <c r="M51" s="64">
        <f t="shared" si="19"/>
        <v>0</v>
      </c>
      <c r="N51" s="243">
        <f t="shared" si="20"/>
        <v>1</v>
      </c>
    </row>
    <row r="52" spans="1:14" s="6" customFormat="1" ht="19.149999999999999" customHeight="1" x14ac:dyDescent="0.2">
      <c r="A52" s="250">
        <v>4564</v>
      </c>
      <c r="B52" s="54" t="s">
        <v>145</v>
      </c>
      <c r="C52" s="103">
        <v>400</v>
      </c>
      <c r="D52" s="245">
        <v>55.93</v>
      </c>
      <c r="E52" s="56">
        <f t="shared" si="16"/>
        <v>22372</v>
      </c>
      <c r="F52" s="41">
        <v>400</v>
      </c>
      <c r="G52" s="42"/>
      <c r="H52" s="43">
        <v>200</v>
      </c>
      <c r="I52" s="43"/>
      <c r="J52" s="59">
        <v>200</v>
      </c>
      <c r="K52" s="456">
        <f t="shared" si="17"/>
        <v>400</v>
      </c>
      <c r="L52" s="57">
        <f t="shared" si="18"/>
        <v>22372</v>
      </c>
      <c r="M52" s="64">
        <f t="shared" si="19"/>
        <v>0</v>
      </c>
      <c r="N52" s="243">
        <f t="shared" si="20"/>
        <v>1</v>
      </c>
    </row>
    <row r="53" spans="1:14" s="6" customFormat="1" ht="19.149999999999999" customHeight="1" x14ac:dyDescent="0.2">
      <c r="A53" s="250">
        <v>4566</v>
      </c>
      <c r="B53" s="54" t="s">
        <v>146</v>
      </c>
      <c r="C53" s="103">
        <v>400</v>
      </c>
      <c r="D53" s="245">
        <v>58.48</v>
      </c>
      <c r="E53" s="56">
        <f t="shared" si="16"/>
        <v>23392</v>
      </c>
      <c r="F53" s="41">
        <v>400</v>
      </c>
      <c r="G53" s="42"/>
      <c r="H53" s="43"/>
      <c r="I53" s="43">
        <v>200</v>
      </c>
      <c r="J53" s="59">
        <v>200</v>
      </c>
      <c r="K53" s="456">
        <f t="shared" si="17"/>
        <v>400</v>
      </c>
      <c r="L53" s="57">
        <f t="shared" si="18"/>
        <v>23392</v>
      </c>
      <c r="M53" s="64">
        <f t="shared" si="19"/>
        <v>0</v>
      </c>
      <c r="N53" s="243">
        <f t="shared" si="20"/>
        <v>1</v>
      </c>
    </row>
    <row r="54" spans="1:14" s="6" customFormat="1" ht="19.149999999999999" customHeight="1" x14ac:dyDescent="0.2">
      <c r="A54" s="250">
        <v>4565</v>
      </c>
      <c r="B54" s="54" t="s">
        <v>74</v>
      </c>
      <c r="C54" s="103">
        <v>400</v>
      </c>
      <c r="D54" s="245">
        <v>116.39</v>
      </c>
      <c r="E54" s="266">
        <f t="shared" si="16"/>
        <v>46556</v>
      </c>
      <c r="F54" s="41">
        <v>400</v>
      </c>
      <c r="G54" s="42"/>
      <c r="H54" s="43">
        <v>200</v>
      </c>
      <c r="I54" s="43"/>
      <c r="J54" s="59">
        <v>200</v>
      </c>
      <c r="K54" s="456">
        <f t="shared" si="17"/>
        <v>400</v>
      </c>
      <c r="L54" s="57">
        <f t="shared" si="18"/>
        <v>46556</v>
      </c>
      <c r="M54" s="64">
        <f t="shared" si="19"/>
        <v>0</v>
      </c>
      <c r="N54" s="243">
        <f t="shared" si="20"/>
        <v>1</v>
      </c>
    </row>
    <row r="55" spans="1:14" s="6" customFormat="1" ht="19.149999999999999" customHeight="1" x14ac:dyDescent="0.2">
      <c r="A55" s="250">
        <v>4561</v>
      </c>
      <c r="B55" s="54" t="s">
        <v>147</v>
      </c>
      <c r="C55" s="103"/>
      <c r="D55" s="245">
        <v>140.68</v>
      </c>
      <c r="E55" s="56">
        <f>D55*C55</f>
        <v>0</v>
      </c>
      <c r="F55" s="41"/>
      <c r="G55" s="42"/>
      <c r="H55" s="43"/>
      <c r="I55" s="43"/>
      <c r="J55" s="59"/>
      <c r="K55" s="62">
        <f>G55+H55+I55+J55</f>
        <v>0</v>
      </c>
      <c r="L55" s="57">
        <f>D55*K55</f>
        <v>0</v>
      </c>
      <c r="M55" s="64">
        <f>F55-K55</f>
        <v>0</v>
      </c>
      <c r="N55" s="243" t="e">
        <f>K55/C55</f>
        <v>#DIV/0!</v>
      </c>
    </row>
    <row r="56" spans="1:14" s="6" customFormat="1" ht="19.149999999999999" customHeight="1" x14ac:dyDescent="0.2">
      <c r="A56" s="250">
        <v>4562</v>
      </c>
      <c r="B56" s="54" t="s">
        <v>148</v>
      </c>
      <c r="C56" s="103"/>
      <c r="D56" s="245">
        <v>81.36</v>
      </c>
      <c r="E56" s="56">
        <f>D56*C56</f>
        <v>0</v>
      </c>
      <c r="F56" s="41"/>
      <c r="G56" s="42"/>
      <c r="H56" s="43"/>
      <c r="I56" s="43"/>
      <c r="J56" s="59"/>
      <c r="K56" s="62">
        <f>G56+H56+I56+J56</f>
        <v>0</v>
      </c>
      <c r="L56" s="57">
        <f>D56*K56</f>
        <v>0</v>
      </c>
      <c r="M56" s="64">
        <f>F56-K56</f>
        <v>0</v>
      </c>
      <c r="N56" s="243" t="e">
        <f>K56/C56</f>
        <v>#DIV/0!</v>
      </c>
    </row>
    <row r="57" spans="1:14" s="6" customFormat="1" ht="5.0999999999999996" customHeight="1" x14ac:dyDescent="0.2">
      <c r="A57" s="68"/>
      <c r="B57" s="45"/>
      <c r="C57" s="103"/>
      <c r="D57" s="95"/>
      <c r="E57" s="56"/>
      <c r="F57" s="41"/>
      <c r="G57" s="42"/>
      <c r="H57" s="43"/>
      <c r="I57" s="43"/>
      <c r="J57" s="59"/>
      <c r="K57" s="62"/>
      <c r="L57" s="57"/>
      <c r="M57" s="64"/>
      <c r="N57" s="243"/>
    </row>
    <row r="58" spans="1:14" s="6" customFormat="1" ht="19.149999999999999" customHeight="1" x14ac:dyDescent="0.2">
      <c r="A58" s="68">
        <v>4335</v>
      </c>
      <c r="B58" s="45" t="s">
        <v>64</v>
      </c>
      <c r="C58" s="103">
        <v>3400</v>
      </c>
      <c r="D58" s="95">
        <v>25.24</v>
      </c>
      <c r="E58" s="56">
        <f>D58*C58</f>
        <v>85816</v>
      </c>
      <c r="F58" s="41">
        <v>3400</v>
      </c>
      <c r="G58" s="42"/>
      <c r="H58" s="43">
        <v>400</v>
      </c>
      <c r="I58" s="43">
        <v>100</v>
      </c>
      <c r="J58" s="59">
        <v>2900</v>
      </c>
      <c r="K58" s="456">
        <f>G58+H58+I58+J58</f>
        <v>3400</v>
      </c>
      <c r="L58" s="57">
        <f>D58*K58</f>
        <v>85816</v>
      </c>
      <c r="M58" s="64">
        <f>F58-K58</f>
        <v>0</v>
      </c>
      <c r="N58" s="243">
        <f>K58/C58</f>
        <v>1</v>
      </c>
    </row>
    <row r="59" spans="1:14" s="6" customFormat="1" ht="19.149999999999999" customHeight="1" x14ac:dyDescent="0.2">
      <c r="A59" s="68">
        <v>4336</v>
      </c>
      <c r="B59" s="45" t="s">
        <v>65</v>
      </c>
      <c r="C59" s="103">
        <v>3400</v>
      </c>
      <c r="D59" s="95">
        <v>20.6</v>
      </c>
      <c r="E59" s="56">
        <f>D59*C59</f>
        <v>70040</v>
      </c>
      <c r="F59" s="41">
        <v>3400</v>
      </c>
      <c r="G59" s="42"/>
      <c r="H59" s="43">
        <v>400</v>
      </c>
      <c r="I59" s="43">
        <v>50</v>
      </c>
      <c r="J59" s="59">
        <v>2950</v>
      </c>
      <c r="K59" s="456">
        <f>G59+H59+I59+J59</f>
        <v>3400</v>
      </c>
      <c r="L59" s="57">
        <f>D59*K59</f>
        <v>70040</v>
      </c>
      <c r="M59" s="64">
        <f>F59-K59</f>
        <v>0</v>
      </c>
      <c r="N59" s="243">
        <f>K59/C59</f>
        <v>1</v>
      </c>
    </row>
    <row r="60" spans="1:14" s="6" customFormat="1" ht="19.149999999999999" customHeight="1" x14ac:dyDescent="0.2">
      <c r="A60" s="68">
        <v>4337</v>
      </c>
      <c r="B60" s="45" t="s">
        <v>89</v>
      </c>
      <c r="C60" s="103">
        <v>18250</v>
      </c>
      <c r="D60" s="95">
        <v>9.3699999999999992</v>
      </c>
      <c r="E60" s="56">
        <f>D60*C60</f>
        <v>171002.5</v>
      </c>
      <c r="F60" s="41">
        <v>18250</v>
      </c>
      <c r="G60" s="42"/>
      <c r="H60" s="43">
        <v>1200</v>
      </c>
      <c r="I60" s="43">
        <v>10000</v>
      </c>
      <c r="J60" s="59">
        <v>7050</v>
      </c>
      <c r="K60" s="456">
        <f>G60+H60+I60+J60</f>
        <v>18250</v>
      </c>
      <c r="L60" s="57">
        <f>D60*K60</f>
        <v>171002.5</v>
      </c>
      <c r="M60" s="64">
        <f>F60-K60</f>
        <v>0</v>
      </c>
      <c r="N60" s="243">
        <f>K60/C60</f>
        <v>1</v>
      </c>
    </row>
    <row r="61" spans="1:14" s="6" customFormat="1" ht="19.149999999999999" customHeight="1" x14ac:dyDescent="0.2">
      <c r="A61" s="68">
        <v>4338</v>
      </c>
      <c r="B61" s="45" t="s">
        <v>73</v>
      </c>
      <c r="C61" s="103">
        <v>7946</v>
      </c>
      <c r="D61" s="95">
        <v>5.77</v>
      </c>
      <c r="E61" s="56">
        <f>D61*C61</f>
        <v>45848.42</v>
      </c>
      <c r="F61" s="41">
        <v>7946</v>
      </c>
      <c r="G61" s="42"/>
      <c r="H61" s="43">
        <v>800</v>
      </c>
      <c r="I61" s="43">
        <v>550</v>
      </c>
      <c r="J61" s="59">
        <v>6596</v>
      </c>
      <c r="K61" s="456">
        <f>G61+H61+I61+J61</f>
        <v>7946</v>
      </c>
      <c r="L61" s="57">
        <f>D61*K61</f>
        <v>45848.42</v>
      </c>
      <c r="M61" s="64">
        <f>F61-K61</f>
        <v>0</v>
      </c>
      <c r="N61" s="243">
        <f>K61/C61</f>
        <v>1</v>
      </c>
    </row>
    <row r="62" spans="1:14" s="6" customFormat="1" ht="19.149999999999999" customHeight="1" x14ac:dyDescent="0.2">
      <c r="A62" s="68">
        <v>4339</v>
      </c>
      <c r="B62" s="45" t="s">
        <v>62</v>
      </c>
      <c r="C62" s="103">
        <v>4000</v>
      </c>
      <c r="D62" s="95">
        <v>5.77</v>
      </c>
      <c r="E62" s="56">
        <f>D62*C62</f>
        <v>23080</v>
      </c>
      <c r="F62" s="41">
        <v>4000</v>
      </c>
      <c r="G62" s="42"/>
      <c r="H62" s="43">
        <v>400</v>
      </c>
      <c r="I62" s="43">
        <v>2700</v>
      </c>
      <c r="J62" s="59">
        <v>900</v>
      </c>
      <c r="K62" s="456">
        <f>G62+H62+I62+J62</f>
        <v>4000</v>
      </c>
      <c r="L62" s="57">
        <f>D62*K62</f>
        <v>23080</v>
      </c>
      <c r="M62" s="64">
        <f>F62-K62</f>
        <v>0</v>
      </c>
      <c r="N62" s="243">
        <f>K62/C62</f>
        <v>1</v>
      </c>
    </row>
    <row r="63" spans="1:14" s="6" customFormat="1" ht="5.0999999999999996" customHeight="1" x14ac:dyDescent="0.2">
      <c r="A63" s="68"/>
      <c r="B63" s="45"/>
      <c r="C63" s="103"/>
      <c r="D63" s="96"/>
      <c r="E63" s="56"/>
      <c r="F63" s="41"/>
      <c r="G63" s="42"/>
      <c r="H63" s="43"/>
      <c r="I63" s="43"/>
      <c r="J63" s="59"/>
      <c r="K63" s="62"/>
      <c r="L63" s="57"/>
      <c r="M63" s="64"/>
      <c r="N63" s="243"/>
    </row>
    <row r="64" spans="1:14" s="6" customFormat="1" ht="19.149999999999999" customHeight="1" x14ac:dyDescent="0.2">
      <c r="A64" s="68">
        <v>4360</v>
      </c>
      <c r="B64" s="45" t="s">
        <v>35</v>
      </c>
      <c r="C64" s="103"/>
      <c r="D64" s="96">
        <v>20.6</v>
      </c>
      <c r="E64" s="56">
        <f t="shared" ref="E64:E71" si="21">D64*C64</f>
        <v>0</v>
      </c>
      <c r="F64" s="41"/>
      <c r="G64" s="42"/>
      <c r="H64" s="43"/>
      <c r="I64" s="43"/>
      <c r="J64" s="59"/>
      <c r="K64" s="62">
        <f t="shared" ref="K64:K70" si="22">G64+H64+I64+J64</f>
        <v>0</v>
      </c>
      <c r="L64" s="57">
        <f t="shared" ref="L64:L69" si="23">D64*K64</f>
        <v>0</v>
      </c>
      <c r="M64" s="64">
        <f t="shared" ref="M64:M71" si="24">F64-K64</f>
        <v>0</v>
      </c>
      <c r="N64" s="243" t="e">
        <f t="shared" ref="N64:N71" si="25">K64/C64</f>
        <v>#DIV/0!</v>
      </c>
    </row>
    <row r="65" spans="1:14" s="6" customFormat="1" ht="19.149999999999999" customHeight="1" x14ac:dyDescent="0.2">
      <c r="A65" s="68">
        <v>4361</v>
      </c>
      <c r="B65" s="45" t="s">
        <v>36</v>
      </c>
      <c r="C65" s="261"/>
      <c r="D65" s="96">
        <v>20.09</v>
      </c>
      <c r="E65" s="56">
        <f t="shared" si="21"/>
        <v>0</v>
      </c>
      <c r="F65" s="41"/>
      <c r="G65" s="42"/>
      <c r="H65" s="43"/>
      <c r="I65" s="43"/>
      <c r="J65" s="59"/>
      <c r="K65" s="62">
        <f t="shared" si="22"/>
        <v>0</v>
      </c>
      <c r="L65" s="57">
        <f t="shared" si="23"/>
        <v>0</v>
      </c>
      <c r="M65" s="64">
        <f t="shared" si="24"/>
        <v>0</v>
      </c>
      <c r="N65" s="243" t="e">
        <f t="shared" si="25"/>
        <v>#DIV/0!</v>
      </c>
    </row>
    <row r="66" spans="1:14" s="6" customFormat="1" ht="19.149999999999999" customHeight="1" x14ac:dyDescent="0.2">
      <c r="A66" s="68">
        <v>4362</v>
      </c>
      <c r="B66" s="45" t="s">
        <v>37</v>
      </c>
      <c r="C66" s="261"/>
      <c r="D66" s="96">
        <v>20.09</v>
      </c>
      <c r="E66" s="56">
        <f t="shared" si="21"/>
        <v>0</v>
      </c>
      <c r="F66" s="41"/>
      <c r="G66" s="42"/>
      <c r="H66" s="43"/>
      <c r="I66" s="43"/>
      <c r="J66" s="59"/>
      <c r="K66" s="62">
        <f t="shared" si="22"/>
        <v>0</v>
      </c>
      <c r="L66" s="57">
        <f t="shared" si="23"/>
        <v>0</v>
      </c>
      <c r="M66" s="64">
        <f t="shared" si="24"/>
        <v>0</v>
      </c>
      <c r="N66" s="243" t="e">
        <f t="shared" si="25"/>
        <v>#DIV/0!</v>
      </c>
    </row>
    <row r="67" spans="1:14" s="6" customFormat="1" ht="19.149999999999999" customHeight="1" x14ac:dyDescent="0.2">
      <c r="A67" s="68">
        <v>4363</v>
      </c>
      <c r="B67" s="45" t="s">
        <v>38</v>
      </c>
      <c r="C67" s="261">
        <v>179</v>
      </c>
      <c r="D67" s="96">
        <v>20.09</v>
      </c>
      <c r="E67" s="56">
        <f t="shared" si="21"/>
        <v>3596.11</v>
      </c>
      <c r="F67" s="267">
        <v>179</v>
      </c>
      <c r="G67" s="42"/>
      <c r="H67" s="235"/>
      <c r="I67" s="43">
        <v>179</v>
      </c>
      <c r="J67" s="59"/>
      <c r="K67" s="62">
        <f t="shared" si="22"/>
        <v>179</v>
      </c>
      <c r="L67" s="57">
        <f t="shared" si="23"/>
        <v>3596.11</v>
      </c>
      <c r="M67" s="64">
        <f t="shared" si="24"/>
        <v>0</v>
      </c>
      <c r="N67" s="243">
        <f t="shared" si="25"/>
        <v>1</v>
      </c>
    </row>
    <row r="68" spans="1:14" s="6" customFormat="1" ht="19.149999999999999" customHeight="1" x14ac:dyDescent="0.2">
      <c r="A68" s="68">
        <v>4364</v>
      </c>
      <c r="B68" s="45" t="s">
        <v>39</v>
      </c>
      <c r="C68" s="261">
        <v>172</v>
      </c>
      <c r="D68" s="96">
        <v>20.09</v>
      </c>
      <c r="E68" s="56">
        <f t="shared" si="21"/>
        <v>3455.48</v>
      </c>
      <c r="F68" s="267">
        <v>172</v>
      </c>
      <c r="G68" s="42"/>
      <c r="H68" s="43"/>
      <c r="I68" s="43">
        <v>172</v>
      </c>
      <c r="J68" s="59"/>
      <c r="K68" s="62">
        <f>G68+H68+I68+J68</f>
        <v>172</v>
      </c>
      <c r="L68" s="57">
        <f t="shared" si="23"/>
        <v>3455.48</v>
      </c>
      <c r="M68" s="64">
        <f t="shared" si="24"/>
        <v>0</v>
      </c>
      <c r="N68" s="243">
        <f t="shared" si="25"/>
        <v>1</v>
      </c>
    </row>
    <row r="69" spans="1:14" s="6" customFormat="1" ht="19.149999999999999" customHeight="1" x14ac:dyDescent="0.2">
      <c r="A69" s="68">
        <v>4366</v>
      </c>
      <c r="B69" s="45" t="s">
        <v>58</v>
      </c>
      <c r="C69" s="261"/>
      <c r="D69" s="96">
        <v>20.09</v>
      </c>
      <c r="E69" s="56">
        <f t="shared" si="21"/>
        <v>0</v>
      </c>
      <c r="F69" s="267"/>
      <c r="G69" s="42"/>
      <c r="H69" s="43"/>
      <c r="I69" s="43"/>
      <c r="J69" s="59"/>
      <c r="K69" s="62">
        <f t="shared" si="22"/>
        <v>0</v>
      </c>
      <c r="L69" s="57">
        <f t="shared" si="23"/>
        <v>0</v>
      </c>
      <c r="M69" s="64">
        <f t="shared" si="24"/>
        <v>0</v>
      </c>
      <c r="N69" s="243" t="e">
        <f t="shared" si="25"/>
        <v>#DIV/0!</v>
      </c>
    </row>
    <row r="70" spans="1:14" s="6" customFormat="1" ht="20.100000000000001" customHeight="1" x14ac:dyDescent="0.2">
      <c r="A70" s="68">
        <v>4367</v>
      </c>
      <c r="B70" s="45" t="s">
        <v>123</v>
      </c>
      <c r="C70" s="262"/>
      <c r="D70" s="90">
        <v>20.09</v>
      </c>
      <c r="E70" s="56">
        <f t="shared" si="21"/>
        <v>0</v>
      </c>
      <c r="F70" s="267">
        <v>210</v>
      </c>
      <c r="G70" s="42">
        <v>210</v>
      </c>
      <c r="H70" s="43"/>
      <c r="I70" s="43"/>
      <c r="J70" s="59"/>
      <c r="K70" s="62">
        <f t="shared" si="22"/>
        <v>210</v>
      </c>
      <c r="L70" s="57">
        <f>D70*K70</f>
        <v>4218.8999999999996</v>
      </c>
      <c r="M70" s="64">
        <f t="shared" si="24"/>
        <v>0</v>
      </c>
      <c r="N70" s="243" t="e">
        <f t="shared" si="25"/>
        <v>#DIV/0!</v>
      </c>
    </row>
    <row r="71" spans="1:14" s="6" customFormat="1" ht="20.100000000000001" customHeight="1" x14ac:dyDescent="0.2">
      <c r="A71" s="68">
        <v>4365</v>
      </c>
      <c r="B71" s="45" t="s">
        <v>124</v>
      </c>
      <c r="C71" s="261">
        <v>448</v>
      </c>
      <c r="D71" s="118">
        <v>21.12</v>
      </c>
      <c r="E71" s="56">
        <f t="shared" si="21"/>
        <v>9461.76</v>
      </c>
      <c r="F71" s="267">
        <v>448</v>
      </c>
      <c r="G71" s="42">
        <v>224</v>
      </c>
      <c r="H71" s="43"/>
      <c r="I71" s="43">
        <v>224</v>
      </c>
      <c r="J71" s="59"/>
      <c r="K71" s="316">
        <f>G71+H71+I71+J71</f>
        <v>448</v>
      </c>
      <c r="L71" s="57">
        <f>D71*K71</f>
        <v>9461.76</v>
      </c>
      <c r="M71" s="64">
        <f t="shared" si="24"/>
        <v>0</v>
      </c>
      <c r="N71" s="243">
        <f t="shared" si="25"/>
        <v>1</v>
      </c>
    </row>
    <row r="72" spans="1:14" s="6" customFormat="1" ht="5.0999999999999996" customHeight="1" x14ac:dyDescent="0.2">
      <c r="A72" s="68"/>
      <c r="B72" s="45"/>
      <c r="C72" s="103"/>
      <c r="D72" s="96"/>
      <c r="E72" s="56"/>
      <c r="F72" s="41"/>
      <c r="G72" s="42"/>
      <c r="H72" s="43"/>
      <c r="I72" s="43"/>
      <c r="J72" s="59"/>
      <c r="K72" s="62"/>
      <c r="L72" s="57"/>
      <c r="M72" s="64"/>
      <c r="N72" s="243"/>
    </row>
    <row r="73" spans="1:14" s="6" customFormat="1" ht="20.100000000000001" customHeight="1" x14ac:dyDescent="0.2">
      <c r="A73" s="68">
        <v>4333</v>
      </c>
      <c r="B73" s="45" t="s">
        <v>87</v>
      </c>
      <c r="C73" s="103"/>
      <c r="D73" s="118">
        <v>382.85</v>
      </c>
      <c r="E73" s="56">
        <f>D73*C73</f>
        <v>0</v>
      </c>
      <c r="F73" s="41"/>
      <c r="G73" s="42"/>
      <c r="H73" s="43"/>
      <c r="I73" s="43"/>
      <c r="J73" s="59"/>
      <c r="K73" s="62">
        <f>G73+H73+I73+J73</f>
        <v>0</v>
      </c>
      <c r="L73" s="57">
        <f>D73*K73</f>
        <v>0</v>
      </c>
      <c r="M73" s="64">
        <f>F73-K73</f>
        <v>0</v>
      </c>
      <c r="N73" s="243" t="e">
        <f>K73/C73</f>
        <v>#DIV/0!</v>
      </c>
    </row>
    <row r="74" spans="1:14" s="6" customFormat="1" ht="20.100000000000001" customHeight="1" x14ac:dyDescent="0.2">
      <c r="A74" s="68">
        <v>4334</v>
      </c>
      <c r="B74" s="38" t="s">
        <v>88</v>
      </c>
      <c r="C74" s="103"/>
      <c r="D74" s="90">
        <v>413.91</v>
      </c>
      <c r="E74" s="56">
        <f>D74*C74</f>
        <v>0</v>
      </c>
      <c r="F74" s="41"/>
      <c r="G74" s="42"/>
      <c r="H74" s="43"/>
      <c r="I74" s="43"/>
      <c r="J74" s="59"/>
      <c r="K74" s="62">
        <f>G74+H74+I74+J74</f>
        <v>0</v>
      </c>
      <c r="L74" s="57">
        <f>D74*K74</f>
        <v>0</v>
      </c>
      <c r="M74" s="64">
        <f>F74-K74</f>
        <v>0</v>
      </c>
      <c r="N74" s="243" t="e">
        <f>K74/C74</f>
        <v>#DIV/0!</v>
      </c>
    </row>
    <row r="75" spans="1:14" s="6" customFormat="1" ht="5.0999999999999996" customHeight="1" x14ac:dyDescent="0.2">
      <c r="A75" s="68"/>
      <c r="B75" s="45"/>
      <c r="C75" s="103"/>
      <c r="D75" s="96"/>
      <c r="E75" s="56"/>
      <c r="F75" s="41"/>
      <c r="G75" s="42"/>
      <c r="H75" s="43"/>
      <c r="I75" s="43"/>
      <c r="J75" s="59"/>
      <c r="K75" s="62"/>
      <c r="L75" s="57"/>
      <c r="M75" s="64"/>
      <c r="N75" s="243"/>
    </row>
    <row r="76" spans="1:14" s="6" customFormat="1" ht="20.100000000000001" customHeight="1" x14ac:dyDescent="0.2">
      <c r="A76" s="68">
        <v>4389</v>
      </c>
      <c r="B76" s="45" t="s">
        <v>135</v>
      </c>
      <c r="C76" s="103"/>
      <c r="D76" s="118">
        <v>328.06</v>
      </c>
      <c r="E76" s="56">
        <f t="shared" ref="E76:E93" si="26">D76*C76</f>
        <v>0</v>
      </c>
      <c r="F76" s="41">
        <v>41</v>
      </c>
      <c r="G76" s="42"/>
      <c r="H76" s="43"/>
      <c r="I76" s="43">
        <v>41</v>
      </c>
      <c r="J76" s="59"/>
      <c r="K76" s="456">
        <f t="shared" ref="K76:K93" si="27">G76+H76+I76+J76</f>
        <v>41</v>
      </c>
      <c r="L76" s="57">
        <f t="shared" ref="L76:L90" si="28">D76*K76</f>
        <v>13450.460000000001</v>
      </c>
      <c r="M76" s="64">
        <f t="shared" ref="M76:M93" si="29">F76-K76</f>
        <v>0</v>
      </c>
      <c r="N76" s="243" t="e">
        <f t="shared" ref="N76:N93" si="30">K76/C76</f>
        <v>#DIV/0!</v>
      </c>
    </row>
    <row r="77" spans="1:14" s="6" customFormat="1" ht="20.100000000000001" customHeight="1" x14ac:dyDescent="0.2">
      <c r="A77" s="68">
        <v>4390</v>
      </c>
      <c r="B77" s="244" t="s">
        <v>137</v>
      </c>
      <c r="C77" s="46"/>
      <c r="D77" s="118">
        <v>358.96</v>
      </c>
      <c r="E77" s="56">
        <f t="shared" si="26"/>
        <v>0</v>
      </c>
      <c r="F77" s="41"/>
      <c r="G77" s="42"/>
      <c r="H77" s="43"/>
      <c r="I77" s="43"/>
      <c r="J77" s="59"/>
      <c r="K77" s="62">
        <f t="shared" si="27"/>
        <v>0</v>
      </c>
      <c r="L77" s="57">
        <f t="shared" si="28"/>
        <v>0</v>
      </c>
      <c r="M77" s="64">
        <f t="shared" si="29"/>
        <v>0</v>
      </c>
      <c r="N77" s="243" t="e">
        <f t="shared" si="30"/>
        <v>#DIV/0!</v>
      </c>
    </row>
    <row r="78" spans="1:14" s="6" customFormat="1" ht="20.100000000000001" customHeight="1" x14ac:dyDescent="0.2">
      <c r="A78" s="68" t="s">
        <v>346</v>
      </c>
      <c r="B78" s="362" t="s">
        <v>347</v>
      </c>
      <c r="C78" s="46"/>
      <c r="D78" s="118">
        <v>433</v>
      </c>
      <c r="E78" s="56">
        <f t="shared" si="26"/>
        <v>0</v>
      </c>
      <c r="F78" s="41"/>
      <c r="G78" s="42"/>
      <c r="H78" s="43"/>
      <c r="I78" s="43"/>
      <c r="J78" s="59"/>
      <c r="K78" s="62">
        <f t="shared" si="27"/>
        <v>0</v>
      </c>
      <c r="L78" s="57">
        <f t="shared" si="28"/>
        <v>0</v>
      </c>
      <c r="M78" s="64">
        <f t="shared" si="29"/>
        <v>0</v>
      </c>
      <c r="N78" s="243" t="e">
        <f t="shared" si="30"/>
        <v>#DIV/0!</v>
      </c>
    </row>
    <row r="79" spans="1:14" s="6" customFormat="1" ht="20.100000000000001" customHeight="1" x14ac:dyDescent="0.2">
      <c r="A79" s="68" t="s">
        <v>149</v>
      </c>
      <c r="B79" s="244" t="s">
        <v>348</v>
      </c>
      <c r="C79" s="265">
        <v>42</v>
      </c>
      <c r="D79" s="118">
        <v>55</v>
      </c>
      <c r="E79" s="56">
        <f t="shared" si="26"/>
        <v>2310</v>
      </c>
      <c r="F79" s="267">
        <v>42</v>
      </c>
      <c r="G79" s="42"/>
      <c r="H79" s="43"/>
      <c r="I79" s="43">
        <v>5</v>
      </c>
      <c r="J79" s="59">
        <v>37</v>
      </c>
      <c r="K79" s="62">
        <f t="shared" si="27"/>
        <v>42</v>
      </c>
      <c r="L79" s="57">
        <f t="shared" si="28"/>
        <v>2310</v>
      </c>
      <c r="M79" s="64">
        <f t="shared" si="29"/>
        <v>0</v>
      </c>
      <c r="N79" s="243">
        <f t="shared" si="30"/>
        <v>1</v>
      </c>
    </row>
    <row r="80" spans="1:14" s="6" customFormat="1" ht="20.100000000000001" customHeight="1" x14ac:dyDescent="0.2">
      <c r="A80" s="68" t="s">
        <v>154</v>
      </c>
      <c r="B80" s="443" t="s">
        <v>604</v>
      </c>
      <c r="C80" s="46"/>
      <c r="D80" s="444">
        <v>105.58</v>
      </c>
      <c r="E80" s="56">
        <f>D80*C80</f>
        <v>0</v>
      </c>
      <c r="F80" s="267"/>
      <c r="G80" s="42"/>
      <c r="H80" s="43"/>
      <c r="I80" s="43"/>
      <c r="J80" s="59"/>
      <c r="K80" s="62">
        <f>G80+H80+I80+J80</f>
        <v>0</v>
      </c>
      <c r="L80" s="57">
        <f>D80*K80</f>
        <v>0</v>
      </c>
      <c r="M80" s="64">
        <f>F80-K80</f>
        <v>0</v>
      </c>
      <c r="N80" s="243" t="e">
        <f>K80/C80</f>
        <v>#DIV/0!</v>
      </c>
    </row>
    <row r="81" spans="1:14" s="6" customFormat="1" ht="20.100000000000001" customHeight="1" x14ac:dyDescent="0.2">
      <c r="A81" s="68" t="s">
        <v>150</v>
      </c>
      <c r="B81" s="244" t="s">
        <v>151</v>
      </c>
      <c r="C81" s="265"/>
      <c r="D81" s="248">
        <v>99.5</v>
      </c>
      <c r="E81" s="56">
        <f t="shared" si="26"/>
        <v>0</v>
      </c>
      <c r="F81" s="267"/>
      <c r="G81" s="42"/>
      <c r="H81" s="43"/>
      <c r="I81" s="43"/>
      <c r="J81" s="59"/>
      <c r="K81" s="62">
        <f>G81+H81+I81+J81</f>
        <v>0</v>
      </c>
      <c r="L81" s="57">
        <f>D81*K81</f>
        <v>0</v>
      </c>
      <c r="M81" s="64">
        <f>F81-K81</f>
        <v>0</v>
      </c>
      <c r="N81" s="243" t="e">
        <f>K81/C81</f>
        <v>#DIV/0!</v>
      </c>
    </row>
    <row r="82" spans="1:14" s="6" customFormat="1" ht="20.100000000000001" customHeight="1" x14ac:dyDescent="0.2">
      <c r="A82" s="68">
        <v>4656</v>
      </c>
      <c r="B82" s="244" t="s">
        <v>152</v>
      </c>
      <c r="C82" s="265"/>
      <c r="D82" s="118">
        <v>99.5</v>
      </c>
      <c r="E82" s="56">
        <f t="shared" si="26"/>
        <v>0</v>
      </c>
      <c r="F82" s="267"/>
      <c r="G82" s="42"/>
      <c r="H82" s="43"/>
      <c r="I82" s="43"/>
      <c r="J82" s="59"/>
      <c r="K82" s="62">
        <f t="shared" si="27"/>
        <v>0</v>
      </c>
      <c r="L82" s="57">
        <f t="shared" si="28"/>
        <v>0</v>
      </c>
      <c r="M82" s="64">
        <f t="shared" si="29"/>
        <v>0</v>
      </c>
      <c r="N82" s="243" t="e">
        <f t="shared" si="30"/>
        <v>#DIV/0!</v>
      </c>
    </row>
    <row r="83" spans="1:14" s="6" customFormat="1" ht="20.100000000000001" customHeight="1" x14ac:dyDescent="0.2">
      <c r="A83" s="68"/>
      <c r="B83" s="244"/>
      <c r="C83" s="265"/>
      <c r="D83" s="248"/>
      <c r="E83" s="56">
        <f t="shared" si="26"/>
        <v>0</v>
      </c>
      <c r="F83" s="267"/>
      <c r="G83" s="42"/>
      <c r="H83" s="43"/>
      <c r="I83" s="43"/>
      <c r="J83" s="59"/>
      <c r="K83" s="62">
        <f t="shared" si="27"/>
        <v>0</v>
      </c>
      <c r="L83" s="57">
        <f t="shared" si="28"/>
        <v>0</v>
      </c>
      <c r="M83" s="64">
        <f t="shared" si="29"/>
        <v>0</v>
      </c>
      <c r="N83" s="243" t="e">
        <f t="shared" si="30"/>
        <v>#DIV/0!</v>
      </c>
    </row>
    <row r="84" spans="1:14" s="6" customFormat="1" ht="20.100000000000001" customHeight="1" x14ac:dyDescent="0.2">
      <c r="A84" s="68">
        <v>4717</v>
      </c>
      <c r="B84" s="244" t="s">
        <v>153</v>
      </c>
      <c r="C84" s="265"/>
      <c r="D84" s="248">
        <v>362</v>
      </c>
      <c r="E84" s="56">
        <f>D84*C84</f>
        <v>0</v>
      </c>
      <c r="F84" s="267"/>
      <c r="G84" s="42"/>
      <c r="H84" s="43"/>
      <c r="I84" s="43"/>
      <c r="J84" s="59"/>
      <c r="K84" s="62">
        <f>G84+H84+I84+J84</f>
        <v>0</v>
      </c>
      <c r="L84" s="57">
        <f>D84*K84</f>
        <v>0</v>
      </c>
      <c r="M84" s="64">
        <f>F84-K84</f>
        <v>0</v>
      </c>
      <c r="N84" s="243" t="e">
        <f>K84/C84</f>
        <v>#DIV/0!</v>
      </c>
    </row>
    <row r="85" spans="1:14" s="6" customFormat="1" ht="20.100000000000001" customHeight="1" x14ac:dyDescent="0.2">
      <c r="A85" s="68"/>
      <c r="B85" s="244"/>
      <c r="C85" s="265"/>
      <c r="D85" s="248"/>
      <c r="E85" s="56">
        <f t="shared" si="26"/>
        <v>0</v>
      </c>
      <c r="F85" s="267"/>
      <c r="G85" s="42"/>
      <c r="H85" s="43"/>
      <c r="I85" s="43"/>
      <c r="J85" s="59"/>
      <c r="K85" s="62">
        <f t="shared" si="27"/>
        <v>0</v>
      </c>
      <c r="L85" s="57">
        <f t="shared" si="28"/>
        <v>0</v>
      </c>
      <c r="M85" s="64">
        <f t="shared" si="29"/>
        <v>0</v>
      </c>
      <c r="N85" s="243" t="e">
        <f t="shared" si="30"/>
        <v>#DIV/0!</v>
      </c>
    </row>
    <row r="86" spans="1:14" s="6" customFormat="1" ht="20.100000000000001" customHeight="1" x14ac:dyDescent="0.2">
      <c r="A86" s="68">
        <v>5277</v>
      </c>
      <c r="B86" s="244" t="s">
        <v>629</v>
      </c>
      <c r="C86" s="46">
        <v>2</v>
      </c>
      <c r="D86" s="248"/>
      <c r="E86" s="56">
        <f>D86*C86</f>
        <v>0</v>
      </c>
      <c r="F86" s="267"/>
      <c r="G86" s="42"/>
      <c r="H86" s="43"/>
      <c r="I86" s="43"/>
      <c r="J86" s="59"/>
      <c r="K86" s="62">
        <f>G86+H86+I86+J86</f>
        <v>0</v>
      </c>
      <c r="L86" s="57">
        <f>D86*K86</f>
        <v>0</v>
      </c>
      <c r="M86" s="64">
        <f>F86-K86</f>
        <v>0</v>
      </c>
      <c r="N86" s="243">
        <f>K86/C86</f>
        <v>0</v>
      </c>
    </row>
    <row r="87" spans="1:14" s="6" customFormat="1" ht="20.100000000000001" customHeight="1" x14ac:dyDescent="0.2">
      <c r="A87" s="68">
        <v>5278</v>
      </c>
      <c r="B87" s="244" t="s">
        <v>630</v>
      </c>
      <c r="C87" s="46">
        <v>2</v>
      </c>
      <c r="D87" s="248"/>
      <c r="E87" s="56">
        <f>D87*C87</f>
        <v>0</v>
      </c>
      <c r="F87" s="267"/>
      <c r="G87" s="42"/>
      <c r="H87" s="43"/>
      <c r="I87" s="43"/>
      <c r="J87" s="59"/>
      <c r="K87" s="62">
        <f>G87+H87+I87+J87</f>
        <v>0</v>
      </c>
      <c r="L87" s="57">
        <f>D87*K87</f>
        <v>0</v>
      </c>
      <c r="M87" s="64">
        <f>F87-K87</f>
        <v>0</v>
      </c>
      <c r="N87" s="243">
        <f>K87/C87</f>
        <v>0</v>
      </c>
    </row>
    <row r="88" spans="1:14" s="6" customFormat="1" ht="20.100000000000001" customHeight="1" x14ac:dyDescent="0.2">
      <c r="A88" s="68"/>
      <c r="B88" s="244"/>
      <c r="C88" s="265"/>
      <c r="D88" s="248"/>
      <c r="E88" s="56">
        <f t="shared" si="26"/>
        <v>0</v>
      </c>
      <c r="F88" s="267"/>
      <c r="G88" s="42"/>
      <c r="H88" s="43"/>
      <c r="I88" s="43"/>
      <c r="J88" s="59"/>
      <c r="K88" s="62">
        <f t="shared" si="27"/>
        <v>0</v>
      </c>
      <c r="L88" s="57">
        <f t="shared" ref="L88:L89" si="31">D88*K88</f>
        <v>0</v>
      </c>
      <c r="M88" s="64">
        <f t="shared" ref="M88:M89" si="32">F88-K88</f>
        <v>0</v>
      </c>
      <c r="N88" s="243" t="e">
        <f t="shared" ref="N88:N89" si="33">K88/C88</f>
        <v>#DIV/0!</v>
      </c>
    </row>
    <row r="89" spans="1:14" s="6" customFormat="1" ht="20.100000000000001" customHeight="1" x14ac:dyDescent="0.2">
      <c r="A89" s="68"/>
      <c r="B89" s="244" t="s">
        <v>131</v>
      </c>
      <c r="C89" s="265"/>
      <c r="D89" s="248"/>
      <c r="E89" s="56">
        <f t="shared" si="26"/>
        <v>0</v>
      </c>
      <c r="F89" s="267"/>
      <c r="G89" s="42"/>
      <c r="H89" s="43"/>
      <c r="I89" s="43"/>
      <c r="J89" s="59"/>
      <c r="K89" s="62">
        <f t="shared" si="27"/>
        <v>0</v>
      </c>
      <c r="L89" s="57">
        <f t="shared" si="31"/>
        <v>0</v>
      </c>
      <c r="M89" s="64">
        <f t="shared" si="32"/>
        <v>0</v>
      </c>
      <c r="N89" s="243" t="e">
        <f t="shared" si="33"/>
        <v>#DIV/0!</v>
      </c>
    </row>
    <row r="90" spans="1:14" s="6" customFormat="1" ht="20.100000000000001" customHeight="1" x14ac:dyDescent="0.2">
      <c r="A90" s="68"/>
      <c r="B90" s="244" t="s">
        <v>31</v>
      </c>
      <c r="C90" s="265">
        <v>39</v>
      </c>
      <c r="D90" s="248">
        <v>1500</v>
      </c>
      <c r="E90" s="56">
        <f t="shared" si="26"/>
        <v>58500</v>
      </c>
      <c r="F90" s="267">
        <v>39</v>
      </c>
      <c r="G90" s="42">
        <v>12</v>
      </c>
      <c r="H90" s="43">
        <f>8+5</f>
        <v>13</v>
      </c>
      <c r="I90" s="43">
        <f>1+6+1</f>
        <v>8</v>
      </c>
      <c r="J90" s="59">
        <f>6+5</f>
        <v>11</v>
      </c>
      <c r="K90" s="62">
        <f t="shared" si="27"/>
        <v>44</v>
      </c>
      <c r="L90" s="57">
        <f t="shared" si="28"/>
        <v>66000</v>
      </c>
      <c r="M90" s="64">
        <f t="shared" si="29"/>
        <v>-5</v>
      </c>
      <c r="N90" s="243">
        <f t="shared" si="30"/>
        <v>1.1282051282051282</v>
      </c>
    </row>
    <row r="91" spans="1:14" s="6" customFormat="1" ht="20.100000000000001" customHeight="1" x14ac:dyDescent="0.2">
      <c r="A91" s="68"/>
      <c r="B91" s="244" t="s">
        <v>29</v>
      </c>
      <c r="C91" s="265">
        <v>9</v>
      </c>
      <c r="D91" s="248">
        <v>600</v>
      </c>
      <c r="E91" s="56">
        <f t="shared" si="26"/>
        <v>5400</v>
      </c>
      <c r="F91" s="267">
        <v>9</v>
      </c>
      <c r="G91" s="42"/>
      <c r="H91" s="43">
        <v>3</v>
      </c>
      <c r="I91" s="43"/>
      <c r="J91" s="59">
        <v>6</v>
      </c>
      <c r="K91" s="62">
        <f t="shared" si="27"/>
        <v>9</v>
      </c>
      <c r="L91" s="57">
        <f>D91*K91</f>
        <v>5400</v>
      </c>
      <c r="M91" s="64">
        <f t="shared" si="29"/>
        <v>0</v>
      </c>
      <c r="N91" s="243">
        <f>K91/C91</f>
        <v>1</v>
      </c>
    </row>
    <row r="92" spans="1:14" s="6" customFormat="1" ht="20.100000000000001" customHeight="1" x14ac:dyDescent="0.2">
      <c r="A92" s="68"/>
      <c r="B92" s="244"/>
      <c r="C92" s="265"/>
      <c r="D92" s="248"/>
      <c r="E92" s="56">
        <f t="shared" si="26"/>
        <v>0</v>
      </c>
      <c r="F92" s="267"/>
      <c r="G92" s="42"/>
      <c r="H92" s="43"/>
      <c r="I92" s="43"/>
      <c r="J92" s="59"/>
      <c r="K92" s="62">
        <f t="shared" si="27"/>
        <v>0</v>
      </c>
      <c r="L92" s="57">
        <f>D92*K92</f>
        <v>0</v>
      </c>
      <c r="M92" s="64">
        <f t="shared" si="29"/>
        <v>0</v>
      </c>
      <c r="N92" s="243" t="e">
        <f>K92/C92</f>
        <v>#DIV/0!</v>
      </c>
    </row>
    <row r="93" spans="1:14" s="6" customFormat="1" ht="20.100000000000001" customHeight="1" thickBot="1" x14ac:dyDescent="0.25">
      <c r="A93" s="68"/>
      <c r="B93" s="39" t="s">
        <v>18</v>
      </c>
      <c r="C93" s="104">
        <v>1</v>
      </c>
      <c r="D93" s="94">
        <v>1695</v>
      </c>
      <c r="E93" s="56">
        <f t="shared" si="26"/>
        <v>1695</v>
      </c>
      <c r="F93" s="41">
        <v>1</v>
      </c>
      <c r="G93" s="42"/>
      <c r="H93" s="43"/>
      <c r="I93" s="43"/>
      <c r="J93" s="59">
        <v>1</v>
      </c>
      <c r="K93" s="62">
        <f t="shared" si="27"/>
        <v>1</v>
      </c>
      <c r="L93" s="57">
        <f>D93*K93</f>
        <v>1695</v>
      </c>
      <c r="M93" s="64">
        <f t="shared" si="29"/>
        <v>0</v>
      </c>
      <c r="N93" s="243">
        <f t="shared" si="30"/>
        <v>1</v>
      </c>
    </row>
    <row r="94" spans="1:14" s="6" customFormat="1" ht="20.100000000000001" customHeight="1" thickBot="1" x14ac:dyDescent="0.25">
      <c r="A94" s="84"/>
      <c r="B94" s="84"/>
      <c r="C94" s="84"/>
      <c r="D94" s="84"/>
      <c r="E94" s="84">
        <f>D94*C94</f>
        <v>0</v>
      </c>
      <c r="F94" s="18">
        <f>G94+H94+I94+J94</f>
        <v>0</v>
      </c>
      <c r="G94" s="20"/>
      <c r="H94" s="20"/>
      <c r="I94" s="20"/>
      <c r="J94" s="20"/>
      <c r="K94" s="18">
        <f>D94*F94</f>
        <v>0</v>
      </c>
      <c r="L94" s="72"/>
      <c r="M94" s="73"/>
    </row>
    <row r="95" spans="1:14" s="6" customFormat="1" ht="20.100000000000001" customHeight="1" thickBot="1" x14ac:dyDescent="0.3">
      <c r="A95" s="12"/>
      <c r="B95" s="574" t="s">
        <v>19</v>
      </c>
      <c r="C95" s="575"/>
      <c r="D95" s="576"/>
      <c r="E95" s="66">
        <f>SUM(E7:E93)</f>
        <v>2530531.4699999997</v>
      </c>
      <c r="F95" s="562" t="s">
        <v>28</v>
      </c>
      <c r="G95" s="563"/>
      <c r="H95" s="563"/>
      <c r="I95" s="563"/>
      <c r="J95" s="563"/>
      <c r="K95" s="564"/>
      <c r="L95" s="25">
        <f>SUM(L7:L94)</f>
        <v>2684708.5899999994</v>
      </c>
      <c r="M95" s="25"/>
      <c r="N95" s="119">
        <f>L95/E95</f>
        <v>1.0609267744060102</v>
      </c>
    </row>
    <row r="96" spans="1:14" s="6" customFormat="1" ht="20.100000000000001" customHeight="1" thickBot="1" x14ac:dyDescent="0.3">
      <c r="A96" s="13"/>
      <c r="B96" s="559" t="s">
        <v>20</v>
      </c>
      <c r="C96" s="560"/>
      <c r="D96" s="561"/>
      <c r="E96" s="66">
        <f>'март 2019'!F247</f>
        <v>5980154.2800000003</v>
      </c>
      <c r="F96" s="562" t="s">
        <v>28</v>
      </c>
      <c r="G96" s="563"/>
      <c r="H96" s="563"/>
      <c r="I96" s="563"/>
      <c r="J96" s="563"/>
      <c r="K96" s="564"/>
      <c r="L96" s="25">
        <f>'март 2019'!L247</f>
        <v>3629075.62</v>
      </c>
      <c r="M96" s="25"/>
      <c r="N96" s="119">
        <f>L96/E96</f>
        <v>0.60685317636989122</v>
      </c>
    </row>
    <row r="97" spans="1:14" s="6" customFormat="1" ht="20.100000000000001" customHeight="1" thickBot="1" x14ac:dyDescent="0.35">
      <c r="A97" s="10"/>
      <c r="B97" s="565" t="s">
        <v>21</v>
      </c>
      <c r="C97" s="566"/>
      <c r="D97" s="567"/>
      <c r="E97" s="67">
        <f>SUM(E95:E96)</f>
        <v>8510685.75</v>
      </c>
      <c r="F97" s="562" t="s">
        <v>28</v>
      </c>
      <c r="G97" s="563"/>
      <c r="H97" s="563"/>
      <c r="I97" s="563"/>
      <c r="J97" s="563"/>
      <c r="K97" s="564"/>
      <c r="L97" s="71">
        <f>SUM(L95:L96)</f>
        <v>6313784.209999999</v>
      </c>
      <c r="M97" s="53"/>
      <c r="N97" s="119">
        <f>L97/E97</f>
        <v>0.74186550831112508</v>
      </c>
    </row>
    <row r="98" spans="1:14" s="6" customFormat="1" ht="20.100000000000001" customHeight="1" x14ac:dyDescent="0.2">
      <c r="A98" s="10"/>
      <c r="B98" s="10"/>
      <c r="C98" s="10"/>
      <c r="D98" s="10"/>
      <c r="E98" s="10"/>
      <c r="F98" s="13"/>
      <c r="G98" s="13"/>
      <c r="H98" s="13"/>
      <c r="I98" s="13" t="s">
        <v>25</v>
      </c>
      <c r="J98" s="13"/>
      <c r="K98" s="13"/>
      <c r="L98" s="240"/>
      <c r="M98" s="51"/>
      <c r="N98" s="23"/>
    </row>
    <row r="99" spans="1:14" s="6" customFormat="1" ht="20.100000000000001" customHeight="1" thickBot="1" x14ac:dyDescent="0.25">
      <c r="A99" s="10"/>
      <c r="B99" s="10"/>
      <c r="C99" s="14"/>
      <c r="D99" s="10"/>
      <c r="E99" s="10"/>
      <c r="F99" s="14"/>
      <c r="G99" s="14"/>
      <c r="H99" s="14"/>
      <c r="I99" s="26" t="s">
        <v>27</v>
      </c>
      <c r="J99" s="14"/>
      <c r="K99" s="14"/>
      <c r="L99" s="87"/>
      <c r="M99" s="52"/>
      <c r="N99" s="23"/>
    </row>
    <row r="100" spans="1:14" s="6" customFormat="1" ht="20.100000000000001" customHeight="1" thickBot="1" x14ac:dyDescent="0.25">
      <c r="A100" s="10"/>
      <c r="B100" s="10"/>
      <c r="C100" s="10"/>
      <c r="D100" s="10"/>
      <c r="E100" s="10"/>
      <c r="F100" s="13"/>
      <c r="G100" s="13"/>
      <c r="H100" s="13"/>
      <c r="I100" s="31" t="s">
        <v>26</v>
      </c>
      <c r="J100" s="13"/>
      <c r="K100" s="13"/>
      <c r="L100" s="71">
        <f>L97+L98+L99</f>
        <v>6313784.209999999</v>
      </c>
      <c r="M100" s="63"/>
      <c r="N100" s="23"/>
    </row>
    <row r="101" spans="1:14" s="6" customFormat="1" ht="20.100000000000001" customHeight="1" x14ac:dyDescent="0.2">
      <c r="A101" s="15"/>
      <c r="B101" s="11"/>
      <c r="C101" s="15"/>
      <c r="D101" s="236" t="s">
        <v>24</v>
      </c>
      <c r="E101" s="17"/>
      <c r="F101" s="19"/>
      <c r="G101" s="21"/>
      <c r="H101" s="13"/>
      <c r="I101" s="13"/>
      <c r="J101" s="13"/>
      <c r="K101" s="13"/>
      <c r="L101" s="23"/>
    </row>
    <row r="102" spans="1:14" s="6" customFormat="1" ht="20.100000000000001" customHeight="1" x14ac:dyDescent="0.2">
      <c r="A102" s="10"/>
      <c r="B102" s="10"/>
      <c r="C102" s="10"/>
      <c r="D102" s="10"/>
      <c r="E102" s="10"/>
      <c r="F102" s="13"/>
      <c r="G102" s="13"/>
      <c r="H102" s="13"/>
      <c r="I102" s="13"/>
      <c r="J102" s="13"/>
      <c r="K102" s="13"/>
    </row>
    <row r="103" spans="1:14" s="6" customFormat="1" ht="20.100000000000001" customHeight="1" x14ac:dyDescent="0.2">
      <c r="A103" s="10"/>
      <c r="B103" s="10"/>
      <c r="C103" s="255">
        <v>1000</v>
      </c>
      <c r="D103" s="254" t="s">
        <v>140</v>
      </c>
      <c r="E103" s="251"/>
      <c r="F103" s="13"/>
      <c r="G103" s="13"/>
      <c r="H103" s="13"/>
      <c r="I103" s="13"/>
      <c r="J103" s="13"/>
      <c r="K103" s="13"/>
    </row>
    <row r="104" spans="1:14" s="6" customFormat="1" ht="20.100000000000001" customHeight="1" x14ac:dyDescent="0.2">
      <c r="A104" s="10"/>
      <c r="B104" s="10"/>
      <c r="C104" s="10"/>
      <c r="D104" s="10"/>
      <c r="E104" s="10"/>
      <c r="F104" s="13"/>
      <c r="G104" s="13"/>
      <c r="H104" s="13"/>
      <c r="I104" s="13"/>
      <c r="K104" s="13"/>
      <c r="L104" s="24"/>
    </row>
    <row r="105" spans="1:14" s="6" customFormat="1" ht="20.100000000000001" customHeight="1" x14ac:dyDescent="0.2">
      <c r="A105" s="10"/>
      <c r="B105" s="10"/>
      <c r="C105" s="10"/>
      <c r="D105" s="10"/>
      <c r="E105" s="10"/>
      <c r="F105" s="13"/>
      <c r="G105" s="13"/>
      <c r="H105" s="13"/>
      <c r="I105" s="13"/>
      <c r="J105" s="13"/>
      <c r="K105" s="13"/>
      <c r="L105" s="23"/>
    </row>
    <row r="106" spans="1:14" s="6" customFormat="1" ht="20.100000000000001" customHeight="1" x14ac:dyDescent="0.2">
      <c r="A106" s="10"/>
      <c r="B106" s="10"/>
      <c r="C106" s="10"/>
      <c r="D106" s="10"/>
      <c r="E106" s="10"/>
      <c r="F106" s="13"/>
      <c r="G106" s="13"/>
      <c r="H106" s="13"/>
      <c r="I106" s="13"/>
      <c r="J106" s="13"/>
      <c r="K106" s="13"/>
      <c r="L106" s="23"/>
    </row>
    <row r="107" spans="1:14" s="6" customFormat="1" ht="20.100000000000001" customHeight="1" x14ac:dyDescent="0.2">
      <c r="A107" s="10"/>
      <c r="B107" s="10"/>
      <c r="C107" s="10"/>
      <c r="D107" s="10"/>
      <c r="E107" s="10"/>
      <c r="F107" s="13"/>
      <c r="G107" s="13"/>
      <c r="H107" s="13"/>
      <c r="I107" s="13"/>
      <c r="J107" s="13"/>
      <c r="K107" s="13"/>
      <c r="L107" s="23"/>
    </row>
    <row r="108" spans="1:14" s="6" customFormat="1" ht="15" customHeight="1" x14ac:dyDescent="0.2">
      <c r="A108" s="10"/>
      <c r="B108" s="10"/>
      <c r="C108" s="10"/>
      <c r="D108" s="10"/>
      <c r="E108" s="10"/>
      <c r="F108" s="13"/>
      <c r="G108" s="13"/>
      <c r="H108" s="13"/>
      <c r="I108" s="13"/>
      <c r="J108" s="13"/>
      <c r="K108" s="13"/>
      <c r="L108" s="23"/>
    </row>
    <row r="109" spans="1:14" s="6" customFormat="1" ht="15" customHeight="1" x14ac:dyDescent="0.2">
      <c r="A109" s="10"/>
      <c r="B109" s="10"/>
      <c r="C109" s="10"/>
      <c r="D109" s="10"/>
      <c r="E109" s="10"/>
      <c r="F109" s="13"/>
      <c r="G109" s="13"/>
      <c r="H109" s="13"/>
      <c r="I109" s="13"/>
      <c r="J109" s="13"/>
      <c r="K109" s="13"/>
      <c r="L109" s="13"/>
    </row>
    <row r="110" spans="1:14" s="7" customFormat="1" ht="15" customHeight="1" x14ac:dyDescent="0.2">
      <c r="A110" s="10"/>
      <c r="B110" s="10"/>
      <c r="C110" s="10"/>
      <c r="D110" s="10"/>
      <c r="E110" s="10"/>
      <c r="F110" s="13"/>
      <c r="G110" s="13"/>
      <c r="H110" s="13"/>
      <c r="I110" s="13"/>
      <c r="J110" s="13"/>
      <c r="K110" s="13"/>
      <c r="L110" s="10"/>
    </row>
    <row r="111" spans="1:14" s="8" customFormat="1" ht="15" customHeight="1" x14ac:dyDescent="0.2">
      <c r="A111" s="10"/>
      <c r="B111" s="10"/>
      <c r="C111" s="10"/>
      <c r="D111" s="10"/>
      <c r="E111" s="10"/>
      <c r="F111" s="13"/>
      <c r="G111" s="13"/>
      <c r="H111" s="13"/>
      <c r="I111" s="13"/>
      <c r="J111" s="13"/>
      <c r="K111" s="13"/>
      <c r="L111" s="10"/>
    </row>
    <row r="112" spans="1:14" s="8" customFormat="1" ht="15" customHeight="1" x14ac:dyDescent="0.2">
      <c r="A112" s="10"/>
      <c r="B112" s="10"/>
      <c r="C112" s="10"/>
      <c r="D112" s="10"/>
      <c r="E112" s="10"/>
      <c r="F112" s="13"/>
      <c r="G112" s="13"/>
      <c r="H112" s="13"/>
      <c r="I112" s="13"/>
      <c r="J112" s="13"/>
      <c r="K112" s="13"/>
      <c r="L112" s="9"/>
    </row>
    <row r="113" spans="1:16" ht="15" customHeight="1" x14ac:dyDescent="0.25">
      <c r="A113" s="10"/>
      <c r="B113" s="10"/>
      <c r="C113" s="10"/>
      <c r="D113" s="10"/>
      <c r="E113" s="10"/>
      <c r="F113" s="13"/>
      <c r="G113" s="13"/>
      <c r="H113" s="13"/>
      <c r="I113" s="13"/>
      <c r="J113" s="13"/>
      <c r="K113" s="13"/>
    </row>
    <row r="114" spans="1:16" s="9" customFormat="1" ht="15" customHeight="1" x14ac:dyDescent="0.25">
      <c r="A114" s="10"/>
      <c r="B114" s="10"/>
      <c r="C114" s="10"/>
      <c r="D114" s="10"/>
      <c r="E114" s="10"/>
      <c r="F114" s="13"/>
      <c r="G114" s="13"/>
      <c r="H114" s="13"/>
      <c r="I114" s="13"/>
      <c r="J114" s="13"/>
      <c r="K114" s="13"/>
      <c r="M114" s="4"/>
      <c r="N114" s="4"/>
      <c r="O114" s="5"/>
      <c r="P114" s="5"/>
    </row>
    <row r="115" spans="1:16" s="9" customFormat="1" ht="15" customHeight="1" x14ac:dyDescent="0.25">
      <c r="A115" s="10"/>
      <c r="B115" s="10"/>
      <c r="C115" s="10"/>
      <c r="D115" s="10"/>
      <c r="E115" s="10"/>
      <c r="F115" s="13"/>
      <c r="G115" s="13"/>
      <c r="H115" s="13"/>
      <c r="I115" s="13"/>
      <c r="J115" s="13"/>
      <c r="K115" s="13"/>
      <c r="M115" s="4"/>
      <c r="N115" s="4"/>
      <c r="O115" s="5"/>
      <c r="P115" s="5"/>
    </row>
    <row r="116" spans="1:16" s="9" customFormat="1" ht="15" customHeight="1" x14ac:dyDescent="0.25">
      <c r="A116" s="10"/>
      <c r="B116" s="10"/>
      <c r="C116" s="10"/>
      <c r="D116" s="10"/>
      <c r="E116" s="10"/>
      <c r="F116" s="13"/>
      <c r="G116" s="13"/>
      <c r="H116" s="13"/>
      <c r="I116" s="13"/>
      <c r="J116" s="13"/>
      <c r="K116" s="13"/>
      <c r="M116" s="4"/>
      <c r="N116" s="4"/>
      <c r="O116" s="5"/>
      <c r="P116" s="5"/>
    </row>
    <row r="117" spans="1:16" s="9" customFormat="1" ht="15" customHeight="1" x14ac:dyDescent="0.25">
      <c r="A117" s="10"/>
      <c r="B117" s="10"/>
      <c r="C117" s="10"/>
      <c r="D117" s="10"/>
      <c r="E117" s="10"/>
      <c r="F117" s="13"/>
      <c r="G117" s="13"/>
      <c r="H117" s="13"/>
      <c r="I117" s="13"/>
      <c r="J117" s="13"/>
      <c r="K117" s="13"/>
      <c r="M117" s="4"/>
      <c r="N117" s="4"/>
      <c r="O117" s="5"/>
      <c r="P117" s="5"/>
    </row>
    <row r="118" spans="1:16" s="9" customFormat="1" ht="15" customHeight="1" x14ac:dyDescent="0.25">
      <c r="A118" s="10"/>
      <c r="B118" s="10"/>
      <c r="C118" s="10"/>
      <c r="D118" s="10"/>
      <c r="E118" s="10"/>
      <c r="F118" s="13"/>
      <c r="G118" s="13"/>
      <c r="H118" s="13"/>
      <c r="I118" s="13"/>
      <c r="J118" s="13"/>
      <c r="K118" s="13"/>
      <c r="M118" s="4"/>
      <c r="N118" s="4"/>
      <c r="O118" s="5"/>
      <c r="P118" s="5"/>
    </row>
    <row r="119" spans="1:16" s="9" customFormat="1" ht="15" customHeight="1" x14ac:dyDescent="0.25">
      <c r="A119" s="10"/>
      <c r="B119" s="10"/>
      <c r="C119" s="10"/>
      <c r="D119" s="10"/>
      <c r="E119" s="10"/>
      <c r="F119" s="13"/>
      <c r="G119" s="13"/>
      <c r="H119" s="13"/>
      <c r="I119" s="13"/>
      <c r="J119" s="13"/>
      <c r="K119" s="13"/>
      <c r="M119" s="4"/>
      <c r="N119" s="4"/>
      <c r="O119" s="5"/>
      <c r="P119" s="5"/>
    </row>
    <row r="120" spans="1:16" s="9" customFormat="1" ht="15" customHeight="1" x14ac:dyDescent="0.25">
      <c r="A120" s="10"/>
      <c r="B120" s="10"/>
      <c r="C120" s="10"/>
      <c r="D120" s="10"/>
      <c r="E120" s="10"/>
      <c r="F120" s="13"/>
      <c r="G120" s="13"/>
      <c r="H120" s="13"/>
      <c r="I120" s="13"/>
      <c r="J120" s="13"/>
      <c r="K120" s="13"/>
      <c r="M120" s="4"/>
      <c r="N120" s="4"/>
      <c r="O120" s="5"/>
      <c r="P120" s="5"/>
    </row>
    <row r="121" spans="1:16" s="9" customFormat="1" ht="15" customHeight="1" x14ac:dyDescent="0.25">
      <c r="A121" s="10"/>
      <c r="B121" s="10"/>
      <c r="C121" s="10"/>
      <c r="D121" s="10"/>
      <c r="E121" s="10"/>
      <c r="F121" s="13"/>
      <c r="G121" s="13"/>
      <c r="H121" s="13"/>
      <c r="I121" s="13"/>
      <c r="J121" s="13"/>
      <c r="K121" s="13"/>
      <c r="M121" s="4"/>
      <c r="N121" s="4"/>
      <c r="O121" s="5"/>
      <c r="P121" s="5"/>
    </row>
    <row r="122" spans="1:16" s="9" customFormat="1" ht="15" customHeight="1" x14ac:dyDescent="0.25">
      <c r="A122" s="10"/>
      <c r="B122" s="10"/>
      <c r="C122" s="10"/>
      <c r="D122" s="10"/>
      <c r="E122" s="10"/>
      <c r="F122" s="13"/>
      <c r="G122" s="13"/>
      <c r="H122" s="13"/>
      <c r="I122" s="13"/>
      <c r="J122" s="13"/>
      <c r="K122" s="13"/>
      <c r="M122" s="4"/>
      <c r="N122" s="4"/>
      <c r="O122" s="5"/>
      <c r="P122" s="5"/>
    </row>
    <row r="123" spans="1:16" s="9" customFormat="1" ht="15" customHeight="1" x14ac:dyDescent="0.25">
      <c r="A123" s="10"/>
      <c r="B123" s="10"/>
      <c r="C123" s="10"/>
      <c r="D123" s="10"/>
      <c r="E123" s="10"/>
      <c r="F123" s="13"/>
      <c r="G123" s="13"/>
      <c r="H123" s="13"/>
      <c r="I123" s="13"/>
      <c r="J123" s="13"/>
      <c r="K123" s="13"/>
      <c r="M123" s="4"/>
      <c r="N123" s="4"/>
      <c r="O123" s="5"/>
      <c r="P123" s="5"/>
    </row>
    <row r="124" spans="1:16" s="9" customFormat="1" ht="15" customHeight="1" x14ac:dyDescent="0.25">
      <c r="A124" s="10"/>
      <c r="B124" s="10"/>
      <c r="C124" s="10"/>
      <c r="D124" s="10"/>
      <c r="E124" s="10"/>
      <c r="F124" s="13"/>
      <c r="G124" s="13"/>
      <c r="H124" s="13"/>
      <c r="I124" s="13"/>
      <c r="J124" s="13"/>
      <c r="K124" s="13"/>
      <c r="M124" s="4"/>
      <c r="N124" s="4"/>
      <c r="O124" s="5"/>
      <c r="P124" s="5"/>
    </row>
    <row r="125" spans="1:16" s="9" customFormat="1" ht="15" customHeight="1" x14ac:dyDescent="0.25">
      <c r="A125" s="10"/>
      <c r="B125" s="10"/>
      <c r="C125" s="10"/>
      <c r="D125" s="10"/>
      <c r="E125" s="10"/>
      <c r="F125" s="13"/>
      <c r="G125" s="13"/>
      <c r="H125" s="13"/>
      <c r="I125" s="13"/>
      <c r="J125" s="13"/>
      <c r="K125" s="13"/>
      <c r="M125" s="4"/>
      <c r="N125" s="4"/>
      <c r="O125" s="5"/>
      <c r="P125" s="5"/>
    </row>
    <row r="126" spans="1:16" s="9" customFormat="1" ht="15" customHeight="1" x14ac:dyDescent="0.25">
      <c r="A126" s="10"/>
      <c r="B126" s="10"/>
      <c r="C126" s="10"/>
      <c r="D126" s="10"/>
      <c r="E126" s="10"/>
      <c r="F126" s="13"/>
      <c r="G126" s="13"/>
      <c r="H126" s="13"/>
      <c r="I126" s="13"/>
      <c r="J126" s="13"/>
      <c r="K126" s="13"/>
      <c r="M126" s="4"/>
      <c r="N126" s="4"/>
      <c r="O126" s="5"/>
      <c r="P126" s="5"/>
    </row>
    <row r="127" spans="1:16" s="9" customFormat="1" ht="15" customHeight="1" x14ac:dyDescent="0.25">
      <c r="A127" s="10"/>
      <c r="B127" s="10"/>
      <c r="C127" s="10"/>
      <c r="D127" s="10"/>
      <c r="E127" s="10"/>
      <c r="F127" s="13"/>
      <c r="G127" s="13"/>
      <c r="H127" s="13"/>
      <c r="I127" s="13"/>
      <c r="J127" s="13"/>
      <c r="K127" s="13"/>
      <c r="M127" s="4"/>
      <c r="N127" s="4"/>
      <c r="O127" s="5"/>
      <c r="P127" s="5"/>
    </row>
    <row r="128" spans="1:16" s="9" customFormat="1" ht="15" customHeight="1" x14ac:dyDescent="0.25">
      <c r="A128" s="10"/>
      <c r="B128" s="10"/>
      <c r="C128" s="10"/>
      <c r="D128" s="10"/>
      <c r="E128" s="10"/>
      <c r="F128" s="13"/>
      <c r="G128" s="13"/>
      <c r="H128" s="13"/>
      <c r="I128" s="13"/>
      <c r="J128" s="13"/>
      <c r="K128" s="13"/>
      <c r="M128" s="4"/>
      <c r="N128" s="4"/>
      <c r="O128" s="5"/>
      <c r="P128" s="5"/>
    </row>
    <row r="129" spans="1:16" s="9" customFormat="1" ht="15" customHeight="1" x14ac:dyDescent="0.25">
      <c r="A129" s="10"/>
      <c r="B129" s="10"/>
      <c r="C129" s="10"/>
      <c r="D129" s="10"/>
      <c r="E129" s="10"/>
      <c r="F129" s="13"/>
      <c r="G129" s="13"/>
      <c r="H129" s="13"/>
      <c r="I129" s="13"/>
      <c r="J129" s="13"/>
      <c r="K129" s="13"/>
      <c r="M129" s="4"/>
      <c r="N129" s="4"/>
      <c r="O129" s="5"/>
      <c r="P129" s="5"/>
    </row>
    <row r="130" spans="1:16" s="9" customFormat="1" ht="15" customHeight="1" x14ac:dyDescent="0.25">
      <c r="A130" s="10"/>
      <c r="B130" s="10"/>
      <c r="C130" s="10"/>
      <c r="D130" s="10"/>
      <c r="E130" s="10"/>
      <c r="F130" s="13"/>
      <c r="G130" s="13"/>
      <c r="H130" s="13"/>
      <c r="I130" s="13"/>
      <c r="J130" s="13"/>
      <c r="K130" s="13"/>
      <c r="M130" s="4"/>
      <c r="N130" s="4"/>
      <c r="O130" s="5"/>
      <c r="P130" s="5"/>
    </row>
    <row r="131" spans="1:16" s="9" customFormat="1" ht="15" customHeight="1" x14ac:dyDescent="0.25">
      <c r="A131" s="10"/>
      <c r="B131" s="10"/>
      <c r="C131" s="10"/>
      <c r="D131" s="10"/>
      <c r="E131" s="10"/>
      <c r="F131" s="13"/>
      <c r="G131" s="13"/>
      <c r="H131" s="13"/>
      <c r="I131" s="13"/>
      <c r="J131" s="13"/>
      <c r="K131" s="13"/>
      <c r="M131" s="4"/>
      <c r="N131" s="4"/>
      <c r="O131" s="5"/>
      <c r="P131" s="5"/>
    </row>
    <row r="132" spans="1:16" s="9" customFormat="1" ht="15" customHeight="1" x14ac:dyDescent="0.25">
      <c r="A132" s="10"/>
      <c r="B132" s="10"/>
      <c r="C132" s="10"/>
      <c r="D132" s="10"/>
      <c r="E132" s="10"/>
      <c r="F132" s="13"/>
      <c r="G132" s="13"/>
      <c r="H132" s="13"/>
      <c r="I132" s="13"/>
      <c r="J132" s="13"/>
      <c r="K132" s="13"/>
      <c r="M132" s="4"/>
      <c r="N132" s="4"/>
      <c r="O132" s="5"/>
      <c r="P132" s="5"/>
    </row>
    <row r="133" spans="1:16" s="9" customFormat="1" ht="15" customHeight="1" x14ac:dyDescent="0.25">
      <c r="A133" s="10"/>
      <c r="B133" s="10"/>
      <c r="C133" s="10"/>
      <c r="D133" s="10"/>
      <c r="E133" s="10"/>
      <c r="F133" s="13"/>
      <c r="G133" s="13"/>
      <c r="H133" s="13"/>
      <c r="I133" s="13"/>
      <c r="J133" s="13"/>
      <c r="K133" s="13"/>
      <c r="M133" s="4"/>
      <c r="N133" s="4"/>
      <c r="O133" s="5"/>
      <c r="P133" s="5"/>
    </row>
    <row r="134" spans="1:16" s="9" customFormat="1" ht="15" customHeight="1" x14ac:dyDescent="0.25">
      <c r="A134" s="10"/>
      <c r="B134" s="10"/>
      <c r="C134" s="10"/>
      <c r="D134" s="10"/>
      <c r="E134" s="10"/>
      <c r="F134" s="13"/>
      <c r="G134" s="13"/>
      <c r="H134" s="13"/>
      <c r="I134" s="13"/>
      <c r="J134" s="13"/>
      <c r="K134" s="13"/>
      <c r="M134" s="4"/>
      <c r="N134" s="4"/>
      <c r="O134" s="5"/>
      <c r="P134" s="5"/>
    </row>
    <row r="135" spans="1:16" s="9" customFormat="1" ht="15" customHeight="1" x14ac:dyDescent="0.25">
      <c r="A135" s="10"/>
      <c r="B135" s="10"/>
      <c r="C135" s="10"/>
      <c r="D135" s="10"/>
      <c r="E135" s="10"/>
      <c r="F135" s="13"/>
      <c r="G135" s="13"/>
      <c r="H135" s="13"/>
      <c r="I135" s="13"/>
      <c r="J135" s="13"/>
      <c r="K135" s="13"/>
      <c r="M135" s="4"/>
      <c r="N135" s="4"/>
      <c r="O135" s="5"/>
      <c r="P135" s="5"/>
    </row>
    <row r="136" spans="1:16" s="9" customFormat="1" ht="15" customHeight="1" x14ac:dyDescent="0.25">
      <c r="A136" s="10"/>
      <c r="B136" s="10"/>
      <c r="C136" s="10"/>
      <c r="D136" s="10"/>
      <c r="E136" s="10"/>
      <c r="F136" s="13"/>
      <c r="G136" s="13"/>
      <c r="H136" s="13"/>
      <c r="I136" s="13"/>
      <c r="J136" s="13"/>
      <c r="K136" s="13"/>
      <c r="M136" s="4"/>
      <c r="N136" s="4"/>
      <c r="O136" s="5"/>
      <c r="P136" s="5"/>
    </row>
    <row r="137" spans="1:16" s="9" customFormat="1" ht="15" customHeight="1" x14ac:dyDescent="0.25">
      <c r="A137" s="10"/>
      <c r="B137" s="10"/>
      <c r="C137" s="10"/>
      <c r="D137" s="10"/>
      <c r="E137" s="10"/>
      <c r="F137" s="13"/>
      <c r="G137" s="13"/>
      <c r="H137" s="13"/>
      <c r="I137" s="13"/>
      <c r="J137" s="13"/>
      <c r="K137" s="13"/>
      <c r="M137" s="4"/>
      <c r="N137" s="4"/>
      <c r="O137" s="5"/>
      <c r="P137" s="5"/>
    </row>
    <row r="138" spans="1:16" s="9" customFormat="1" ht="15" customHeight="1" x14ac:dyDescent="0.25">
      <c r="A138" s="10"/>
      <c r="B138" s="10"/>
      <c r="C138" s="10"/>
      <c r="D138" s="10"/>
      <c r="E138" s="10"/>
      <c r="F138" s="13"/>
      <c r="G138" s="13"/>
      <c r="H138" s="13"/>
      <c r="I138" s="13"/>
      <c r="J138" s="13"/>
      <c r="K138" s="13"/>
      <c r="M138" s="4"/>
      <c r="N138" s="4"/>
      <c r="O138" s="5"/>
      <c r="P138" s="5"/>
    </row>
    <row r="139" spans="1:16" s="9" customFormat="1" ht="15" customHeight="1" x14ac:dyDescent="0.25">
      <c r="A139" s="10"/>
      <c r="B139" s="10"/>
      <c r="C139" s="10"/>
      <c r="D139" s="10"/>
      <c r="E139" s="10"/>
      <c r="F139" s="13"/>
      <c r="G139" s="13"/>
      <c r="H139" s="13"/>
      <c r="I139" s="13"/>
      <c r="J139" s="13"/>
      <c r="K139" s="13"/>
      <c r="M139" s="4"/>
      <c r="N139" s="4"/>
      <c r="O139" s="5"/>
      <c r="P139" s="5"/>
    </row>
    <row r="140" spans="1:16" s="9" customFormat="1" ht="15" customHeight="1" x14ac:dyDescent="0.25">
      <c r="A140" s="10"/>
      <c r="B140" s="10"/>
      <c r="C140" s="10"/>
      <c r="D140" s="10"/>
      <c r="E140" s="10"/>
      <c r="F140" s="13"/>
      <c r="G140" s="13"/>
      <c r="H140" s="13"/>
      <c r="I140" s="13"/>
      <c r="J140" s="13"/>
      <c r="K140" s="13"/>
      <c r="M140" s="4"/>
      <c r="N140" s="4"/>
      <c r="O140" s="5"/>
      <c r="P140" s="5"/>
    </row>
    <row r="141" spans="1:16" s="9" customFormat="1" ht="15" customHeight="1" x14ac:dyDescent="0.25">
      <c r="A141" s="10"/>
      <c r="B141" s="10"/>
      <c r="C141" s="10"/>
      <c r="D141" s="10"/>
      <c r="E141" s="10"/>
      <c r="F141" s="13"/>
      <c r="G141" s="13"/>
      <c r="H141" s="13"/>
      <c r="I141" s="13"/>
      <c r="J141" s="13"/>
      <c r="K141" s="13"/>
      <c r="M141" s="4"/>
      <c r="N141" s="4"/>
      <c r="O141" s="5"/>
      <c r="P141" s="5"/>
    </row>
    <row r="142" spans="1:16" s="9" customFormat="1" ht="15" customHeight="1" x14ac:dyDescent="0.25">
      <c r="A142" s="10"/>
      <c r="B142" s="10"/>
      <c r="C142" s="10"/>
      <c r="D142" s="10"/>
      <c r="E142" s="10"/>
      <c r="F142" s="13"/>
      <c r="G142" s="13"/>
      <c r="H142" s="13"/>
      <c r="I142" s="13"/>
      <c r="J142" s="13"/>
      <c r="K142" s="13"/>
      <c r="M142" s="4"/>
      <c r="N142" s="4"/>
      <c r="O142" s="5"/>
      <c r="P142" s="5"/>
    </row>
    <row r="143" spans="1:16" s="9" customFormat="1" ht="15" customHeight="1" x14ac:dyDescent="0.25">
      <c r="A143" s="10"/>
      <c r="B143" s="10"/>
      <c r="C143" s="10"/>
      <c r="D143" s="10"/>
      <c r="E143" s="10"/>
      <c r="F143" s="13"/>
      <c r="G143" s="13"/>
      <c r="H143" s="13"/>
      <c r="I143" s="13"/>
      <c r="J143" s="13"/>
      <c r="K143" s="13"/>
      <c r="M143" s="4"/>
      <c r="N143" s="4"/>
      <c r="O143" s="5"/>
      <c r="P143" s="5"/>
    </row>
    <row r="144" spans="1:16" s="9" customFormat="1" ht="15" customHeight="1" x14ac:dyDescent="0.25">
      <c r="A144" s="10"/>
      <c r="B144" s="10"/>
      <c r="C144" s="10"/>
      <c r="D144" s="10"/>
      <c r="E144" s="10"/>
      <c r="F144" s="13"/>
      <c r="G144" s="13"/>
      <c r="H144" s="13"/>
      <c r="I144" s="13"/>
      <c r="J144" s="13"/>
      <c r="K144" s="13"/>
      <c r="M144" s="4"/>
      <c r="N144" s="4"/>
      <c r="O144" s="5"/>
      <c r="P144" s="5"/>
    </row>
    <row r="145" spans="1:16" s="9" customFormat="1" ht="15" customHeight="1" x14ac:dyDescent="0.25">
      <c r="A145" s="10"/>
      <c r="B145" s="10"/>
      <c r="C145" s="10"/>
      <c r="D145" s="10"/>
      <c r="E145" s="10"/>
      <c r="F145" s="13"/>
      <c r="G145" s="13"/>
      <c r="H145" s="13"/>
      <c r="I145" s="13"/>
      <c r="J145" s="13"/>
      <c r="K145" s="13"/>
      <c r="M145" s="4"/>
      <c r="N145" s="4"/>
      <c r="O145" s="5"/>
      <c r="P145" s="5"/>
    </row>
    <row r="146" spans="1:16" s="9" customFormat="1" ht="15" customHeight="1" x14ac:dyDescent="0.25">
      <c r="A146" s="10"/>
      <c r="B146" s="10"/>
      <c r="C146" s="10"/>
      <c r="D146" s="10"/>
      <c r="E146" s="10"/>
      <c r="F146" s="13"/>
      <c r="G146" s="13"/>
      <c r="H146" s="13"/>
      <c r="I146" s="13"/>
      <c r="J146" s="13"/>
      <c r="K146" s="13"/>
      <c r="M146" s="4"/>
      <c r="N146" s="4"/>
      <c r="O146" s="5"/>
      <c r="P146" s="5"/>
    </row>
    <row r="147" spans="1:16" s="9" customFormat="1" ht="15" customHeight="1" x14ac:dyDescent="0.25">
      <c r="A147" s="10"/>
      <c r="B147" s="10"/>
      <c r="C147" s="10"/>
      <c r="D147" s="10"/>
      <c r="E147" s="10"/>
      <c r="F147" s="13"/>
      <c r="G147" s="13"/>
      <c r="H147" s="13"/>
      <c r="I147" s="13"/>
      <c r="J147" s="13"/>
      <c r="K147" s="13"/>
      <c r="M147" s="4"/>
      <c r="N147" s="4"/>
      <c r="O147" s="5"/>
      <c r="P147" s="5"/>
    </row>
    <row r="148" spans="1:16" s="9" customFormat="1" ht="15" customHeight="1" x14ac:dyDescent="0.25">
      <c r="A148" s="10"/>
      <c r="B148" s="10"/>
      <c r="C148" s="10"/>
      <c r="D148" s="10"/>
      <c r="E148" s="10"/>
      <c r="F148" s="13"/>
      <c r="G148" s="13"/>
      <c r="H148" s="13"/>
      <c r="I148" s="13"/>
      <c r="J148" s="13"/>
      <c r="K148" s="13"/>
      <c r="M148" s="4"/>
      <c r="N148" s="4"/>
      <c r="O148" s="5"/>
      <c r="P148" s="5"/>
    </row>
    <row r="149" spans="1:16" s="9" customFormat="1" ht="15" customHeight="1" x14ac:dyDescent="0.25">
      <c r="A149" s="10"/>
      <c r="B149" s="10"/>
      <c r="C149" s="10"/>
      <c r="D149" s="10"/>
      <c r="E149" s="10"/>
      <c r="F149" s="13"/>
      <c r="G149" s="13"/>
      <c r="H149" s="13"/>
      <c r="I149" s="13"/>
      <c r="J149" s="13"/>
      <c r="K149" s="13"/>
      <c r="M149" s="4"/>
      <c r="N149" s="4"/>
      <c r="O149" s="5"/>
      <c r="P149" s="5"/>
    </row>
    <row r="150" spans="1:16" s="9" customFormat="1" ht="15" customHeight="1" x14ac:dyDescent="0.25">
      <c r="A150" s="10"/>
      <c r="B150" s="10"/>
      <c r="C150" s="10"/>
      <c r="D150" s="10"/>
      <c r="E150" s="10"/>
      <c r="F150" s="13"/>
      <c r="G150" s="13"/>
      <c r="H150" s="13"/>
      <c r="I150" s="13"/>
      <c r="J150" s="13"/>
      <c r="K150" s="13"/>
      <c r="M150" s="4"/>
      <c r="N150" s="4"/>
      <c r="O150" s="5"/>
      <c r="P150" s="5"/>
    </row>
    <row r="151" spans="1:16" s="9" customFormat="1" ht="15" customHeight="1" x14ac:dyDescent="0.25">
      <c r="A151" s="10"/>
      <c r="B151" s="10"/>
      <c r="C151" s="10"/>
      <c r="D151" s="10"/>
      <c r="E151" s="10"/>
      <c r="F151" s="13"/>
      <c r="G151" s="13"/>
      <c r="H151" s="13"/>
      <c r="I151" s="13"/>
      <c r="J151" s="13"/>
      <c r="K151" s="13"/>
      <c r="M151" s="4"/>
      <c r="N151" s="4"/>
      <c r="O151" s="5"/>
      <c r="P151" s="5"/>
    </row>
    <row r="152" spans="1:16" s="9" customFormat="1" ht="15" customHeight="1" x14ac:dyDescent="0.25">
      <c r="A152" s="10"/>
      <c r="B152" s="10"/>
      <c r="C152" s="10"/>
      <c r="D152" s="10"/>
      <c r="E152" s="10"/>
      <c r="F152" s="13"/>
      <c r="G152" s="13"/>
      <c r="H152" s="13"/>
      <c r="I152" s="13"/>
      <c r="J152" s="13"/>
      <c r="K152" s="13"/>
      <c r="M152" s="4"/>
      <c r="N152" s="4"/>
      <c r="O152" s="5"/>
      <c r="P152" s="5"/>
    </row>
    <row r="153" spans="1:16" s="9" customFormat="1" ht="15" customHeight="1" x14ac:dyDescent="0.25">
      <c r="A153" s="10"/>
      <c r="B153" s="10"/>
      <c r="C153" s="10"/>
      <c r="D153" s="10"/>
      <c r="E153" s="10"/>
      <c r="F153" s="13"/>
      <c r="G153" s="13"/>
      <c r="H153" s="13"/>
      <c r="I153" s="13"/>
      <c r="J153" s="13"/>
      <c r="K153" s="13"/>
      <c r="M153" s="4"/>
      <c r="N153" s="4"/>
      <c r="O153" s="5"/>
      <c r="P153" s="5"/>
    </row>
    <row r="154" spans="1:16" s="9" customFormat="1" ht="15" customHeight="1" x14ac:dyDescent="0.25">
      <c r="A154" s="10"/>
      <c r="B154" s="10"/>
      <c r="C154" s="10"/>
      <c r="D154" s="10"/>
      <c r="E154" s="10"/>
      <c r="F154" s="13"/>
      <c r="G154" s="13"/>
      <c r="H154" s="13"/>
      <c r="I154" s="13"/>
      <c r="J154" s="13"/>
      <c r="K154" s="13"/>
      <c r="M154" s="4"/>
      <c r="N154" s="4"/>
      <c r="O154" s="5"/>
      <c r="P154" s="5"/>
    </row>
    <row r="155" spans="1:16" s="9" customFormat="1" ht="15" customHeight="1" x14ac:dyDescent="0.25">
      <c r="A155" s="10"/>
      <c r="B155" s="10"/>
      <c r="C155" s="10"/>
      <c r="D155" s="10"/>
      <c r="E155" s="10"/>
      <c r="F155" s="13"/>
      <c r="G155" s="13"/>
      <c r="H155" s="13"/>
      <c r="I155" s="13"/>
      <c r="J155" s="13"/>
      <c r="K155" s="13"/>
      <c r="M155" s="4"/>
      <c r="N155" s="4"/>
      <c r="O155" s="5"/>
      <c r="P155" s="5"/>
    </row>
    <row r="156" spans="1:16" s="9" customFormat="1" ht="15" customHeight="1" x14ac:dyDescent="0.25">
      <c r="A156" s="10"/>
      <c r="B156" s="10"/>
      <c r="C156" s="10"/>
      <c r="D156" s="10"/>
      <c r="E156" s="10"/>
      <c r="F156" s="13"/>
      <c r="G156" s="13"/>
      <c r="H156" s="13"/>
      <c r="I156" s="13"/>
      <c r="J156" s="13"/>
      <c r="K156" s="13"/>
      <c r="M156" s="4"/>
      <c r="N156" s="4"/>
      <c r="O156" s="5"/>
      <c r="P156" s="5"/>
    </row>
    <row r="157" spans="1:16" s="9" customFormat="1" ht="15" customHeight="1" x14ac:dyDescent="0.25">
      <c r="A157" s="10"/>
      <c r="B157" s="10"/>
      <c r="C157" s="10"/>
      <c r="D157" s="10"/>
      <c r="E157" s="10"/>
      <c r="F157" s="13"/>
      <c r="G157" s="13"/>
      <c r="H157" s="13"/>
      <c r="I157" s="13"/>
      <c r="J157" s="13"/>
      <c r="K157" s="13"/>
      <c r="M157" s="4"/>
      <c r="N157" s="4"/>
      <c r="O157" s="5"/>
      <c r="P157" s="5"/>
    </row>
    <row r="158" spans="1:16" s="9" customFormat="1" ht="15" customHeight="1" x14ac:dyDescent="0.25">
      <c r="A158" s="10"/>
      <c r="B158" s="10"/>
      <c r="C158" s="10"/>
      <c r="D158" s="10"/>
      <c r="E158" s="10"/>
      <c r="F158" s="13"/>
      <c r="G158" s="13"/>
      <c r="H158" s="13"/>
      <c r="I158" s="13"/>
      <c r="J158" s="13"/>
      <c r="K158" s="13"/>
      <c r="M158" s="4"/>
      <c r="N158" s="4"/>
      <c r="O158" s="5"/>
      <c r="P158" s="5"/>
    </row>
    <row r="159" spans="1:16" s="9" customFormat="1" ht="15" customHeight="1" x14ac:dyDescent="0.25">
      <c r="A159" s="10"/>
      <c r="B159" s="10"/>
      <c r="C159" s="10"/>
      <c r="D159" s="10"/>
      <c r="E159" s="10"/>
      <c r="F159" s="13"/>
      <c r="G159" s="13"/>
      <c r="H159" s="13"/>
      <c r="I159" s="13"/>
      <c r="J159" s="13"/>
      <c r="K159" s="13"/>
      <c r="M159" s="4"/>
      <c r="N159" s="4"/>
      <c r="O159" s="5"/>
      <c r="P159" s="5"/>
    </row>
    <row r="160" spans="1:16" s="9" customFormat="1" ht="15" customHeight="1" x14ac:dyDescent="0.25">
      <c r="A160" s="10"/>
      <c r="B160" s="10"/>
      <c r="C160" s="10"/>
      <c r="D160" s="10"/>
      <c r="E160" s="10"/>
      <c r="F160" s="13"/>
      <c r="G160" s="13"/>
      <c r="H160" s="13"/>
      <c r="I160" s="13"/>
      <c r="J160" s="13"/>
      <c r="K160" s="13"/>
      <c r="M160" s="4"/>
      <c r="N160" s="4"/>
      <c r="O160" s="5"/>
      <c r="P160" s="5"/>
    </row>
    <row r="161" spans="1:16" s="9" customFormat="1" ht="15" customHeight="1" x14ac:dyDescent="0.25">
      <c r="A161" s="10"/>
      <c r="B161" s="10"/>
      <c r="C161" s="10"/>
      <c r="D161" s="10"/>
      <c r="E161" s="10"/>
      <c r="F161" s="13"/>
      <c r="G161" s="13"/>
      <c r="H161" s="13"/>
      <c r="I161" s="13"/>
      <c r="J161" s="13"/>
      <c r="K161" s="13"/>
      <c r="M161" s="4"/>
      <c r="N161" s="4"/>
      <c r="O161" s="5"/>
      <c r="P161" s="5"/>
    </row>
    <row r="162" spans="1:16" s="9" customFormat="1" ht="15" customHeight="1" x14ac:dyDescent="0.25">
      <c r="A162" s="10"/>
      <c r="B162" s="10"/>
      <c r="C162" s="10"/>
      <c r="D162" s="10"/>
      <c r="E162" s="10"/>
      <c r="F162" s="13"/>
      <c r="G162" s="13"/>
      <c r="H162" s="13"/>
      <c r="I162" s="13"/>
      <c r="J162" s="13"/>
      <c r="K162" s="13"/>
      <c r="M162" s="4"/>
      <c r="N162" s="4"/>
      <c r="O162" s="5"/>
      <c r="P162" s="5"/>
    </row>
    <row r="163" spans="1:16" s="9" customFormat="1" ht="15" customHeight="1" x14ac:dyDescent="0.25">
      <c r="A163" s="10"/>
      <c r="B163" s="10"/>
      <c r="C163" s="10"/>
      <c r="D163" s="10"/>
      <c r="E163" s="10"/>
      <c r="F163" s="13"/>
      <c r="G163" s="13"/>
      <c r="H163" s="13"/>
      <c r="I163" s="13"/>
      <c r="J163" s="13"/>
      <c r="K163" s="13"/>
      <c r="M163" s="4"/>
      <c r="N163" s="4"/>
      <c r="O163" s="5"/>
      <c r="P163" s="5"/>
    </row>
    <row r="164" spans="1:16" s="9" customFormat="1" ht="15" customHeight="1" x14ac:dyDescent="0.25">
      <c r="A164" s="10"/>
      <c r="B164" s="10"/>
      <c r="C164" s="10"/>
      <c r="D164" s="10"/>
      <c r="E164" s="10"/>
      <c r="F164" s="10"/>
      <c r="G164" s="13"/>
      <c r="H164" s="13"/>
      <c r="I164" s="13"/>
      <c r="J164" s="13"/>
      <c r="K164" s="13"/>
      <c r="M164" s="4"/>
      <c r="N164" s="4"/>
      <c r="O164" s="5"/>
      <c r="P164" s="5"/>
    </row>
    <row r="165" spans="1:16" s="9" customFormat="1" ht="1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M165" s="4"/>
      <c r="N165" s="4"/>
      <c r="O165" s="5"/>
      <c r="P165" s="5"/>
    </row>
    <row r="166" spans="1:16" s="9" customFormat="1" ht="1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M166" s="4"/>
      <c r="N166" s="4"/>
      <c r="O166" s="5"/>
      <c r="P166" s="5"/>
    </row>
    <row r="167" spans="1:16" s="9" customFormat="1" ht="1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M167" s="4"/>
      <c r="N167" s="4"/>
      <c r="O167" s="5"/>
      <c r="P167" s="5"/>
    </row>
    <row r="168" spans="1:16" s="9" customFormat="1" ht="1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M168" s="4"/>
      <c r="N168" s="4"/>
      <c r="O168" s="5"/>
      <c r="P168" s="5"/>
    </row>
    <row r="169" spans="1:16" s="9" customFormat="1" ht="1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M169" s="4"/>
      <c r="N169" s="4"/>
      <c r="O169" s="5"/>
      <c r="P169" s="5"/>
    </row>
    <row r="170" spans="1:16" s="9" customFormat="1" ht="1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M170" s="4"/>
      <c r="N170" s="4"/>
      <c r="O170" s="5"/>
      <c r="P170" s="5"/>
    </row>
    <row r="171" spans="1:16" s="9" customFormat="1" ht="1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M171" s="4"/>
      <c r="N171" s="4"/>
      <c r="O171" s="5"/>
      <c r="P171" s="5"/>
    </row>
    <row r="172" spans="1:16" s="9" customFormat="1" ht="1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M172" s="4"/>
      <c r="N172" s="4"/>
      <c r="O172" s="5"/>
      <c r="P172" s="5"/>
    </row>
    <row r="173" spans="1:16" s="9" customFormat="1" ht="1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M173" s="4"/>
      <c r="N173" s="4"/>
      <c r="O173" s="5"/>
      <c r="P173" s="5"/>
    </row>
    <row r="174" spans="1:16" s="9" customFormat="1" ht="1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M174" s="4"/>
      <c r="N174" s="4"/>
      <c r="O174" s="5"/>
      <c r="P174" s="5"/>
    </row>
    <row r="175" spans="1:16" s="9" customFormat="1" ht="1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M175" s="4"/>
      <c r="N175" s="4"/>
      <c r="O175" s="5"/>
      <c r="P175" s="5"/>
    </row>
    <row r="176" spans="1:16" s="9" customFormat="1" ht="1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M176" s="4"/>
      <c r="N176" s="4"/>
      <c r="O176" s="5"/>
      <c r="P176" s="5"/>
    </row>
    <row r="177" spans="1:16" s="9" customFormat="1" ht="1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M177" s="4"/>
      <c r="N177" s="4"/>
      <c r="O177" s="5"/>
      <c r="P177" s="5"/>
    </row>
    <row r="178" spans="1:16" s="9" customFormat="1" ht="1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M178" s="4"/>
      <c r="N178" s="4"/>
      <c r="O178" s="5"/>
      <c r="P178" s="5"/>
    </row>
    <row r="179" spans="1:16" s="9" customFormat="1" ht="1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M179" s="4"/>
      <c r="N179" s="4"/>
      <c r="O179" s="5"/>
      <c r="P179" s="5"/>
    </row>
    <row r="180" spans="1:16" s="9" customFormat="1" ht="1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M180" s="4"/>
      <c r="N180" s="4"/>
      <c r="O180" s="5"/>
      <c r="P180" s="5"/>
    </row>
    <row r="181" spans="1:16" s="9" customFormat="1" ht="1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M181" s="4"/>
      <c r="N181" s="4"/>
      <c r="O181" s="5"/>
      <c r="P181" s="5"/>
    </row>
    <row r="182" spans="1:16" s="9" customFormat="1" ht="1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M182" s="4"/>
      <c r="N182" s="4"/>
      <c r="O182" s="5"/>
      <c r="P182" s="5"/>
    </row>
    <row r="183" spans="1:16" s="9" customFormat="1" ht="1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M183" s="4"/>
      <c r="N183" s="4"/>
      <c r="O183" s="5"/>
      <c r="P183" s="5"/>
    </row>
    <row r="184" spans="1:16" s="9" customFormat="1" ht="1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M184" s="4"/>
      <c r="N184" s="4"/>
      <c r="O184" s="5"/>
      <c r="P184" s="5"/>
    </row>
    <row r="185" spans="1:16" s="9" customFormat="1" ht="1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M185" s="4"/>
      <c r="N185" s="4"/>
      <c r="O185" s="5"/>
      <c r="P185" s="5"/>
    </row>
    <row r="186" spans="1:16" s="9" customFormat="1" ht="1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M186" s="4"/>
      <c r="N186" s="4"/>
      <c r="O186" s="5"/>
      <c r="P186" s="5"/>
    </row>
    <row r="187" spans="1:16" s="9" customFormat="1" ht="1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M187" s="4"/>
      <c r="N187" s="4"/>
      <c r="O187" s="5"/>
      <c r="P187" s="5"/>
    </row>
    <row r="188" spans="1:16" s="9" customFormat="1" ht="1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M188" s="4"/>
      <c r="N188" s="4"/>
      <c r="O188" s="5"/>
      <c r="P188" s="5"/>
    </row>
    <row r="189" spans="1:16" s="9" customFormat="1" ht="1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M189" s="4"/>
      <c r="N189" s="4"/>
      <c r="O189" s="5"/>
      <c r="P189" s="5"/>
    </row>
    <row r="190" spans="1:16" s="9" customFormat="1" ht="1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M190" s="4"/>
      <c r="N190" s="4"/>
      <c r="O190" s="5"/>
      <c r="P190" s="5"/>
    </row>
    <row r="191" spans="1:16" s="9" customFormat="1" ht="1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M191" s="4"/>
      <c r="N191" s="4"/>
      <c r="O191" s="5"/>
      <c r="P191" s="5"/>
    </row>
    <row r="192" spans="1:16" s="9" customFormat="1" ht="1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M192" s="4"/>
      <c r="N192" s="4"/>
      <c r="O192" s="5"/>
      <c r="P192" s="5"/>
    </row>
    <row r="193" spans="1:16" s="9" customFormat="1" ht="1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M193" s="4"/>
      <c r="N193" s="4"/>
      <c r="O193" s="5"/>
      <c r="P193" s="5"/>
    </row>
    <row r="194" spans="1:16" s="9" customFormat="1" ht="1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M194" s="4"/>
      <c r="N194" s="4"/>
      <c r="O194" s="5"/>
      <c r="P194" s="5"/>
    </row>
    <row r="195" spans="1:16" s="9" customFormat="1" ht="1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M195" s="4"/>
      <c r="N195" s="4"/>
      <c r="O195" s="5"/>
      <c r="P195" s="5"/>
    </row>
    <row r="196" spans="1:16" s="9" customFormat="1" ht="1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M196" s="4"/>
      <c r="N196" s="4"/>
      <c r="O196" s="5"/>
      <c r="P196" s="5"/>
    </row>
    <row r="197" spans="1:16" s="9" customFormat="1" ht="1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M197" s="4"/>
      <c r="N197" s="4"/>
      <c r="O197" s="5"/>
      <c r="P197" s="5"/>
    </row>
    <row r="198" spans="1:16" s="9" customFormat="1" ht="1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M198" s="4"/>
      <c r="N198" s="4"/>
      <c r="O198" s="5"/>
      <c r="P198" s="5"/>
    </row>
    <row r="199" spans="1:16" s="9" customFormat="1" ht="1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M199" s="4"/>
      <c r="N199" s="4"/>
      <c r="O199" s="5"/>
      <c r="P199" s="5"/>
    </row>
    <row r="200" spans="1:16" s="9" customFormat="1" ht="1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M200" s="4"/>
      <c r="N200" s="4"/>
      <c r="O200" s="5"/>
      <c r="P200" s="5"/>
    </row>
    <row r="201" spans="1:16" s="9" customFormat="1" ht="1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M201" s="4"/>
      <c r="N201" s="4"/>
      <c r="O201" s="5"/>
      <c r="P201" s="5"/>
    </row>
    <row r="202" spans="1:16" s="9" customFormat="1" ht="1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M202" s="4"/>
      <c r="N202" s="4"/>
      <c r="O202" s="5"/>
      <c r="P202" s="5"/>
    </row>
    <row r="203" spans="1:16" s="9" customFormat="1" ht="1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M203" s="4"/>
      <c r="N203" s="4"/>
      <c r="O203" s="5"/>
      <c r="P203" s="5"/>
    </row>
    <row r="204" spans="1:16" s="9" customFormat="1" ht="1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M204" s="4"/>
      <c r="N204" s="4"/>
      <c r="O204" s="5"/>
      <c r="P204" s="5"/>
    </row>
    <row r="205" spans="1:16" s="9" customFormat="1" ht="1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4"/>
      <c r="N205" s="4"/>
      <c r="O205" s="5"/>
      <c r="P205" s="5"/>
    </row>
    <row r="206" spans="1:16" s="9" customFormat="1" ht="1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M206" s="4"/>
      <c r="N206" s="4"/>
      <c r="O206" s="5"/>
      <c r="P206" s="5"/>
    </row>
    <row r="207" spans="1:16" s="9" customFormat="1" ht="1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M207" s="4"/>
      <c r="N207" s="4"/>
      <c r="O207" s="5"/>
      <c r="P207" s="5"/>
    </row>
    <row r="208" spans="1:16" s="9" customFormat="1" ht="1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M208" s="4"/>
      <c r="N208" s="4"/>
      <c r="O208" s="5"/>
      <c r="P208" s="5"/>
    </row>
    <row r="209" spans="1:16" s="9" customFormat="1" ht="1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M209" s="4"/>
      <c r="N209" s="4"/>
      <c r="O209" s="5"/>
      <c r="P209" s="5"/>
    </row>
    <row r="210" spans="1:16" s="9" customFormat="1" ht="1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M210" s="4"/>
      <c r="N210" s="4"/>
      <c r="O210" s="5"/>
      <c r="P210" s="5"/>
    </row>
    <row r="211" spans="1:16" s="9" customFormat="1" ht="1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M211" s="4"/>
      <c r="N211" s="4"/>
      <c r="O211" s="5"/>
      <c r="P211" s="5"/>
    </row>
    <row r="212" spans="1:16" s="9" customFormat="1" ht="1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M212" s="4"/>
      <c r="N212" s="4"/>
      <c r="O212" s="5"/>
      <c r="P212" s="5"/>
    </row>
    <row r="213" spans="1:16" s="9" customFormat="1" ht="1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M213" s="4"/>
      <c r="N213" s="4"/>
      <c r="O213" s="5"/>
      <c r="P213" s="5"/>
    </row>
    <row r="214" spans="1:16" s="9" customFormat="1" ht="1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M214" s="4"/>
      <c r="N214" s="4"/>
      <c r="O214" s="5"/>
      <c r="P214" s="5"/>
    </row>
    <row r="215" spans="1:16" s="9" customFormat="1" ht="1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M215" s="4"/>
      <c r="N215" s="4"/>
      <c r="O215" s="5"/>
      <c r="P215" s="5"/>
    </row>
    <row r="216" spans="1:16" s="9" customFormat="1" ht="1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M216" s="4"/>
      <c r="N216" s="4"/>
      <c r="O216" s="5"/>
      <c r="P216" s="5"/>
    </row>
    <row r="217" spans="1:16" s="9" customFormat="1" ht="1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M217" s="4"/>
      <c r="N217" s="4"/>
      <c r="O217" s="5"/>
      <c r="P217" s="5"/>
    </row>
    <row r="218" spans="1:16" s="9" customFormat="1" ht="1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M218" s="4"/>
      <c r="N218" s="4"/>
      <c r="O218" s="5"/>
      <c r="P218" s="5"/>
    </row>
    <row r="219" spans="1:16" s="9" customFormat="1" ht="1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M219" s="4"/>
      <c r="N219" s="4"/>
      <c r="O219" s="5"/>
      <c r="P219" s="5"/>
    </row>
    <row r="220" spans="1:16" s="9" customFormat="1" ht="1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M220" s="4"/>
      <c r="N220" s="4"/>
      <c r="O220" s="5"/>
      <c r="P220" s="5"/>
    </row>
    <row r="221" spans="1:16" s="9" customFormat="1" ht="1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M221" s="4"/>
      <c r="N221" s="4"/>
      <c r="O221" s="5"/>
      <c r="P221" s="5"/>
    </row>
    <row r="222" spans="1:16" s="9" customFormat="1" ht="1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M222" s="4"/>
      <c r="N222" s="4"/>
      <c r="O222" s="5"/>
      <c r="P222" s="5"/>
    </row>
    <row r="223" spans="1:16" s="9" customFormat="1" ht="1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M223" s="4"/>
      <c r="N223" s="4"/>
      <c r="O223" s="5"/>
      <c r="P223" s="5"/>
    </row>
    <row r="224" spans="1:16" s="9" customFormat="1" ht="1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M224" s="4"/>
      <c r="N224" s="4"/>
      <c r="O224" s="5"/>
      <c r="P224" s="5"/>
    </row>
    <row r="225" spans="1:16" s="9" customFormat="1" ht="1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M225" s="4"/>
      <c r="N225" s="4"/>
      <c r="O225" s="5"/>
      <c r="P225" s="5"/>
    </row>
    <row r="226" spans="1:16" s="9" customFormat="1" ht="1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M226" s="4"/>
      <c r="N226" s="4"/>
      <c r="O226" s="5"/>
      <c r="P226" s="5"/>
    </row>
    <row r="227" spans="1:16" s="9" customFormat="1" ht="1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M227" s="4"/>
      <c r="N227" s="4"/>
      <c r="O227" s="5"/>
      <c r="P227" s="5"/>
    </row>
    <row r="228" spans="1:16" s="9" customFormat="1" ht="1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M228" s="4"/>
      <c r="N228" s="4"/>
      <c r="O228" s="5"/>
      <c r="P228" s="5"/>
    </row>
    <row r="229" spans="1:16" s="9" customFormat="1" ht="1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M229" s="4"/>
      <c r="N229" s="4"/>
      <c r="O229" s="5"/>
      <c r="P229" s="5"/>
    </row>
    <row r="230" spans="1:16" s="9" customFormat="1" ht="1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M230" s="4"/>
      <c r="N230" s="4"/>
      <c r="O230" s="5"/>
      <c r="P230" s="5"/>
    </row>
    <row r="231" spans="1:16" s="9" customFormat="1" ht="1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M231" s="4"/>
      <c r="N231" s="4"/>
      <c r="O231" s="5"/>
      <c r="P231" s="5"/>
    </row>
    <row r="232" spans="1:16" s="9" customFormat="1" ht="1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M232" s="4"/>
      <c r="N232" s="4"/>
      <c r="O232" s="5"/>
      <c r="P232" s="5"/>
    </row>
    <row r="233" spans="1:16" s="9" customFormat="1" ht="1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M233" s="4"/>
      <c r="N233" s="4"/>
      <c r="O233" s="5"/>
      <c r="P233" s="5"/>
    </row>
    <row r="234" spans="1:16" s="9" customFormat="1" ht="1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M234" s="4"/>
      <c r="N234" s="4"/>
      <c r="O234" s="5"/>
      <c r="P234" s="5"/>
    </row>
    <row r="235" spans="1:16" s="9" customForma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M235" s="4"/>
      <c r="N235" s="4"/>
      <c r="O235" s="5"/>
      <c r="P235" s="5"/>
    </row>
    <row r="236" spans="1:16" s="9" customForma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M236" s="4"/>
      <c r="N236" s="4"/>
      <c r="O236" s="5"/>
      <c r="P236" s="5"/>
    </row>
    <row r="237" spans="1:16" s="9" customForma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M237" s="4"/>
      <c r="N237" s="4"/>
      <c r="O237" s="5"/>
      <c r="P237" s="5"/>
    </row>
    <row r="238" spans="1:16" s="9" customForma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M238" s="4"/>
      <c r="N238" s="4"/>
      <c r="O238" s="5"/>
      <c r="P238" s="5"/>
    </row>
    <row r="239" spans="1:16" s="9" customForma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M239" s="4"/>
      <c r="N239" s="4"/>
      <c r="O239" s="5"/>
      <c r="P239" s="5"/>
    </row>
    <row r="240" spans="1:16" s="9" customForma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M240" s="4"/>
      <c r="N240" s="4"/>
      <c r="O240" s="5"/>
      <c r="P240" s="5"/>
    </row>
    <row r="241" spans="1:16" s="9" customForma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M241" s="4"/>
      <c r="N241" s="4"/>
      <c r="O241" s="5"/>
      <c r="P241" s="5"/>
    </row>
    <row r="242" spans="1:16" s="9" customForma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M242" s="4"/>
      <c r="N242" s="4"/>
      <c r="O242" s="5"/>
      <c r="P242" s="5"/>
    </row>
    <row r="243" spans="1:16" s="9" customForma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M243" s="4"/>
      <c r="N243" s="4"/>
      <c r="O243" s="5"/>
      <c r="P243" s="5"/>
    </row>
    <row r="244" spans="1:16" s="9" customForma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M244" s="4"/>
      <c r="N244" s="4"/>
      <c r="O244" s="5"/>
      <c r="P244" s="5"/>
    </row>
    <row r="245" spans="1:16" s="9" customForma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M245" s="4"/>
      <c r="N245" s="4"/>
      <c r="O245" s="5"/>
      <c r="P245" s="5"/>
    </row>
    <row r="246" spans="1:16" s="9" customForma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M246" s="4"/>
      <c r="N246" s="4"/>
      <c r="O246" s="5"/>
      <c r="P246" s="5"/>
    </row>
    <row r="247" spans="1:16" s="9" customForma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M247" s="4"/>
      <c r="N247" s="4"/>
      <c r="O247" s="5"/>
      <c r="P247" s="5"/>
    </row>
    <row r="248" spans="1:16" s="9" customForma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M248" s="4"/>
      <c r="N248" s="4"/>
      <c r="O248" s="5"/>
      <c r="P248" s="5"/>
    </row>
    <row r="249" spans="1:16" s="9" customForma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M249" s="4"/>
      <c r="N249" s="4"/>
      <c r="O249" s="5"/>
      <c r="P249" s="5"/>
    </row>
    <row r="250" spans="1:16" s="9" customForma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M250" s="4"/>
      <c r="N250" s="4"/>
      <c r="O250" s="5"/>
      <c r="P250" s="5"/>
    </row>
    <row r="251" spans="1:16" s="9" customForma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M251" s="4"/>
      <c r="N251" s="4"/>
      <c r="O251" s="5"/>
      <c r="P251" s="5"/>
    </row>
    <row r="252" spans="1:16" s="9" customForma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M252" s="4"/>
      <c r="N252" s="4"/>
      <c r="O252" s="5"/>
      <c r="P252" s="5"/>
    </row>
    <row r="253" spans="1:16" s="9" customForma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M253" s="4"/>
      <c r="N253" s="4"/>
      <c r="O253" s="5"/>
      <c r="P253" s="5"/>
    </row>
    <row r="254" spans="1:16" s="9" customForma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M254" s="4"/>
      <c r="N254" s="4"/>
      <c r="O254" s="5"/>
      <c r="P254" s="5"/>
    </row>
    <row r="255" spans="1:16" s="9" customForma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M255" s="4"/>
      <c r="N255" s="4"/>
      <c r="O255" s="5"/>
      <c r="P255" s="5"/>
    </row>
    <row r="256" spans="1:16" s="9" customForma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M256" s="4"/>
      <c r="N256" s="4"/>
      <c r="O256" s="5"/>
      <c r="P256" s="5"/>
    </row>
    <row r="257" spans="1:16" s="9" customForma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M257" s="4"/>
      <c r="N257" s="4"/>
      <c r="O257" s="5"/>
      <c r="P257" s="5"/>
    </row>
    <row r="258" spans="1:16" s="9" customForma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M258" s="4"/>
      <c r="N258" s="4"/>
      <c r="O258" s="5"/>
      <c r="P258" s="5"/>
    </row>
    <row r="259" spans="1:16" s="9" customForma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M259" s="4"/>
      <c r="N259" s="4"/>
      <c r="O259" s="5"/>
      <c r="P259" s="5"/>
    </row>
    <row r="260" spans="1:16" s="9" customForma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M260" s="4"/>
      <c r="N260" s="4"/>
      <c r="O260" s="5"/>
      <c r="P260" s="5"/>
    </row>
    <row r="261" spans="1:16" s="9" customForma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M261" s="4"/>
      <c r="N261" s="4"/>
      <c r="O261" s="5"/>
      <c r="P261" s="5"/>
    </row>
    <row r="262" spans="1:16" s="9" customForma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M262" s="4"/>
      <c r="N262" s="4"/>
      <c r="O262" s="5"/>
      <c r="P262" s="5"/>
    </row>
    <row r="263" spans="1:16" s="9" customForma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M263" s="4"/>
      <c r="N263" s="4"/>
      <c r="O263" s="5"/>
      <c r="P263" s="5"/>
    </row>
    <row r="264" spans="1:16" s="9" customForma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M264" s="4"/>
      <c r="N264" s="4"/>
      <c r="O264" s="5"/>
      <c r="P264" s="5"/>
    </row>
    <row r="265" spans="1:16" s="9" customForma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M265" s="4"/>
      <c r="N265" s="4"/>
      <c r="O265" s="5"/>
      <c r="P265" s="5"/>
    </row>
    <row r="266" spans="1:16" s="9" customForma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M266" s="4"/>
      <c r="N266" s="4"/>
      <c r="O266" s="5"/>
      <c r="P266" s="5"/>
    </row>
    <row r="267" spans="1:16" s="9" customForma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M267" s="4"/>
      <c r="N267" s="4"/>
      <c r="O267" s="5"/>
      <c r="P267" s="5"/>
    </row>
    <row r="268" spans="1:16" s="9" customForma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M268" s="4"/>
      <c r="N268" s="4"/>
      <c r="O268" s="5"/>
      <c r="P268" s="5"/>
    </row>
    <row r="269" spans="1:16" s="9" customForma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M269" s="4"/>
      <c r="N269" s="4"/>
      <c r="O269" s="5"/>
      <c r="P269" s="5"/>
    </row>
    <row r="270" spans="1:16" s="9" customForma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M270" s="4"/>
      <c r="N270" s="4"/>
      <c r="O270" s="5"/>
      <c r="P270" s="5"/>
    </row>
    <row r="271" spans="1:16" s="9" customFormat="1" x14ac:dyDescent="0.25">
      <c r="A271" s="10"/>
      <c r="B271" s="10"/>
      <c r="D271" s="10"/>
      <c r="F271" s="10"/>
      <c r="G271" s="10"/>
      <c r="H271" s="10"/>
      <c r="I271" s="10"/>
      <c r="J271" s="10"/>
      <c r="K271" s="10"/>
      <c r="M271" s="4"/>
      <c r="N271" s="4"/>
      <c r="O271" s="5"/>
      <c r="P271" s="5"/>
    </row>
    <row r="272" spans="1:16" s="9" customFormat="1" x14ac:dyDescent="0.25">
      <c r="A272" s="10"/>
      <c r="B272" s="10"/>
      <c r="D272" s="10"/>
      <c r="F272" s="10"/>
      <c r="G272" s="10"/>
      <c r="H272" s="10"/>
      <c r="I272" s="10"/>
      <c r="J272" s="10"/>
      <c r="K272" s="10"/>
      <c r="M272" s="4"/>
      <c r="N272" s="4"/>
      <c r="O272" s="5"/>
      <c r="P272" s="5"/>
    </row>
    <row r="273" spans="1:16" s="9" customFormat="1" x14ac:dyDescent="0.25">
      <c r="A273" s="10"/>
      <c r="B273" s="10"/>
      <c r="D273" s="10"/>
      <c r="F273" s="10"/>
      <c r="G273" s="10"/>
      <c r="H273" s="10"/>
      <c r="I273" s="10"/>
      <c r="J273" s="10"/>
      <c r="K273" s="10"/>
      <c r="M273" s="4"/>
      <c r="N273" s="4"/>
      <c r="O273" s="5"/>
      <c r="P273" s="5"/>
    </row>
    <row r="274" spans="1:16" s="9" customFormat="1" x14ac:dyDescent="0.25">
      <c r="A274" s="10"/>
      <c r="D274" s="10"/>
      <c r="F274" s="10"/>
      <c r="G274" s="10"/>
      <c r="H274" s="10"/>
      <c r="I274" s="10"/>
      <c r="J274" s="10"/>
      <c r="K274" s="10"/>
      <c r="M274" s="4"/>
      <c r="N274" s="4"/>
      <c r="O274" s="5"/>
      <c r="P274" s="5"/>
    </row>
    <row r="275" spans="1:16" s="9" customFormat="1" x14ac:dyDescent="0.25">
      <c r="A275" s="10"/>
      <c r="F275" s="10"/>
      <c r="G275" s="10"/>
      <c r="H275" s="10"/>
      <c r="I275" s="10"/>
      <c r="J275" s="10"/>
      <c r="K275" s="10"/>
      <c r="M275" s="4"/>
      <c r="N275" s="4"/>
      <c r="O275" s="5"/>
      <c r="P275" s="5"/>
    </row>
    <row r="276" spans="1:16" s="9" customFormat="1" x14ac:dyDescent="0.25">
      <c r="A276" s="10"/>
      <c r="F276" s="10"/>
      <c r="G276" s="10"/>
      <c r="H276" s="10"/>
      <c r="I276" s="10"/>
      <c r="J276" s="10"/>
      <c r="K276" s="10"/>
      <c r="M276" s="4"/>
      <c r="N276" s="4"/>
      <c r="O276" s="5"/>
      <c r="P276" s="5"/>
    </row>
    <row r="277" spans="1:16" s="9" customFormat="1" x14ac:dyDescent="0.25">
      <c r="A277" s="10"/>
      <c r="F277" s="10"/>
      <c r="G277" s="10"/>
      <c r="H277" s="10"/>
      <c r="I277" s="10"/>
      <c r="J277" s="10"/>
      <c r="K277" s="10"/>
      <c r="M277" s="4"/>
      <c r="N277" s="4"/>
      <c r="O277" s="5"/>
      <c r="P277" s="5"/>
    </row>
    <row r="278" spans="1:16" s="9" customFormat="1" x14ac:dyDescent="0.25">
      <c r="A278" s="10"/>
      <c r="F278" s="10"/>
      <c r="G278" s="10"/>
      <c r="H278" s="10"/>
      <c r="I278" s="10"/>
      <c r="J278" s="10"/>
      <c r="K278" s="10"/>
      <c r="M278" s="4"/>
      <c r="N278" s="4"/>
      <c r="O278" s="5"/>
      <c r="P278" s="5"/>
    </row>
    <row r="279" spans="1:16" s="9" customFormat="1" x14ac:dyDescent="0.25">
      <c r="A279" s="10"/>
      <c r="F279" s="10"/>
      <c r="G279" s="10"/>
      <c r="H279" s="10"/>
      <c r="I279" s="10"/>
      <c r="J279" s="10"/>
      <c r="K279" s="10"/>
      <c r="M279" s="4"/>
      <c r="N279" s="4"/>
      <c r="O279" s="5"/>
      <c r="P279" s="5"/>
    </row>
    <row r="280" spans="1:16" s="9" customFormat="1" x14ac:dyDescent="0.25">
      <c r="A280" s="10"/>
      <c r="F280" s="10"/>
      <c r="G280" s="10"/>
      <c r="H280" s="10"/>
      <c r="I280" s="10"/>
      <c r="J280" s="10"/>
      <c r="K280" s="10"/>
      <c r="M280" s="4"/>
      <c r="N280" s="4"/>
      <c r="O280" s="5"/>
      <c r="P280" s="5"/>
    </row>
    <row r="281" spans="1:16" s="9" customFormat="1" x14ac:dyDescent="0.25">
      <c r="A281" s="10"/>
      <c r="F281" s="10"/>
      <c r="G281" s="10"/>
      <c r="H281" s="10"/>
      <c r="I281" s="10"/>
      <c r="J281" s="10"/>
      <c r="K281" s="10"/>
      <c r="M281" s="4"/>
      <c r="N281" s="4"/>
      <c r="O281" s="5"/>
      <c r="P281" s="5"/>
    </row>
    <row r="282" spans="1:16" s="9" customFormat="1" x14ac:dyDescent="0.25">
      <c r="A282" s="10"/>
      <c r="F282" s="10"/>
      <c r="G282" s="10"/>
      <c r="H282" s="10"/>
      <c r="I282" s="10"/>
      <c r="J282" s="10"/>
      <c r="K282" s="10"/>
      <c r="M282" s="4"/>
      <c r="N282" s="4"/>
      <c r="O282" s="5"/>
      <c r="P282" s="5"/>
    </row>
    <row r="283" spans="1:16" s="9" customFormat="1" x14ac:dyDescent="0.25">
      <c r="F283" s="10"/>
      <c r="G283" s="10"/>
      <c r="H283" s="10"/>
      <c r="I283" s="10"/>
      <c r="J283" s="10"/>
      <c r="K283" s="10"/>
      <c r="M283" s="4"/>
      <c r="N283" s="4"/>
      <c r="O283" s="5"/>
      <c r="P283" s="5"/>
    </row>
    <row r="284" spans="1:16" s="9" customFormat="1" x14ac:dyDescent="0.25">
      <c r="G284" s="10"/>
      <c r="H284" s="10"/>
      <c r="I284" s="10"/>
      <c r="J284" s="10"/>
      <c r="K284" s="10"/>
      <c r="M284" s="4"/>
      <c r="N284" s="4"/>
      <c r="O284" s="5"/>
      <c r="P284" s="5"/>
    </row>
    <row r="20069" spans="10:16" s="9" customFormat="1" x14ac:dyDescent="0.25">
      <c r="J20069" s="9">
        <v>0</v>
      </c>
      <c r="M20069" s="4"/>
      <c r="N20069" s="4"/>
      <c r="O20069" s="5"/>
      <c r="P20069" s="5"/>
    </row>
  </sheetData>
  <sheetProtection formatColumns="0"/>
  <customSheetViews>
    <customSheetView guid="{06317133-151B-4DBC-8EB3-9345BA061F91}" scale="60" showPageBreaks="1" fitToPage="1" printArea="1">
      <pane ySplit="6" topLeftCell="A61" activePane="bottomLeft" state="frozen"/>
      <selection pane="bottomLeft" activeCell="A7" sqref="A7:XFD7"/>
      <pageMargins left="0.11811023622047245" right="0" top="0.11811023622047245" bottom="0.11811023622047245" header="0" footer="0"/>
      <printOptions horizontalCentered="1"/>
      <pageSetup paperSize="9" scale="54" orientation="portrait" r:id="rId1"/>
      <headerFooter>
        <oddFooter>&amp;L&amp;A&amp;Rлист &amp;P    листов &amp;N</oddFooter>
      </headerFooter>
    </customSheetView>
    <customSheetView guid="{375BA386-B398-4A0E-AF86-4319F1FDDF11}" scale="90" showPageBreaks="1" fitToPage="1" printArea="1">
      <pane ySplit="6" topLeftCell="A67" activePane="bottomLeft" state="frozen"/>
      <selection pane="bottomLeft" activeCell="B65" sqref="B65"/>
      <pageMargins left="0.11811023622047245" right="0" top="0.11811023622047245" bottom="0.11811023622047245" header="0" footer="0"/>
      <printOptions horizontalCentered="1"/>
      <pageSetup paperSize="9" scale="54" orientation="portrait" r:id="rId2"/>
      <headerFooter>
        <oddFooter>&amp;L&amp;A&amp;Rлист &amp;P    листов &amp;N</oddFooter>
      </headerFooter>
    </customSheetView>
    <customSheetView guid="{45C31AC1-6FB2-488C-94EA-BCF9E79D0043}" scale="90" showPageBreaks="1" fitToPage="1" printArea="1">
      <pane ySplit="6" topLeftCell="A76" activePane="bottomLeft" state="frozen"/>
      <selection pane="bottomLeft" activeCell="B80" sqref="B80"/>
      <pageMargins left="0.11811023622047245" right="0" top="0.11811023622047245" bottom="0.11811023622047245" header="0" footer="0"/>
      <printOptions horizontalCentered="1"/>
      <pageSetup paperSize="9" scale="53" orientation="portrait" r:id="rId3"/>
      <headerFooter>
        <oddFooter>&amp;L&amp;A&amp;Rлист &amp;P    листов &amp;N</oddFooter>
      </headerFooter>
    </customSheetView>
    <customSheetView guid="{368B64E8-7AD6-4BC7-A731-9903B52ABB0C}" scale="80" fitToPage="1">
      <pane ySplit="6" topLeftCell="A76" activePane="bottomLeft" state="frozen"/>
      <selection pane="bottomLeft" activeCell="J63" sqref="J63"/>
      <pageMargins left="0.11811023622047245" right="0" top="0.11811023622047245" bottom="0.11811023622047245" header="0" footer="0"/>
      <printOptions horizontalCentered="1"/>
      <pageSetup paperSize="9" scale="52" orientation="portrait" r:id="rId4"/>
      <headerFooter>
        <oddFooter>&amp;L&amp;A&amp;Rлист &amp;P    листов &amp;N</oddFooter>
      </headerFooter>
    </customSheetView>
    <customSheetView guid="{845EA106-2CB5-4F86-BBCF-D0DE18153B1C}" scale="90" showPageBreaks="1" fitToPage="1" printArea="1">
      <pane ySplit="6" topLeftCell="A70" activePane="bottomLeft" state="frozen"/>
      <selection pane="bottomLeft" activeCell="B99" sqref="B99"/>
      <pageMargins left="0.11811023622047245" right="0" top="0.11811023622047245" bottom="0.11811023622047245" header="0" footer="0"/>
      <printOptions horizontalCentered="1"/>
      <pageSetup paperSize="9" scale="54" orientation="portrait" r:id="rId5"/>
      <headerFooter>
        <oddFooter>&amp;L&amp;A&amp;Rлист &amp;P    листов &amp;N</oddFooter>
      </headerFooter>
    </customSheetView>
    <customSheetView guid="{C29DA669-F4F9-44CD-9569-E796ADF74A86}" scale="78" showPageBreaks="1" fitToPage="1" printArea="1">
      <pane ySplit="6" topLeftCell="A10" activePane="bottomLeft" state="frozen"/>
      <selection pane="bottomLeft" activeCell="C92" sqref="C92"/>
      <pageMargins left="0.11811023622047245" right="0" top="0.11811023622047245" bottom="0.11811023622047245" header="0" footer="0"/>
      <printOptions horizontalCentered="1"/>
      <pageSetup paperSize="9" scale="54" orientation="portrait" r:id="rId6"/>
      <headerFooter>
        <oddFooter>&amp;L&amp;A&amp;Rлист &amp;P    листов &amp;N</oddFooter>
      </headerFooter>
    </customSheetView>
    <customSheetView guid="{A1BD6C0C-B1B9-4F48-A6B1-3BFD273F4CD7}" scale="90" showPageBreaks="1" fitToPage="1" printArea="1">
      <pane ySplit="6" topLeftCell="A76" activePane="bottomLeft" state="frozen"/>
      <selection pane="bottomLeft" activeCell="B80" sqref="B80"/>
      <pageMargins left="0.11811023622047245" right="0" top="0.11811023622047245" bottom="0.11811023622047245" header="0" footer="0"/>
      <printOptions horizontalCentered="1"/>
      <pageSetup paperSize="9" scale="54" orientation="portrait" r:id="rId7"/>
      <headerFooter>
        <oddFooter>&amp;L&amp;A&amp;Rлист &amp;P    листов &amp;N</oddFooter>
      </headerFooter>
    </customSheetView>
    <customSheetView guid="{D42288F7-1871-4EF6-BC87-1B9EF747C744}" scale="60" fitToPage="1">
      <pane ySplit="6" topLeftCell="A61" activePane="bottomLeft" state="frozen"/>
      <selection pane="bottomLeft" activeCell="A7" sqref="A7:XFD7"/>
      <pageMargins left="0.11811023622047245" right="0" top="0.11811023622047245" bottom="0.11811023622047245" header="0" footer="0"/>
      <printOptions horizontalCentered="1"/>
      <pageSetup paperSize="9" scale="54" orientation="portrait" r:id="rId8"/>
      <headerFooter>
        <oddFooter>&amp;L&amp;A&amp;Rлист &amp;P    листов &amp;N</oddFooter>
      </headerFooter>
    </customSheetView>
    <customSheetView guid="{8C638750-2D78-446E-B8DA-A6202AF1ED31}" scale="80" showPageBreaks="1" fitToPage="1" printArea="1">
      <pane ySplit="6" topLeftCell="A61" activePane="bottomLeft" state="frozen"/>
      <selection pane="bottomLeft" activeCell="J45" sqref="J45"/>
      <pageMargins left="0.11811023622047245" right="0" top="0.11811023622047245" bottom="0.11811023622047245" header="0" footer="0"/>
      <printOptions horizontalCentered="1"/>
      <pageSetup paperSize="9" scale="52" orientation="portrait" r:id="rId9"/>
      <headerFooter>
        <oddFooter>&amp;L&amp;A&amp;Rлист &amp;P    листов &amp;N</oddFooter>
      </headerFooter>
    </customSheetView>
  </customSheetViews>
  <mergeCells count="24">
    <mergeCell ref="A1:B1"/>
    <mergeCell ref="I1:K1"/>
    <mergeCell ref="A2:B2"/>
    <mergeCell ref="I2:K2"/>
    <mergeCell ref="A3:B3"/>
    <mergeCell ref="C3:E3"/>
    <mergeCell ref="I3:K3"/>
    <mergeCell ref="A5:A6"/>
    <mergeCell ref="B5:B6"/>
    <mergeCell ref="C5:C6"/>
    <mergeCell ref="D5:D6"/>
    <mergeCell ref="E5:E6"/>
    <mergeCell ref="L5:L6"/>
    <mergeCell ref="M5:M6"/>
    <mergeCell ref="N5:N6"/>
    <mergeCell ref="B95:D95"/>
    <mergeCell ref="F95:K95"/>
    <mergeCell ref="F5:F6"/>
    <mergeCell ref="B96:D96"/>
    <mergeCell ref="F96:K96"/>
    <mergeCell ref="B97:D97"/>
    <mergeCell ref="F97:K97"/>
    <mergeCell ref="G5:J5"/>
    <mergeCell ref="K5:K6"/>
  </mergeCells>
  <printOptions horizontalCentered="1"/>
  <pageMargins left="0.11811023622047245" right="0" top="0.11811023622047245" bottom="0.11811023622047245" header="0" footer="0"/>
  <pageSetup paperSize="9" scale="54" orientation="portrait" r:id="rId10"/>
  <headerFooter>
    <oddFooter>&amp;L&amp;A&amp;Rлист &amp;P    листов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62"/>
  <sheetViews>
    <sheetView zoomScale="80" zoomScaleNormal="90" zoomScaleSheetLayoutView="90" workbookViewId="0">
      <pane ySplit="7" topLeftCell="A29" activePane="bottomLeft" state="frozen"/>
      <selection pane="bottomLeft" activeCell="C34" sqref="C34"/>
    </sheetView>
  </sheetViews>
  <sheetFormatPr defaultColWidth="8.85546875" defaultRowHeight="12.75" x14ac:dyDescent="0.2"/>
  <cols>
    <col min="1" max="1" width="7.28515625" style="432" customWidth="1"/>
    <col min="2" max="2" width="27.85546875" style="432" customWidth="1"/>
    <col min="3" max="3" width="53.28515625" style="432" customWidth="1"/>
    <col min="4" max="4" width="7" style="279" customWidth="1"/>
    <col min="5" max="5" width="14" style="432" customWidth="1"/>
    <col min="6" max="6" width="15.7109375" style="432" customWidth="1"/>
    <col min="7" max="11" width="7.7109375" style="432" customWidth="1"/>
    <col min="12" max="12" width="16.7109375" style="432" customWidth="1"/>
    <col min="13" max="13" width="14.7109375" style="432" customWidth="1"/>
    <col min="14" max="14" width="14.140625" style="432" customWidth="1"/>
    <col min="15" max="15" width="23.5703125" style="282" customWidth="1"/>
    <col min="16" max="17" width="9.140625" style="282" customWidth="1"/>
    <col min="18" max="16384" width="8.85546875" style="432"/>
  </cols>
  <sheetData>
    <row r="1" spans="1:16" ht="12" customHeight="1" x14ac:dyDescent="0.2">
      <c r="A1" s="581" t="s">
        <v>0</v>
      </c>
      <c r="B1" s="581"/>
      <c r="C1" s="430"/>
      <c r="I1" s="279"/>
      <c r="J1" s="582" t="s">
        <v>1</v>
      </c>
      <c r="K1" s="582"/>
      <c r="L1" s="582"/>
      <c r="M1" s="582"/>
      <c r="N1" s="431"/>
    </row>
    <row r="2" spans="1:16" ht="12" customHeight="1" x14ac:dyDescent="0.2">
      <c r="A2" s="581" t="s">
        <v>2</v>
      </c>
      <c r="B2" s="581"/>
      <c r="C2" s="430"/>
      <c r="J2" s="583" t="s">
        <v>3</v>
      </c>
      <c r="K2" s="583"/>
      <c r="L2" s="583"/>
      <c r="M2" s="583"/>
    </row>
    <row r="3" spans="1:16" ht="12" customHeight="1" x14ac:dyDescent="0.2">
      <c r="A3" s="581" t="s">
        <v>4</v>
      </c>
      <c r="B3" s="581"/>
      <c r="C3" s="430"/>
      <c r="J3" s="583" t="s">
        <v>127</v>
      </c>
      <c r="K3" s="583"/>
      <c r="L3" s="583"/>
      <c r="M3" s="583"/>
    </row>
    <row r="4" spans="1:16" ht="19.899999999999999" customHeight="1" x14ac:dyDescent="0.3">
      <c r="C4" s="592" t="s">
        <v>159</v>
      </c>
      <c r="D4" s="592"/>
      <c r="E4" s="593" t="s">
        <v>516</v>
      </c>
      <c r="F4" s="593"/>
      <c r="G4" s="593"/>
    </row>
    <row r="5" spans="1:16" ht="3" customHeight="1" thickBot="1" x14ac:dyDescent="0.25">
      <c r="E5" s="432" t="s">
        <v>160</v>
      </c>
    </row>
    <row r="6" spans="1:16" ht="12.75" customHeight="1" thickBot="1" x14ac:dyDescent="0.25">
      <c r="A6" s="584" t="s">
        <v>5</v>
      </c>
      <c r="B6" s="585" t="s">
        <v>161</v>
      </c>
      <c r="C6" s="591" t="s">
        <v>6</v>
      </c>
      <c r="D6" s="585" t="s">
        <v>162</v>
      </c>
      <c r="E6" s="594" t="s">
        <v>8</v>
      </c>
      <c r="F6" s="596" t="s">
        <v>163</v>
      </c>
      <c r="G6" s="587" t="s">
        <v>164</v>
      </c>
      <c r="H6" s="589" t="s">
        <v>11</v>
      </c>
      <c r="I6" s="590"/>
      <c r="J6" s="590"/>
      <c r="K6" s="590"/>
      <c r="L6" s="584" t="s">
        <v>12</v>
      </c>
      <c r="M6" s="591" t="s">
        <v>165</v>
      </c>
      <c r="N6" s="429"/>
      <c r="O6" s="284" t="s">
        <v>166</v>
      </c>
    </row>
    <row r="7" spans="1:16" ht="39.6" customHeight="1" thickBot="1" x14ac:dyDescent="0.25">
      <c r="A7" s="584"/>
      <c r="B7" s="586"/>
      <c r="C7" s="591"/>
      <c r="D7" s="586"/>
      <c r="E7" s="595"/>
      <c r="F7" s="597"/>
      <c r="G7" s="588"/>
      <c r="H7" s="285" t="s">
        <v>167</v>
      </c>
      <c r="I7" s="428" t="s">
        <v>168</v>
      </c>
      <c r="J7" s="428" t="s">
        <v>169</v>
      </c>
      <c r="K7" s="428" t="s">
        <v>170</v>
      </c>
      <c r="L7" s="584"/>
      <c r="M7" s="591"/>
      <c r="N7" s="287" t="s">
        <v>171</v>
      </c>
      <c r="O7" s="288" t="s">
        <v>172</v>
      </c>
      <c r="P7" s="289" t="s">
        <v>173</v>
      </c>
    </row>
    <row r="8" spans="1:16" s="301" customFormat="1" x14ac:dyDescent="0.2">
      <c r="A8" s="290" t="s">
        <v>174</v>
      </c>
      <c r="B8" s="291" t="s">
        <v>175</v>
      </c>
      <c r="C8" s="395" t="s">
        <v>176</v>
      </c>
      <c r="D8" s="293"/>
      <c r="E8" s="408">
        <v>8.5</v>
      </c>
      <c r="F8" s="380">
        <f t="shared" ref="F8:F21" si="0">E8*D8</f>
        <v>0</v>
      </c>
      <c r="G8" s="296"/>
      <c r="H8" s="317"/>
      <c r="I8" s="296"/>
      <c r="J8" s="296"/>
      <c r="K8" s="318"/>
      <c r="L8" s="297">
        <f t="shared" ref="L8:L99" si="1">E8*(H8+I8+J8+K8)</f>
        <v>0</v>
      </c>
      <c r="M8" s="298"/>
      <c r="N8" s="298"/>
      <c r="O8" s="299"/>
      <c r="P8" s="300"/>
    </row>
    <row r="9" spans="1:16" s="301" customFormat="1" x14ac:dyDescent="0.2">
      <c r="A9" s="290" t="s">
        <v>177</v>
      </c>
      <c r="B9" s="291" t="s">
        <v>175</v>
      </c>
      <c r="C9" s="395" t="s">
        <v>178</v>
      </c>
      <c r="D9" s="293"/>
      <c r="E9" s="408">
        <v>9</v>
      </c>
      <c r="F9" s="379">
        <f>E9*D9</f>
        <v>0</v>
      </c>
      <c r="G9" s="296"/>
      <c r="H9" s="296"/>
      <c r="I9" s="296"/>
      <c r="J9" s="296"/>
      <c r="K9" s="296"/>
      <c r="L9" s="297">
        <f>E9*(H9+I9+J9+K9)</f>
        <v>0</v>
      </c>
      <c r="M9" s="298"/>
      <c r="N9" s="298">
        <v>43523</v>
      </c>
      <c r="O9" s="315"/>
      <c r="P9" s="300"/>
    </row>
    <row r="10" spans="1:16" s="301" customFormat="1" x14ac:dyDescent="0.2">
      <c r="A10" s="290" t="s">
        <v>179</v>
      </c>
      <c r="B10" s="291" t="s">
        <v>175</v>
      </c>
      <c r="C10" s="395" t="s">
        <v>180</v>
      </c>
      <c r="D10" s="293"/>
      <c r="E10" s="408">
        <v>13.45</v>
      </c>
      <c r="F10" s="379">
        <f t="shared" si="0"/>
        <v>0</v>
      </c>
      <c r="G10" s="296"/>
      <c r="H10" s="296"/>
      <c r="I10" s="296"/>
      <c r="J10" s="296"/>
      <c r="K10" s="296"/>
      <c r="L10" s="297">
        <f t="shared" si="1"/>
        <v>0</v>
      </c>
      <c r="M10" s="298"/>
      <c r="N10" s="298"/>
      <c r="O10" s="315"/>
      <c r="P10" s="300"/>
    </row>
    <row r="11" spans="1:16" s="301" customFormat="1" x14ac:dyDescent="0.2">
      <c r="A11" s="290" t="s">
        <v>181</v>
      </c>
      <c r="B11" s="291" t="s">
        <v>175</v>
      </c>
      <c r="C11" s="395" t="s">
        <v>182</v>
      </c>
      <c r="D11" s="293"/>
      <c r="E11" s="408">
        <v>7.8</v>
      </c>
      <c r="F11" s="379">
        <f t="shared" si="0"/>
        <v>0</v>
      </c>
      <c r="G11" s="296"/>
      <c r="H11" s="296"/>
      <c r="I11" s="296"/>
      <c r="J11" s="296"/>
      <c r="K11" s="296"/>
      <c r="L11" s="297">
        <f t="shared" si="1"/>
        <v>0</v>
      </c>
      <c r="M11" s="298"/>
      <c r="N11" s="298"/>
      <c r="O11" s="315"/>
      <c r="P11" s="300"/>
    </row>
    <row r="12" spans="1:16" s="301" customFormat="1" x14ac:dyDescent="0.2">
      <c r="A12" s="290" t="s">
        <v>183</v>
      </c>
      <c r="B12" s="291" t="s">
        <v>175</v>
      </c>
      <c r="C12" s="395" t="s">
        <v>184</v>
      </c>
      <c r="D12" s="293">
        <v>200</v>
      </c>
      <c r="E12" s="408">
        <v>58.3</v>
      </c>
      <c r="F12" s="379">
        <f t="shared" si="0"/>
        <v>11660</v>
      </c>
      <c r="G12" s="296">
        <v>201</v>
      </c>
      <c r="H12" s="296"/>
      <c r="I12" s="296"/>
      <c r="J12" s="296"/>
      <c r="K12" s="296"/>
      <c r="L12" s="297">
        <f t="shared" si="1"/>
        <v>0</v>
      </c>
      <c r="M12" s="298"/>
      <c r="N12" s="298"/>
      <c r="O12" s="315"/>
      <c r="P12" s="300"/>
    </row>
    <row r="13" spans="1:16" s="301" customFormat="1" x14ac:dyDescent="0.2">
      <c r="A13" s="290">
        <v>2771</v>
      </c>
      <c r="B13" s="291" t="s">
        <v>175</v>
      </c>
      <c r="C13" s="395" t="s">
        <v>185</v>
      </c>
      <c r="D13" s="293">
        <v>422</v>
      </c>
      <c r="E13" s="408">
        <v>3.16</v>
      </c>
      <c r="F13" s="379">
        <f>E13*D13</f>
        <v>1333.52</v>
      </c>
      <c r="G13" s="296">
        <v>421</v>
      </c>
      <c r="H13" s="296"/>
      <c r="I13" s="352">
        <v>421</v>
      </c>
      <c r="J13" s="296"/>
      <c r="K13" s="296"/>
      <c r="L13" s="297">
        <f t="shared" si="1"/>
        <v>1330.3600000000001</v>
      </c>
      <c r="M13" s="298"/>
      <c r="N13" s="298">
        <v>43523</v>
      </c>
      <c r="O13" s="315"/>
      <c r="P13" s="300"/>
    </row>
    <row r="14" spans="1:16" s="301" customFormat="1" x14ac:dyDescent="0.2">
      <c r="A14" s="290">
        <v>2772</v>
      </c>
      <c r="B14" s="291" t="s">
        <v>175</v>
      </c>
      <c r="C14" s="395" t="s">
        <v>186</v>
      </c>
      <c r="D14" s="293"/>
      <c r="E14" s="408">
        <v>3.16</v>
      </c>
      <c r="F14" s="379">
        <f t="shared" si="0"/>
        <v>0</v>
      </c>
      <c r="G14" s="296"/>
      <c r="H14" s="296"/>
      <c r="I14" s="296"/>
      <c r="J14" s="296"/>
      <c r="K14" s="296"/>
      <c r="L14" s="297">
        <f t="shared" si="1"/>
        <v>0</v>
      </c>
      <c r="M14" s="298"/>
      <c r="N14" s="298">
        <v>43523</v>
      </c>
      <c r="O14" s="315"/>
      <c r="P14" s="300"/>
    </row>
    <row r="15" spans="1:16" s="301" customFormat="1" x14ac:dyDescent="0.2">
      <c r="A15" s="290">
        <v>2773</v>
      </c>
      <c r="B15" s="291" t="s">
        <v>175</v>
      </c>
      <c r="C15" s="395" t="s">
        <v>187</v>
      </c>
      <c r="D15" s="293"/>
      <c r="E15" s="408">
        <v>3.16</v>
      </c>
      <c r="F15" s="379">
        <f t="shared" si="0"/>
        <v>0</v>
      </c>
      <c r="G15" s="296"/>
      <c r="H15" s="296"/>
      <c r="I15" s="296"/>
      <c r="J15" s="296"/>
      <c r="K15" s="296"/>
      <c r="L15" s="297">
        <f t="shared" si="1"/>
        <v>0</v>
      </c>
      <c r="M15" s="298"/>
      <c r="N15" s="298">
        <v>43523</v>
      </c>
      <c r="O15" s="315"/>
      <c r="P15" s="300"/>
    </row>
    <row r="16" spans="1:16" s="301" customFormat="1" x14ac:dyDescent="0.2">
      <c r="A16" s="290" t="s">
        <v>188</v>
      </c>
      <c r="B16" s="291" t="s">
        <v>175</v>
      </c>
      <c r="C16" s="395" t="s">
        <v>189</v>
      </c>
      <c r="D16" s="293">
        <v>161</v>
      </c>
      <c r="E16" s="408">
        <v>3.16</v>
      </c>
      <c r="F16" s="379">
        <f t="shared" si="0"/>
        <v>508.76000000000005</v>
      </c>
      <c r="G16" s="296">
        <v>161</v>
      </c>
      <c r="H16" s="296"/>
      <c r="I16" s="352">
        <v>161</v>
      </c>
      <c r="J16" s="296"/>
      <c r="K16" s="296"/>
      <c r="L16" s="297">
        <f t="shared" si="1"/>
        <v>508.76000000000005</v>
      </c>
      <c r="M16" s="298"/>
      <c r="N16" s="298">
        <v>43523</v>
      </c>
      <c r="O16" s="315"/>
      <c r="P16" s="300"/>
    </row>
    <row r="17" spans="1:16" s="301" customFormat="1" x14ac:dyDescent="0.2">
      <c r="A17" s="290">
        <v>3558</v>
      </c>
      <c r="B17" s="291" t="s">
        <v>175</v>
      </c>
      <c r="C17" s="395" t="s">
        <v>190</v>
      </c>
      <c r="D17" s="293"/>
      <c r="E17" s="408">
        <v>3.16</v>
      </c>
      <c r="F17" s="379">
        <f>E17*D17</f>
        <v>0</v>
      </c>
      <c r="G17" s="296"/>
      <c r="H17" s="296"/>
      <c r="I17" s="296"/>
      <c r="J17" s="296"/>
      <c r="K17" s="296"/>
      <c r="L17" s="297">
        <f t="shared" si="1"/>
        <v>0</v>
      </c>
      <c r="M17" s="298"/>
      <c r="N17" s="298"/>
      <c r="O17" s="315"/>
      <c r="P17" s="300"/>
    </row>
    <row r="18" spans="1:16" s="301" customFormat="1" x14ac:dyDescent="0.2">
      <c r="A18" s="290">
        <v>3238</v>
      </c>
      <c r="B18" s="291" t="s">
        <v>175</v>
      </c>
      <c r="C18" s="395" t="s">
        <v>191</v>
      </c>
      <c r="D18" s="293"/>
      <c r="E18" s="408">
        <v>6.32</v>
      </c>
      <c r="F18" s="379">
        <f t="shared" si="0"/>
        <v>0</v>
      </c>
      <c r="G18" s="296"/>
      <c r="H18" s="296"/>
      <c r="I18" s="296"/>
      <c r="J18" s="296"/>
      <c r="K18" s="296"/>
      <c r="L18" s="297">
        <f t="shared" si="1"/>
        <v>0</v>
      </c>
      <c r="M18" s="298"/>
      <c r="N18" s="298"/>
      <c r="O18" s="315"/>
      <c r="P18" s="300"/>
    </row>
    <row r="19" spans="1:16" s="301" customFormat="1" x14ac:dyDescent="0.2">
      <c r="A19" s="290">
        <v>3239</v>
      </c>
      <c r="B19" s="291" t="s">
        <v>175</v>
      </c>
      <c r="C19" s="395" t="s">
        <v>192</v>
      </c>
      <c r="D19" s="293">
        <v>2000</v>
      </c>
      <c r="E19" s="408">
        <v>9.1999999999999993</v>
      </c>
      <c r="F19" s="379">
        <f t="shared" si="0"/>
        <v>18400</v>
      </c>
      <c r="G19" s="296">
        <v>2500</v>
      </c>
      <c r="H19" s="296"/>
      <c r="I19" s="296"/>
      <c r="J19" s="296"/>
      <c r="K19" s="296"/>
      <c r="L19" s="297">
        <f t="shared" si="1"/>
        <v>0</v>
      </c>
      <c r="M19" s="298"/>
      <c r="N19" s="298"/>
      <c r="O19" s="315"/>
      <c r="P19" s="300"/>
    </row>
    <row r="20" spans="1:16" s="301" customFormat="1" x14ac:dyDescent="0.2">
      <c r="A20" s="290">
        <v>3515</v>
      </c>
      <c r="B20" s="291" t="s">
        <v>175</v>
      </c>
      <c r="C20" s="395" t="s">
        <v>193</v>
      </c>
      <c r="D20" s="293"/>
      <c r="E20" s="408">
        <v>13.22</v>
      </c>
      <c r="F20" s="379">
        <f t="shared" si="0"/>
        <v>0</v>
      </c>
      <c r="G20" s="296"/>
      <c r="H20" s="296"/>
      <c r="I20" s="296"/>
      <c r="J20" s="296"/>
      <c r="K20" s="296"/>
      <c r="L20" s="297">
        <f t="shared" si="1"/>
        <v>0</v>
      </c>
      <c r="M20" s="298"/>
      <c r="N20" s="298">
        <v>43523</v>
      </c>
      <c r="O20" s="315"/>
      <c r="P20" s="300"/>
    </row>
    <row r="21" spans="1:16" s="301" customFormat="1" x14ac:dyDescent="0.2">
      <c r="A21" s="290">
        <v>3240</v>
      </c>
      <c r="B21" s="291" t="s">
        <v>175</v>
      </c>
      <c r="C21" s="395" t="s">
        <v>194</v>
      </c>
      <c r="D21" s="293">
        <v>1000</v>
      </c>
      <c r="E21" s="408">
        <v>11.05</v>
      </c>
      <c r="F21" s="379">
        <f t="shared" si="0"/>
        <v>11050</v>
      </c>
      <c r="G21" s="296">
        <v>1130</v>
      </c>
      <c r="H21" s="296"/>
      <c r="I21" s="296"/>
      <c r="J21" s="296"/>
      <c r="K21" s="296"/>
      <c r="L21" s="297">
        <f t="shared" si="1"/>
        <v>0</v>
      </c>
      <c r="M21" s="298"/>
      <c r="N21" s="298"/>
      <c r="O21" s="315"/>
      <c r="P21" s="300"/>
    </row>
    <row r="22" spans="1:16" s="301" customFormat="1" x14ac:dyDescent="0.2">
      <c r="A22" s="290">
        <v>4291</v>
      </c>
      <c r="B22" s="291" t="s">
        <v>175</v>
      </c>
      <c r="C22" s="395" t="s">
        <v>195</v>
      </c>
      <c r="D22" s="293"/>
      <c r="E22" s="408">
        <v>23996.5</v>
      </c>
      <c r="F22" s="379">
        <f>E22*D22</f>
        <v>0</v>
      </c>
      <c r="G22" s="296"/>
      <c r="H22" s="296"/>
      <c r="I22" s="296"/>
      <c r="J22" s="296"/>
      <c r="K22" s="296"/>
      <c r="L22" s="297">
        <f t="shared" ref="L22:L34" si="2">E22*(H22+I22+J22+K22)</f>
        <v>0</v>
      </c>
      <c r="M22" s="298"/>
      <c r="N22" s="298"/>
      <c r="O22" s="315"/>
      <c r="P22" s="300"/>
    </row>
    <row r="23" spans="1:16" s="301" customFormat="1" x14ac:dyDescent="0.2">
      <c r="A23" s="290">
        <v>1690</v>
      </c>
      <c r="B23" s="291" t="s">
        <v>175</v>
      </c>
      <c r="C23" s="395" t="s">
        <v>196</v>
      </c>
      <c r="D23" s="293"/>
      <c r="E23" s="408">
        <v>52</v>
      </c>
      <c r="F23" s="379">
        <f>E23*D23</f>
        <v>0</v>
      </c>
      <c r="G23" s="296"/>
      <c r="H23" s="296"/>
      <c r="I23" s="296"/>
      <c r="J23" s="296"/>
      <c r="K23" s="296"/>
      <c r="L23" s="297">
        <f t="shared" si="2"/>
        <v>0</v>
      </c>
      <c r="M23" s="298"/>
      <c r="N23" s="298"/>
      <c r="O23" s="315"/>
      <c r="P23" s="300"/>
    </row>
    <row r="24" spans="1:16" s="301" customFormat="1" x14ac:dyDescent="0.2">
      <c r="A24" s="319"/>
      <c r="B24" s="320"/>
      <c r="C24" s="399"/>
      <c r="D24" s="322"/>
      <c r="E24" s="412"/>
      <c r="F24" s="379"/>
      <c r="G24" s="296"/>
      <c r="H24" s="296"/>
      <c r="I24" s="296"/>
      <c r="J24" s="296"/>
      <c r="K24" s="296"/>
      <c r="L24" s="297">
        <f>E24*(H24+I24+J24+K24)</f>
        <v>0</v>
      </c>
      <c r="M24" s="298"/>
      <c r="N24" s="298"/>
      <c r="O24" s="315"/>
      <c r="P24" s="300"/>
    </row>
    <row r="25" spans="1:16" s="301" customFormat="1" x14ac:dyDescent="0.2">
      <c r="A25" s="290">
        <v>4724</v>
      </c>
      <c r="B25" s="291" t="s">
        <v>199</v>
      </c>
      <c r="C25" s="395" t="s">
        <v>203</v>
      </c>
      <c r="D25" s="293">
        <v>3</v>
      </c>
      <c r="E25" s="408">
        <v>1350</v>
      </c>
      <c r="F25" s="379">
        <f t="shared" ref="F25:F110" si="3">E25*D25</f>
        <v>4050</v>
      </c>
      <c r="G25" s="296">
        <v>3</v>
      </c>
      <c r="H25" s="296"/>
      <c r="I25" s="296"/>
      <c r="J25" s="357">
        <v>3</v>
      </c>
      <c r="K25" s="296"/>
      <c r="L25" s="297">
        <f t="shared" si="2"/>
        <v>4050</v>
      </c>
      <c r="M25" s="298"/>
      <c r="N25" s="298" t="s">
        <v>416</v>
      </c>
      <c r="O25" s="315"/>
      <c r="P25" s="300"/>
    </row>
    <row r="26" spans="1:16" s="301" customFormat="1" x14ac:dyDescent="0.2">
      <c r="A26" s="290">
        <v>5166</v>
      </c>
      <c r="B26" s="291" t="s">
        <v>199</v>
      </c>
      <c r="C26" s="395" t="s">
        <v>535</v>
      </c>
      <c r="D26" s="293">
        <v>1</v>
      </c>
      <c r="E26" s="408">
        <v>1000</v>
      </c>
      <c r="F26" s="379">
        <f>E26*D26</f>
        <v>1000</v>
      </c>
      <c r="G26" s="296">
        <v>1</v>
      </c>
      <c r="H26" s="296"/>
      <c r="I26" s="296"/>
      <c r="J26" s="352">
        <v>1</v>
      </c>
      <c r="K26" s="296"/>
      <c r="L26" s="297">
        <f>E26*(H26+I26+J26+K26)</f>
        <v>1000</v>
      </c>
      <c r="M26" s="298"/>
      <c r="N26" s="298"/>
      <c r="O26" s="315"/>
      <c r="P26" s="300"/>
    </row>
    <row r="27" spans="1:16" s="301" customFormat="1" x14ac:dyDescent="0.2">
      <c r="A27" s="290">
        <v>5198</v>
      </c>
      <c r="B27" s="291" t="s">
        <v>199</v>
      </c>
      <c r="C27" s="395" t="s">
        <v>204</v>
      </c>
      <c r="D27" s="293">
        <v>1</v>
      </c>
      <c r="E27" s="408">
        <v>10050</v>
      </c>
      <c r="F27" s="379">
        <f>E27*D27</f>
        <v>10050</v>
      </c>
      <c r="G27" s="296"/>
      <c r="H27" s="296"/>
      <c r="I27" s="296"/>
      <c r="J27" s="296"/>
      <c r="K27" s="296"/>
      <c r="L27" s="297">
        <f>E27*(H27+I27+J27+K27)</f>
        <v>0</v>
      </c>
      <c r="M27" s="298">
        <v>43536</v>
      </c>
      <c r="N27" s="454">
        <v>43553</v>
      </c>
      <c r="O27" s="315"/>
      <c r="P27" s="300"/>
    </row>
    <row r="28" spans="1:16" s="301" customFormat="1" x14ac:dyDescent="0.2">
      <c r="A28" s="350">
        <v>5197</v>
      </c>
      <c r="B28" s="353" t="s">
        <v>199</v>
      </c>
      <c r="C28" s="396" t="s">
        <v>619</v>
      </c>
      <c r="D28" s="355">
        <v>1</v>
      </c>
      <c r="E28" s="410">
        <v>5200</v>
      </c>
      <c r="F28" s="379"/>
      <c r="G28" s="296"/>
      <c r="H28" s="296"/>
      <c r="I28" s="296"/>
      <c r="J28" s="296"/>
      <c r="K28" s="296"/>
      <c r="L28" s="297">
        <f>E28*(H28+I28+J28+K28)</f>
        <v>0</v>
      </c>
      <c r="M28" s="298">
        <v>43549</v>
      </c>
      <c r="N28" s="298"/>
      <c r="O28" s="315"/>
      <c r="P28" s="300"/>
    </row>
    <row r="29" spans="1:16" s="301" customFormat="1" x14ac:dyDescent="0.2">
      <c r="A29" s="350"/>
      <c r="B29" s="353"/>
      <c r="C29" s="396"/>
      <c r="D29" s="355"/>
      <c r="E29" s="409"/>
      <c r="F29" s="379"/>
      <c r="G29" s="296"/>
      <c r="H29" s="296"/>
      <c r="I29" s="296"/>
      <c r="J29" s="296"/>
      <c r="K29" s="296"/>
      <c r="L29" s="297"/>
      <c r="M29" s="298"/>
      <c r="N29" s="298"/>
      <c r="O29" s="315"/>
      <c r="P29" s="300"/>
    </row>
    <row r="30" spans="1:16" s="301" customFormat="1" x14ac:dyDescent="0.2">
      <c r="A30" s="350"/>
      <c r="B30" s="353"/>
      <c r="C30" s="396"/>
      <c r="D30" s="355"/>
      <c r="E30" s="409"/>
      <c r="F30" s="379"/>
      <c r="G30" s="296"/>
      <c r="H30" s="296"/>
      <c r="I30" s="296"/>
      <c r="J30" s="296"/>
      <c r="K30" s="296"/>
      <c r="L30" s="297"/>
      <c r="M30" s="298"/>
      <c r="N30" s="298"/>
      <c r="O30" s="315"/>
      <c r="P30" s="300"/>
    </row>
    <row r="31" spans="1:16" s="301" customFormat="1" x14ac:dyDescent="0.2">
      <c r="A31" s="290" t="s">
        <v>205</v>
      </c>
      <c r="B31" s="291"/>
      <c r="C31" s="395" t="s">
        <v>206</v>
      </c>
      <c r="D31" s="293"/>
      <c r="E31" s="408">
        <v>1610.17</v>
      </c>
      <c r="F31" s="379">
        <f t="shared" si="3"/>
        <v>0</v>
      </c>
      <c r="G31" s="296"/>
      <c r="H31" s="296"/>
      <c r="I31" s="296"/>
      <c r="J31" s="296"/>
      <c r="K31" s="296"/>
      <c r="L31" s="297">
        <f t="shared" si="2"/>
        <v>0</v>
      </c>
      <c r="M31" s="298"/>
      <c r="N31" s="298"/>
      <c r="O31" s="315"/>
      <c r="P31" s="300"/>
    </row>
    <row r="32" spans="1:16" s="301" customFormat="1" x14ac:dyDescent="0.2">
      <c r="A32" s="290" t="s">
        <v>207</v>
      </c>
      <c r="B32" s="291"/>
      <c r="C32" s="395" t="s">
        <v>206</v>
      </c>
      <c r="D32" s="293"/>
      <c r="E32" s="408">
        <v>1686.44</v>
      </c>
      <c r="F32" s="379">
        <f t="shared" si="3"/>
        <v>0</v>
      </c>
      <c r="G32" s="296">
        <v>25</v>
      </c>
      <c r="H32" s="296"/>
      <c r="I32" s="296"/>
      <c r="J32" s="296"/>
      <c r="K32" s="296"/>
      <c r="L32" s="297">
        <f t="shared" si="2"/>
        <v>0</v>
      </c>
      <c r="M32" s="298"/>
      <c r="N32" s="298"/>
      <c r="O32" s="315"/>
      <c r="P32" s="300"/>
    </row>
    <row r="33" spans="1:16" s="301" customFormat="1" x14ac:dyDescent="0.2">
      <c r="A33" s="290"/>
      <c r="B33" s="291"/>
      <c r="C33" s="395"/>
      <c r="D33" s="293"/>
      <c r="E33" s="408"/>
      <c r="F33" s="379">
        <f t="shared" si="3"/>
        <v>0</v>
      </c>
      <c r="G33" s="296"/>
      <c r="H33" s="296"/>
      <c r="I33" s="296"/>
      <c r="J33" s="296"/>
      <c r="K33" s="296"/>
      <c r="L33" s="297">
        <f t="shared" si="2"/>
        <v>0</v>
      </c>
      <c r="M33" s="298"/>
      <c r="N33" s="298"/>
      <c r="O33" s="315"/>
      <c r="P33" s="300"/>
    </row>
    <row r="34" spans="1:16" s="301" customFormat="1" x14ac:dyDescent="0.2">
      <c r="A34" s="290">
        <v>4836</v>
      </c>
      <c r="B34" s="291" t="s">
        <v>223</v>
      </c>
      <c r="C34" s="395" t="s">
        <v>224</v>
      </c>
      <c r="D34" s="293">
        <v>1000</v>
      </c>
      <c r="E34" s="408">
        <v>840</v>
      </c>
      <c r="F34" s="379">
        <f>E34*D34</f>
        <v>840000</v>
      </c>
      <c r="G34" s="296">
        <v>1000</v>
      </c>
      <c r="H34" s="296"/>
      <c r="I34" s="296"/>
      <c r="J34" s="357">
        <v>1000</v>
      </c>
      <c r="K34" s="296"/>
      <c r="L34" s="297">
        <f t="shared" si="2"/>
        <v>840000</v>
      </c>
      <c r="M34" s="298"/>
      <c r="N34" s="298">
        <v>43539</v>
      </c>
      <c r="O34" s="391" t="s">
        <v>225</v>
      </c>
      <c r="P34" s="300"/>
    </row>
    <row r="35" spans="1:16" s="301" customFormat="1" x14ac:dyDescent="0.2">
      <c r="A35" s="319">
        <v>4880</v>
      </c>
      <c r="B35" s="353" t="s">
        <v>415</v>
      </c>
      <c r="C35" s="396" t="s">
        <v>204</v>
      </c>
      <c r="D35" s="355">
        <v>5</v>
      </c>
      <c r="E35" s="409">
        <v>46500</v>
      </c>
      <c r="F35" s="379">
        <f>E35*D35</f>
        <v>232500</v>
      </c>
      <c r="G35" s="296">
        <v>5</v>
      </c>
      <c r="H35" s="296"/>
      <c r="I35" s="296"/>
      <c r="J35" s="357">
        <v>5</v>
      </c>
      <c r="K35" s="296"/>
      <c r="L35" s="297">
        <f t="shared" ref="L35:L52" si="4">E35*(H35+I35+J35+K35)</f>
        <v>232500</v>
      </c>
      <c r="M35" s="298">
        <v>43507</v>
      </c>
      <c r="N35" s="298">
        <v>43538</v>
      </c>
      <c r="O35" s="393" t="s">
        <v>425</v>
      </c>
      <c r="P35" s="300"/>
    </row>
    <row r="36" spans="1:16" s="301" customFormat="1" x14ac:dyDescent="0.2">
      <c r="A36" s="359">
        <v>5081</v>
      </c>
      <c r="B36" s="390" t="s">
        <v>442</v>
      </c>
      <c r="C36" s="397" t="s">
        <v>224</v>
      </c>
      <c r="D36" s="422">
        <v>1000</v>
      </c>
      <c r="E36" s="410">
        <v>1242</v>
      </c>
      <c r="F36" s="379"/>
      <c r="G36" s="296"/>
      <c r="H36" s="296"/>
      <c r="I36" s="296"/>
      <c r="J36" s="296"/>
      <c r="K36" s="296"/>
      <c r="L36" s="297">
        <f t="shared" si="4"/>
        <v>0</v>
      </c>
      <c r="M36" s="298">
        <v>43514</v>
      </c>
      <c r="N36" s="298">
        <v>43552</v>
      </c>
      <c r="O36" s="394" t="s">
        <v>441</v>
      </c>
      <c r="P36" s="300"/>
    </row>
    <row r="37" spans="1:16" s="301" customFormat="1" x14ac:dyDescent="0.2">
      <c r="A37" s="290">
        <v>5052</v>
      </c>
      <c r="B37" s="291" t="s">
        <v>466</v>
      </c>
      <c r="C37" s="397" t="s">
        <v>445</v>
      </c>
      <c r="D37" s="422">
        <v>1</v>
      </c>
      <c r="E37" s="410">
        <v>47482</v>
      </c>
      <c r="F37" s="379">
        <f t="shared" ref="F37:F55" si="5">E37*D37</f>
        <v>47482</v>
      </c>
      <c r="G37" s="296">
        <v>1</v>
      </c>
      <c r="H37" s="296"/>
      <c r="I37" s="296"/>
      <c r="J37" s="296"/>
      <c r="K37" s="357">
        <v>1</v>
      </c>
      <c r="L37" s="297">
        <f t="shared" si="4"/>
        <v>47482</v>
      </c>
      <c r="M37" s="298">
        <v>43514</v>
      </c>
      <c r="N37" s="298">
        <v>43545</v>
      </c>
      <c r="O37" s="394" t="s">
        <v>451</v>
      </c>
      <c r="P37" s="300"/>
    </row>
    <row r="38" spans="1:16" s="301" customFormat="1" x14ac:dyDescent="0.2">
      <c r="A38" s="290">
        <v>5053</v>
      </c>
      <c r="B38" s="291" t="s">
        <v>466</v>
      </c>
      <c r="C38" s="397" t="s">
        <v>446</v>
      </c>
      <c r="D38" s="422">
        <v>1</v>
      </c>
      <c r="E38" s="410">
        <v>46557</v>
      </c>
      <c r="F38" s="379">
        <f t="shared" si="5"/>
        <v>46557</v>
      </c>
      <c r="G38" s="296">
        <v>1</v>
      </c>
      <c r="H38" s="296"/>
      <c r="I38" s="296"/>
      <c r="J38" s="296"/>
      <c r="K38" s="357">
        <v>1</v>
      </c>
      <c r="L38" s="297">
        <f t="shared" si="4"/>
        <v>46557</v>
      </c>
      <c r="M38" s="298">
        <v>43514</v>
      </c>
      <c r="N38" s="298">
        <v>43545</v>
      </c>
      <c r="O38" s="394" t="s">
        <v>451</v>
      </c>
      <c r="P38" s="300"/>
    </row>
    <row r="39" spans="1:16" s="301" customFormat="1" x14ac:dyDescent="0.2">
      <c r="A39" s="290">
        <v>5054</v>
      </c>
      <c r="B39" s="291" t="s">
        <v>466</v>
      </c>
      <c r="C39" s="397" t="s">
        <v>447</v>
      </c>
      <c r="D39" s="422">
        <v>1</v>
      </c>
      <c r="E39" s="410">
        <v>45169</v>
      </c>
      <c r="F39" s="379">
        <f t="shared" si="5"/>
        <v>45169</v>
      </c>
      <c r="G39" s="296">
        <v>1</v>
      </c>
      <c r="H39" s="296"/>
      <c r="I39" s="296"/>
      <c r="J39" s="296"/>
      <c r="K39" s="357">
        <v>1</v>
      </c>
      <c r="L39" s="297">
        <f t="shared" si="4"/>
        <v>45169</v>
      </c>
      <c r="M39" s="298">
        <v>43514</v>
      </c>
      <c r="N39" s="298">
        <v>43545</v>
      </c>
      <c r="O39" s="394" t="s">
        <v>451</v>
      </c>
      <c r="P39" s="300"/>
    </row>
    <row r="40" spans="1:16" s="301" customFormat="1" x14ac:dyDescent="0.2">
      <c r="A40" s="290">
        <v>5055</v>
      </c>
      <c r="B40" s="291" t="s">
        <v>466</v>
      </c>
      <c r="C40" s="397" t="s">
        <v>448</v>
      </c>
      <c r="D40" s="422">
        <v>1</v>
      </c>
      <c r="E40" s="410">
        <v>90415</v>
      </c>
      <c r="F40" s="379">
        <f t="shared" si="5"/>
        <v>90415</v>
      </c>
      <c r="G40" s="296">
        <v>1</v>
      </c>
      <c r="H40" s="296"/>
      <c r="I40" s="296"/>
      <c r="J40" s="296"/>
      <c r="K40" s="357">
        <v>1</v>
      </c>
      <c r="L40" s="297">
        <f t="shared" si="4"/>
        <v>90415</v>
      </c>
      <c r="M40" s="298">
        <v>43514</v>
      </c>
      <c r="N40" s="298">
        <v>43545</v>
      </c>
      <c r="O40" s="394" t="s">
        <v>451</v>
      </c>
      <c r="P40" s="300"/>
    </row>
    <row r="41" spans="1:16" s="301" customFormat="1" x14ac:dyDescent="0.2">
      <c r="A41" s="290">
        <v>5056</v>
      </c>
      <c r="B41" s="291" t="s">
        <v>466</v>
      </c>
      <c r="C41" s="397" t="s">
        <v>449</v>
      </c>
      <c r="D41" s="422">
        <v>1</v>
      </c>
      <c r="E41" s="410">
        <v>42394</v>
      </c>
      <c r="F41" s="379">
        <f t="shared" si="5"/>
        <v>42394</v>
      </c>
      <c r="G41" s="296">
        <v>1</v>
      </c>
      <c r="H41" s="296"/>
      <c r="I41" s="296"/>
      <c r="J41" s="296"/>
      <c r="K41" s="357">
        <v>1</v>
      </c>
      <c r="L41" s="297">
        <f t="shared" si="4"/>
        <v>42394</v>
      </c>
      <c r="M41" s="298">
        <v>43514</v>
      </c>
      <c r="N41" s="298">
        <v>43545</v>
      </c>
      <c r="O41" s="394" t="s">
        <v>451</v>
      </c>
      <c r="P41" s="300"/>
    </row>
    <row r="42" spans="1:16" s="301" customFormat="1" x14ac:dyDescent="0.2">
      <c r="A42" s="290">
        <v>5057</v>
      </c>
      <c r="B42" s="291" t="s">
        <v>466</v>
      </c>
      <c r="C42" s="395" t="s">
        <v>450</v>
      </c>
      <c r="D42" s="422">
        <v>14</v>
      </c>
      <c r="E42" s="410">
        <v>49332</v>
      </c>
      <c r="F42" s="379">
        <f t="shared" si="5"/>
        <v>690648</v>
      </c>
      <c r="G42" s="296">
        <v>14</v>
      </c>
      <c r="H42" s="296"/>
      <c r="I42" s="296"/>
      <c r="J42" s="296"/>
      <c r="K42" s="357">
        <v>14</v>
      </c>
      <c r="L42" s="297">
        <f>E42*(H42+I42+J42+K42)</f>
        <v>690648</v>
      </c>
      <c r="M42" s="298">
        <v>43514</v>
      </c>
      <c r="N42" s="298">
        <v>43545</v>
      </c>
      <c r="O42" s="394" t="s">
        <v>451</v>
      </c>
      <c r="P42" s="300"/>
    </row>
    <row r="43" spans="1:16" s="301" customFormat="1" x14ac:dyDescent="0.2">
      <c r="A43" s="290">
        <v>5062</v>
      </c>
      <c r="B43" s="291" t="s">
        <v>467</v>
      </c>
      <c r="C43" s="397" t="s">
        <v>454</v>
      </c>
      <c r="D43" s="422">
        <v>26</v>
      </c>
      <c r="E43" s="424">
        <v>7337</v>
      </c>
      <c r="F43" s="379">
        <f t="shared" si="5"/>
        <v>190762</v>
      </c>
      <c r="G43" s="296">
        <v>26</v>
      </c>
      <c r="H43" s="296"/>
      <c r="I43" s="296"/>
      <c r="J43" s="296"/>
      <c r="K43" s="357">
        <v>26</v>
      </c>
      <c r="L43" s="297">
        <f>E43*(H43+I43+J43+K43)</f>
        <v>190762</v>
      </c>
      <c r="M43" s="298">
        <v>43514</v>
      </c>
      <c r="N43" s="298">
        <v>43542</v>
      </c>
      <c r="O43" s="394" t="s">
        <v>465</v>
      </c>
      <c r="P43" s="300"/>
    </row>
    <row r="44" spans="1:16" s="301" customFormat="1" x14ac:dyDescent="0.2">
      <c r="A44" s="290">
        <v>5063</v>
      </c>
      <c r="B44" s="291" t="s">
        <v>467</v>
      </c>
      <c r="C44" s="397" t="s">
        <v>455</v>
      </c>
      <c r="D44" s="422">
        <v>9</v>
      </c>
      <c r="E44" s="424">
        <v>17831</v>
      </c>
      <c r="F44" s="379">
        <f t="shared" si="5"/>
        <v>160479</v>
      </c>
      <c r="G44" s="296">
        <v>9</v>
      </c>
      <c r="H44" s="296"/>
      <c r="I44" s="296"/>
      <c r="J44" s="296"/>
      <c r="K44" s="357">
        <v>9</v>
      </c>
      <c r="L44" s="297">
        <f>E44*(H44+I44+J44+K44)</f>
        <v>160479</v>
      </c>
      <c r="M44" s="298">
        <v>43514</v>
      </c>
      <c r="N44" s="298">
        <v>43542</v>
      </c>
      <c r="O44" s="394" t="s">
        <v>465</v>
      </c>
      <c r="P44" s="300"/>
    </row>
    <row r="45" spans="1:16" s="301" customFormat="1" x14ac:dyDescent="0.2">
      <c r="A45" s="319">
        <v>5064</v>
      </c>
      <c r="B45" s="291" t="s">
        <v>467</v>
      </c>
      <c r="C45" s="396" t="s">
        <v>456</v>
      </c>
      <c r="D45" s="355">
        <v>2</v>
      </c>
      <c r="E45" s="409">
        <v>7540</v>
      </c>
      <c r="F45" s="379">
        <f t="shared" si="5"/>
        <v>15080</v>
      </c>
      <c r="G45" s="296">
        <v>2</v>
      </c>
      <c r="H45" s="296"/>
      <c r="I45" s="296"/>
      <c r="J45" s="296"/>
      <c r="K45" s="357">
        <v>2</v>
      </c>
      <c r="L45" s="297">
        <f>E45*(H45+I45+J45+K45)</f>
        <v>15080</v>
      </c>
      <c r="M45" s="298">
        <v>43514</v>
      </c>
      <c r="N45" s="298">
        <v>43542</v>
      </c>
      <c r="O45" s="394" t="s">
        <v>465</v>
      </c>
      <c r="P45" s="300"/>
    </row>
    <row r="46" spans="1:16" s="301" customFormat="1" x14ac:dyDescent="0.2">
      <c r="A46" s="319">
        <v>5065</v>
      </c>
      <c r="B46" s="291" t="s">
        <v>467</v>
      </c>
      <c r="C46" s="396" t="s">
        <v>457</v>
      </c>
      <c r="D46" s="355">
        <v>2</v>
      </c>
      <c r="E46" s="409">
        <v>20155</v>
      </c>
      <c r="F46" s="379">
        <f t="shared" si="5"/>
        <v>40310</v>
      </c>
      <c r="G46" s="296">
        <v>2</v>
      </c>
      <c r="H46" s="296"/>
      <c r="I46" s="296"/>
      <c r="J46" s="296"/>
      <c r="K46" s="357">
        <v>2</v>
      </c>
      <c r="L46" s="297">
        <f t="shared" si="4"/>
        <v>40310</v>
      </c>
      <c r="M46" s="298">
        <v>43514</v>
      </c>
      <c r="N46" s="298">
        <v>43542</v>
      </c>
      <c r="O46" s="394" t="s">
        <v>465</v>
      </c>
      <c r="P46" s="300"/>
    </row>
    <row r="47" spans="1:16" s="301" customFormat="1" x14ac:dyDescent="0.2">
      <c r="A47" s="319">
        <v>5066</v>
      </c>
      <c r="B47" s="291" t="s">
        <v>467</v>
      </c>
      <c r="C47" s="396" t="s">
        <v>458</v>
      </c>
      <c r="D47" s="355">
        <v>4</v>
      </c>
      <c r="E47" s="409">
        <v>251</v>
      </c>
      <c r="F47" s="379">
        <f t="shared" si="5"/>
        <v>1004</v>
      </c>
      <c r="G47" s="296">
        <v>4</v>
      </c>
      <c r="H47" s="296"/>
      <c r="I47" s="296"/>
      <c r="J47" s="296"/>
      <c r="K47" s="357">
        <v>4</v>
      </c>
      <c r="L47" s="297">
        <f t="shared" si="4"/>
        <v>1004</v>
      </c>
      <c r="M47" s="298">
        <v>43514</v>
      </c>
      <c r="N47" s="298">
        <v>43542</v>
      </c>
      <c r="O47" s="394" t="s">
        <v>465</v>
      </c>
      <c r="P47" s="300"/>
    </row>
    <row r="48" spans="1:16" s="301" customFormat="1" x14ac:dyDescent="0.2">
      <c r="A48" s="319">
        <v>5067</v>
      </c>
      <c r="B48" s="291" t="s">
        <v>467</v>
      </c>
      <c r="C48" s="396" t="s">
        <v>459</v>
      </c>
      <c r="D48" s="355">
        <v>7</v>
      </c>
      <c r="E48" s="409">
        <v>261</v>
      </c>
      <c r="F48" s="379">
        <f t="shared" si="5"/>
        <v>1827</v>
      </c>
      <c r="G48" s="296">
        <v>7</v>
      </c>
      <c r="H48" s="296"/>
      <c r="I48" s="296"/>
      <c r="J48" s="296"/>
      <c r="K48" s="357">
        <v>7</v>
      </c>
      <c r="L48" s="297">
        <f t="shared" si="4"/>
        <v>1827</v>
      </c>
      <c r="M48" s="298">
        <v>43514</v>
      </c>
      <c r="N48" s="298">
        <v>43542</v>
      </c>
      <c r="O48" s="394" t="s">
        <v>465</v>
      </c>
      <c r="P48" s="300"/>
    </row>
    <row r="49" spans="1:16" s="301" customFormat="1" x14ac:dyDescent="0.2">
      <c r="A49" s="319">
        <v>5068</v>
      </c>
      <c r="B49" s="291" t="s">
        <v>467</v>
      </c>
      <c r="C49" s="396" t="s">
        <v>460</v>
      </c>
      <c r="D49" s="355">
        <v>2</v>
      </c>
      <c r="E49" s="409">
        <v>273</v>
      </c>
      <c r="F49" s="379">
        <f t="shared" si="5"/>
        <v>546</v>
      </c>
      <c r="G49" s="296">
        <v>2</v>
      </c>
      <c r="H49" s="296"/>
      <c r="I49" s="296"/>
      <c r="J49" s="296"/>
      <c r="K49" s="357">
        <v>2</v>
      </c>
      <c r="L49" s="297">
        <f t="shared" si="4"/>
        <v>546</v>
      </c>
      <c r="M49" s="298">
        <v>43514</v>
      </c>
      <c r="N49" s="298">
        <v>43542</v>
      </c>
      <c r="O49" s="394" t="s">
        <v>465</v>
      </c>
      <c r="P49" s="300"/>
    </row>
    <row r="50" spans="1:16" s="301" customFormat="1" x14ac:dyDescent="0.2">
      <c r="A50" s="319">
        <v>5069</v>
      </c>
      <c r="B50" s="291" t="s">
        <v>467</v>
      </c>
      <c r="C50" s="396" t="s">
        <v>461</v>
      </c>
      <c r="D50" s="355">
        <v>4</v>
      </c>
      <c r="E50" s="409">
        <v>254</v>
      </c>
      <c r="F50" s="379">
        <f t="shared" si="5"/>
        <v>1016</v>
      </c>
      <c r="G50" s="296">
        <v>4</v>
      </c>
      <c r="H50" s="296"/>
      <c r="I50" s="296"/>
      <c r="J50" s="296"/>
      <c r="K50" s="357">
        <v>4</v>
      </c>
      <c r="L50" s="297">
        <f t="shared" si="4"/>
        <v>1016</v>
      </c>
      <c r="M50" s="298">
        <v>43514</v>
      </c>
      <c r="N50" s="298">
        <v>43542</v>
      </c>
      <c r="O50" s="394" t="s">
        <v>465</v>
      </c>
      <c r="P50" s="300"/>
    </row>
    <row r="51" spans="1:16" s="301" customFormat="1" x14ac:dyDescent="0.2">
      <c r="A51" s="319">
        <v>5070</v>
      </c>
      <c r="B51" s="291" t="s">
        <v>467</v>
      </c>
      <c r="C51" s="396" t="s">
        <v>462</v>
      </c>
      <c r="D51" s="355">
        <v>11</v>
      </c>
      <c r="E51" s="409">
        <v>264</v>
      </c>
      <c r="F51" s="379">
        <f t="shared" si="5"/>
        <v>2904</v>
      </c>
      <c r="G51" s="296">
        <v>11</v>
      </c>
      <c r="H51" s="296"/>
      <c r="I51" s="296"/>
      <c r="J51" s="296"/>
      <c r="K51" s="357">
        <v>11</v>
      </c>
      <c r="L51" s="297">
        <f t="shared" si="4"/>
        <v>2904</v>
      </c>
      <c r="M51" s="298">
        <v>43514</v>
      </c>
      <c r="N51" s="298">
        <v>43542</v>
      </c>
      <c r="O51" s="394" t="s">
        <v>465</v>
      </c>
      <c r="P51" s="300"/>
    </row>
    <row r="52" spans="1:16" s="301" customFormat="1" x14ac:dyDescent="0.2">
      <c r="A52" s="319">
        <v>5071</v>
      </c>
      <c r="B52" s="291" t="s">
        <v>467</v>
      </c>
      <c r="C52" s="396" t="s">
        <v>463</v>
      </c>
      <c r="D52" s="355">
        <v>2</v>
      </c>
      <c r="E52" s="409">
        <v>275.5</v>
      </c>
      <c r="F52" s="379">
        <f t="shared" si="5"/>
        <v>551</v>
      </c>
      <c r="G52" s="296">
        <v>2</v>
      </c>
      <c r="H52" s="296"/>
      <c r="I52" s="296"/>
      <c r="J52" s="296"/>
      <c r="K52" s="357">
        <v>2</v>
      </c>
      <c r="L52" s="297">
        <f t="shared" si="4"/>
        <v>551</v>
      </c>
      <c r="M52" s="298">
        <v>43514</v>
      </c>
      <c r="N52" s="298">
        <v>43542</v>
      </c>
      <c r="O52" s="394" t="s">
        <v>465</v>
      </c>
      <c r="P52" s="300"/>
    </row>
    <row r="53" spans="1:16" s="301" customFormat="1" x14ac:dyDescent="0.2">
      <c r="A53" s="319">
        <v>5072</v>
      </c>
      <c r="B53" s="291" t="s">
        <v>467</v>
      </c>
      <c r="C53" s="396" t="s">
        <v>464</v>
      </c>
      <c r="D53" s="355">
        <v>2</v>
      </c>
      <c r="E53" s="409">
        <v>333.5</v>
      </c>
      <c r="F53" s="379">
        <f t="shared" si="5"/>
        <v>667</v>
      </c>
      <c r="G53" s="296">
        <v>2</v>
      </c>
      <c r="H53" s="296"/>
      <c r="I53" s="296"/>
      <c r="J53" s="296"/>
      <c r="K53" s="357">
        <v>2</v>
      </c>
      <c r="L53" s="297">
        <f t="shared" ref="L53:L55" si="6">E53*(H53+I53+J53+K53)</f>
        <v>667</v>
      </c>
      <c r="M53" s="298">
        <v>43514</v>
      </c>
      <c r="N53" s="298">
        <v>43542</v>
      </c>
      <c r="O53" s="394" t="s">
        <v>465</v>
      </c>
      <c r="P53" s="300"/>
    </row>
    <row r="54" spans="1:16" s="301" customFormat="1" x14ac:dyDescent="0.2">
      <c r="A54" s="319">
        <v>5037</v>
      </c>
      <c r="B54" s="291" t="s">
        <v>482</v>
      </c>
      <c r="C54" s="396" t="s">
        <v>481</v>
      </c>
      <c r="D54" s="355">
        <v>1</v>
      </c>
      <c r="E54" s="409">
        <v>37620</v>
      </c>
      <c r="F54" s="379">
        <f t="shared" si="5"/>
        <v>37620</v>
      </c>
      <c r="G54" s="296">
        <v>1</v>
      </c>
      <c r="H54" s="296"/>
      <c r="I54" s="296"/>
      <c r="J54" s="357">
        <v>1</v>
      </c>
      <c r="K54" s="296"/>
      <c r="L54" s="297">
        <f t="shared" si="6"/>
        <v>37620</v>
      </c>
      <c r="M54" s="298">
        <v>43518</v>
      </c>
      <c r="N54" s="298">
        <v>43530</v>
      </c>
      <c r="O54" s="394" t="s">
        <v>483</v>
      </c>
      <c r="P54" s="300"/>
    </row>
    <row r="55" spans="1:16" s="301" customFormat="1" x14ac:dyDescent="0.2">
      <c r="A55" s="319">
        <v>5077</v>
      </c>
      <c r="B55" s="320" t="s">
        <v>531</v>
      </c>
      <c r="C55" s="396" t="s">
        <v>485</v>
      </c>
      <c r="D55" s="355">
        <v>1</v>
      </c>
      <c r="E55" s="409">
        <v>100000</v>
      </c>
      <c r="F55" s="379">
        <f t="shared" si="5"/>
        <v>100000</v>
      </c>
      <c r="G55" s="296">
        <v>1</v>
      </c>
      <c r="H55" s="296"/>
      <c r="I55" s="296"/>
      <c r="J55" s="296"/>
      <c r="K55" s="357">
        <v>1</v>
      </c>
      <c r="L55" s="297">
        <f t="shared" si="6"/>
        <v>100000</v>
      </c>
      <c r="M55" s="298">
        <v>43521</v>
      </c>
      <c r="N55" s="298">
        <v>43545</v>
      </c>
      <c r="O55" s="394" t="s">
        <v>532</v>
      </c>
      <c r="P55" s="300"/>
    </row>
    <row r="56" spans="1:16" s="301" customFormat="1" x14ac:dyDescent="0.2">
      <c r="A56" s="350">
        <v>4975</v>
      </c>
      <c r="B56" s="320" t="s">
        <v>530</v>
      </c>
      <c r="C56" s="436" t="s">
        <v>536</v>
      </c>
      <c r="D56" s="355">
        <v>1</v>
      </c>
      <c r="E56" s="409">
        <v>21450</v>
      </c>
      <c r="F56" s="379">
        <f t="shared" ref="F56:F66" si="7">E56*D56</f>
        <v>21450</v>
      </c>
      <c r="G56" s="296"/>
      <c r="H56" s="296"/>
      <c r="I56" s="296"/>
      <c r="J56" s="296"/>
      <c r="K56" s="296"/>
      <c r="L56" s="297">
        <f t="shared" ref="L56:L66" si="8">E56*(H56+I56+J56+K56)</f>
        <v>0</v>
      </c>
      <c r="M56" s="298">
        <v>43525</v>
      </c>
      <c r="N56" s="454">
        <v>43553</v>
      </c>
      <c r="O56" s="433" t="s">
        <v>534</v>
      </c>
      <c r="P56" s="300"/>
    </row>
    <row r="57" spans="1:16" s="301" customFormat="1" x14ac:dyDescent="0.2">
      <c r="A57" s="350">
        <v>4976</v>
      </c>
      <c r="B57" s="320" t="s">
        <v>530</v>
      </c>
      <c r="C57" s="396" t="s">
        <v>519</v>
      </c>
      <c r="D57" s="355">
        <v>1</v>
      </c>
      <c r="E57" s="409">
        <v>30800</v>
      </c>
      <c r="F57" s="379">
        <f t="shared" si="7"/>
        <v>30800</v>
      </c>
      <c r="G57" s="296"/>
      <c r="H57" s="296"/>
      <c r="I57" s="296"/>
      <c r="J57" s="296"/>
      <c r="K57" s="296"/>
      <c r="L57" s="297">
        <f t="shared" si="8"/>
        <v>0</v>
      </c>
      <c r="M57" s="298">
        <v>43525</v>
      </c>
      <c r="N57" s="454">
        <v>43553</v>
      </c>
      <c r="O57" s="434" t="s">
        <v>529</v>
      </c>
      <c r="P57" s="300"/>
    </row>
    <row r="58" spans="1:16" s="301" customFormat="1" x14ac:dyDescent="0.2">
      <c r="A58" s="350">
        <v>4977</v>
      </c>
      <c r="B58" s="320" t="s">
        <v>530</v>
      </c>
      <c r="C58" s="396" t="s">
        <v>520</v>
      </c>
      <c r="D58" s="355">
        <v>1</v>
      </c>
      <c r="E58" s="409">
        <v>7480</v>
      </c>
      <c r="F58" s="379">
        <f t="shared" si="7"/>
        <v>7480</v>
      </c>
      <c r="G58" s="296"/>
      <c r="H58" s="296"/>
      <c r="I58" s="296"/>
      <c r="J58" s="296"/>
      <c r="K58" s="296"/>
      <c r="L58" s="297">
        <f t="shared" si="8"/>
        <v>0</v>
      </c>
      <c r="M58" s="298">
        <v>43525</v>
      </c>
      <c r="N58" s="454">
        <v>43553</v>
      </c>
      <c r="O58" s="434" t="s">
        <v>529</v>
      </c>
      <c r="P58" s="300"/>
    </row>
    <row r="59" spans="1:16" s="301" customFormat="1" x14ac:dyDescent="0.2">
      <c r="A59" s="350">
        <v>4978</v>
      </c>
      <c r="B59" s="320" t="s">
        <v>530</v>
      </c>
      <c r="C59" s="396" t="s">
        <v>521</v>
      </c>
      <c r="D59" s="355">
        <v>1</v>
      </c>
      <c r="E59" s="409">
        <v>2860</v>
      </c>
      <c r="F59" s="379">
        <f t="shared" si="7"/>
        <v>2860</v>
      </c>
      <c r="G59" s="296"/>
      <c r="H59" s="296"/>
      <c r="I59" s="296"/>
      <c r="J59" s="296"/>
      <c r="K59" s="296"/>
      <c r="L59" s="297">
        <f t="shared" si="8"/>
        <v>0</v>
      </c>
      <c r="M59" s="298">
        <v>43525</v>
      </c>
      <c r="N59" s="454">
        <v>43553</v>
      </c>
      <c r="O59" s="434" t="s">
        <v>529</v>
      </c>
      <c r="P59" s="300"/>
    </row>
    <row r="60" spans="1:16" s="301" customFormat="1" x14ac:dyDescent="0.2">
      <c r="A60" s="350">
        <v>4979</v>
      </c>
      <c r="B60" s="320" t="s">
        <v>530</v>
      </c>
      <c r="C60" s="396" t="s">
        <v>522</v>
      </c>
      <c r="D60" s="355">
        <v>2</v>
      </c>
      <c r="E60" s="409">
        <v>17050</v>
      </c>
      <c r="F60" s="379">
        <f t="shared" si="7"/>
        <v>34100</v>
      </c>
      <c r="G60" s="296">
        <v>2</v>
      </c>
      <c r="H60" s="296"/>
      <c r="I60" s="296"/>
      <c r="J60" s="296"/>
      <c r="K60" s="296"/>
      <c r="L60" s="297">
        <f t="shared" si="8"/>
        <v>0</v>
      </c>
      <c r="M60" s="298">
        <v>43525</v>
      </c>
      <c r="N60" s="454">
        <v>43553</v>
      </c>
      <c r="O60" s="434" t="s">
        <v>529</v>
      </c>
      <c r="P60" s="300"/>
    </row>
    <row r="61" spans="1:16" s="301" customFormat="1" x14ac:dyDescent="0.2">
      <c r="A61" s="350">
        <v>4980</v>
      </c>
      <c r="B61" s="320" t="s">
        <v>530</v>
      </c>
      <c r="C61" s="396" t="s">
        <v>523</v>
      </c>
      <c r="D61" s="355">
        <v>4</v>
      </c>
      <c r="E61" s="409">
        <v>2200</v>
      </c>
      <c r="F61" s="379">
        <f t="shared" si="7"/>
        <v>8800</v>
      </c>
      <c r="G61" s="296">
        <v>4</v>
      </c>
      <c r="H61" s="296"/>
      <c r="I61" s="296"/>
      <c r="J61" s="296"/>
      <c r="K61" s="296"/>
      <c r="L61" s="297">
        <f t="shared" si="8"/>
        <v>0</v>
      </c>
      <c r="M61" s="298">
        <v>43525</v>
      </c>
      <c r="N61" s="454">
        <v>43553</v>
      </c>
      <c r="O61" s="434" t="s">
        <v>529</v>
      </c>
      <c r="P61" s="300"/>
    </row>
    <row r="62" spans="1:16" s="301" customFormat="1" x14ac:dyDescent="0.2">
      <c r="A62" s="350">
        <v>4981</v>
      </c>
      <c r="B62" s="320" t="s">
        <v>530</v>
      </c>
      <c r="C62" s="396" t="s">
        <v>524</v>
      </c>
      <c r="D62" s="355">
        <v>4</v>
      </c>
      <c r="E62" s="409">
        <v>2090</v>
      </c>
      <c r="F62" s="379">
        <f t="shared" si="7"/>
        <v>8360</v>
      </c>
      <c r="G62" s="296">
        <v>4</v>
      </c>
      <c r="H62" s="296"/>
      <c r="I62" s="296"/>
      <c r="J62" s="296"/>
      <c r="K62" s="296"/>
      <c r="L62" s="297">
        <f t="shared" si="8"/>
        <v>0</v>
      </c>
      <c r="M62" s="298">
        <v>43525</v>
      </c>
      <c r="N62" s="454">
        <v>43553</v>
      </c>
      <c r="O62" s="434" t="s">
        <v>529</v>
      </c>
      <c r="P62" s="300"/>
    </row>
    <row r="63" spans="1:16" s="301" customFormat="1" x14ac:dyDescent="0.2">
      <c r="A63" s="350">
        <v>4982</v>
      </c>
      <c r="B63" s="320" t="s">
        <v>530</v>
      </c>
      <c r="C63" s="396" t="s">
        <v>521</v>
      </c>
      <c r="D63" s="355">
        <v>1</v>
      </c>
      <c r="E63" s="409">
        <v>385</v>
      </c>
      <c r="F63" s="379">
        <f t="shared" si="7"/>
        <v>385</v>
      </c>
      <c r="G63" s="296">
        <v>1</v>
      </c>
      <c r="H63" s="296"/>
      <c r="I63" s="296"/>
      <c r="J63" s="296"/>
      <c r="K63" s="296"/>
      <c r="L63" s="297">
        <f t="shared" si="8"/>
        <v>0</v>
      </c>
      <c r="M63" s="298">
        <v>43525</v>
      </c>
      <c r="N63" s="454">
        <v>43553</v>
      </c>
      <c r="O63" s="434" t="s">
        <v>529</v>
      </c>
      <c r="P63" s="300"/>
    </row>
    <row r="64" spans="1:16" s="301" customFormat="1" x14ac:dyDescent="0.2">
      <c r="A64" s="350">
        <v>4983</v>
      </c>
      <c r="B64" s="320" t="s">
        <v>530</v>
      </c>
      <c r="C64" s="396" t="s">
        <v>525</v>
      </c>
      <c r="D64" s="355">
        <v>30</v>
      </c>
      <c r="E64" s="409">
        <v>55</v>
      </c>
      <c r="F64" s="379">
        <f t="shared" si="7"/>
        <v>1650</v>
      </c>
      <c r="G64" s="296"/>
      <c r="H64" s="296"/>
      <c r="I64" s="296"/>
      <c r="J64" s="296"/>
      <c r="K64" s="296"/>
      <c r="L64" s="297">
        <f t="shared" si="8"/>
        <v>0</v>
      </c>
      <c r="M64" s="298">
        <v>43525</v>
      </c>
      <c r="N64" s="454">
        <v>43553</v>
      </c>
      <c r="O64" s="434" t="s">
        <v>529</v>
      </c>
      <c r="P64" s="300"/>
    </row>
    <row r="65" spans="1:16" s="301" customFormat="1" x14ac:dyDescent="0.2">
      <c r="A65" s="350">
        <v>4984</v>
      </c>
      <c r="B65" s="320" t="s">
        <v>530</v>
      </c>
      <c r="C65" s="396" t="s">
        <v>526</v>
      </c>
      <c r="D65" s="355">
        <v>10</v>
      </c>
      <c r="E65" s="409">
        <v>93.5</v>
      </c>
      <c r="F65" s="379">
        <f t="shared" si="7"/>
        <v>935</v>
      </c>
      <c r="G65" s="296">
        <v>10</v>
      </c>
      <c r="H65" s="296"/>
      <c r="I65" s="296"/>
      <c r="J65" s="296"/>
      <c r="K65" s="296"/>
      <c r="L65" s="297">
        <f t="shared" si="8"/>
        <v>0</v>
      </c>
      <c r="M65" s="298">
        <v>43525</v>
      </c>
      <c r="N65" s="454">
        <v>43553</v>
      </c>
      <c r="O65" s="434" t="s">
        <v>529</v>
      </c>
      <c r="P65" s="300"/>
    </row>
    <row r="66" spans="1:16" s="301" customFormat="1" x14ac:dyDescent="0.2">
      <c r="A66" s="350">
        <v>4985</v>
      </c>
      <c r="B66" s="320" t="s">
        <v>530</v>
      </c>
      <c r="C66" s="396" t="s">
        <v>527</v>
      </c>
      <c r="D66" s="355">
        <v>1</v>
      </c>
      <c r="E66" s="409">
        <v>451</v>
      </c>
      <c r="F66" s="379">
        <f t="shared" si="7"/>
        <v>451</v>
      </c>
      <c r="G66" s="296">
        <v>1</v>
      </c>
      <c r="H66" s="296"/>
      <c r="I66" s="296"/>
      <c r="J66" s="296"/>
      <c r="K66" s="296"/>
      <c r="L66" s="297">
        <f t="shared" si="8"/>
        <v>0</v>
      </c>
      <c r="M66" s="298">
        <v>43525</v>
      </c>
      <c r="N66" s="454">
        <v>43553</v>
      </c>
      <c r="O66" s="434" t="s">
        <v>529</v>
      </c>
      <c r="P66" s="300"/>
    </row>
    <row r="67" spans="1:16" s="301" customFormat="1" x14ac:dyDescent="0.2">
      <c r="A67" s="350">
        <v>4986</v>
      </c>
      <c r="B67" s="320" t="s">
        <v>530</v>
      </c>
      <c r="C67" s="396" t="s">
        <v>528</v>
      </c>
      <c r="D67" s="355">
        <v>1</v>
      </c>
      <c r="E67" s="409">
        <v>1430</v>
      </c>
      <c r="F67" s="379">
        <f t="shared" ref="F67:F95" si="9">E67*D67</f>
        <v>1430</v>
      </c>
      <c r="G67" s="296"/>
      <c r="H67" s="296"/>
      <c r="I67" s="296"/>
      <c r="J67" s="296"/>
      <c r="K67" s="296"/>
      <c r="L67" s="297">
        <f t="shared" ref="L67:L68" si="10">E67*(H67+I67+J67+K67)</f>
        <v>0</v>
      </c>
      <c r="M67" s="298">
        <v>43525</v>
      </c>
      <c r="N67" s="454">
        <v>43553</v>
      </c>
      <c r="O67" s="434" t="s">
        <v>529</v>
      </c>
      <c r="P67" s="300"/>
    </row>
    <row r="68" spans="1:16" s="301" customFormat="1" x14ac:dyDescent="0.2">
      <c r="A68" s="319">
        <v>5163</v>
      </c>
      <c r="B68" s="320" t="s">
        <v>552</v>
      </c>
      <c r="C68" s="445" t="s">
        <v>562</v>
      </c>
      <c r="D68" s="355">
        <v>5</v>
      </c>
      <c r="E68" s="409">
        <v>5700</v>
      </c>
      <c r="F68" s="379">
        <f t="shared" si="9"/>
        <v>28500</v>
      </c>
      <c r="G68" s="296">
        <v>5</v>
      </c>
      <c r="H68" s="296"/>
      <c r="I68" s="296"/>
      <c r="J68" s="357">
        <v>5</v>
      </c>
      <c r="K68" s="296"/>
      <c r="L68" s="297">
        <f t="shared" si="10"/>
        <v>28500</v>
      </c>
      <c r="M68" s="298">
        <v>43535</v>
      </c>
      <c r="N68" s="298">
        <v>43545</v>
      </c>
      <c r="O68" s="439" t="s">
        <v>553</v>
      </c>
      <c r="P68" s="300"/>
    </row>
    <row r="69" spans="1:16" s="301" customFormat="1" x14ac:dyDescent="0.2">
      <c r="A69" s="319">
        <v>5164</v>
      </c>
      <c r="B69" s="320" t="s">
        <v>552</v>
      </c>
      <c r="C69" s="445" t="s">
        <v>563</v>
      </c>
      <c r="D69" s="355">
        <v>40</v>
      </c>
      <c r="E69" s="409">
        <v>2400</v>
      </c>
      <c r="F69" s="379">
        <f t="shared" si="9"/>
        <v>96000</v>
      </c>
      <c r="G69" s="296">
        <v>40</v>
      </c>
      <c r="H69" s="296"/>
      <c r="I69" s="296"/>
      <c r="J69" s="357">
        <v>40</v>
      </c>
      <c r="K69" s="296"/>
      <c r="L69" s="297">
        <f t="shared" ref="L69:L84" si="11">E69*(H69+I69+J69+K69)</f>
        <v>96000</v>
      </c>
      <c r="M69" s="298">
        <v>43535</v>
      </c>
      <c r="N69" s="298">
        <v>43545</v>
      </c>
      <c r="O69" s="439" t="s">
        <v>553</v>
      </c>
      <c r="P69" s="300"/>
    </row>
    <row r="70" spans="1:16" s="301" customFormat="1" x14ac:dyDescent="0.2">
      <c r="A70" s="319">
        <v>5165</v>
      </c>
      <c r="B70" s="320" t="s">
        <v>552</v>
      </c>
      <c r="C70" s="445" t="s">
        <v>564</v>
      </c>
      <c r="D70" s="355">
        <v>10</v>
      </c>
      <c r="E70" s="409">
        <v>3800</v>
      </c>
      <c r="F70" s="379">
        <f t="shared" si="9"/>
        <v>38000</v>
      </c>
      <c r="G70" s="296">
        <v>10</v>
      </c>
      <c r="H70" s="296"/>
      <c r="I70" s="296"/>
      <c r="J70" s="357">
        <v>10</v>
      </c>
      <c r="K70" s="296"/>
      <c r="L70" s="297">
        <f t="shared" si="11"/>
        <v>38000</v>
      </c>
      <c r="M70" s="298">
        <v>43535</v>
      </c>
      <c r="N70" s="298">
        <v>43545</v>
      </c>
      <c r="O70" s="446" t="s">
        <v>553</v>
      </c>
      <c r="P70" s="300"/>
    </row>
    <row r="71" spans="1:16" s="301" customFormat="1" x14ac:dyDescent="0.2">
      <c r="A71" s="319" t="s">
        <v>626</v>
      </c>
      <c r="B71" s="320" t="s">
        <v>581</v>
      </c>
      <c r="C71" s="445" t="s">
        <v>566</v>
      </c>
      <c r="D71" s="355">
        <v>1</v>
      </c>
      <c r="E71" s="409">
        <v>7354</v>
      </c>
      <c r="F71" s="379">
        <f t="shared" ref="F71:F85" si="12">E71*D71</f>
        <v>7354</v>
      </c>
      <c r="G71" s="296">
        <v>1</v>
      </c>
      <c r="H71" s="296"/>
      <c r="I71" s="296"/>
      <c r="J71" s="296"/>
      <c r="K71" s="357">
        <v>1</v>
      </c>
      <c r="L71" s="297">
        <f t="shared" si="11"/>
        <v>7354</v>
      </c>
      <c r="M71" s="298">
        <v>43539</v>
      </c>
      <c r="N71" s="298">
        <v>43560</v>
      </c>
      <c r="O71" s="446" t="s">
        <v>613</v>
      </c>
      <c r="P71" s="300"/>
    </row>
    <row r="72" spans="1:16" s="301" customFormat="1" x14ac:dyDescent="0.2">
      <c r="A72" s="350">
        <v>5213</v>
      </c>
      <c r="B72" s="320" t="s">
        <v>581</v>
      </c>
      <c r="C72" s="396" t="s">
        <v>567</v>
      </c>
      <c r="D72" s="355">
        <v>18</v>
      </c>
      <c r="E72" s="409">
        <v>1406</v>
      </c>
      <c r="F72" s="379">
        <f t="shared" si="12"/>
        <v>25308</v>
      </c>
      <c r="G72" s="296">
        <v>18</v>
      </c>
      <c r="H72" s="296"/>
      <c r="I72" s="296"/>
      <c r="J72" s="296"/>
      <c r="K72" s="296"/>
      <c r="L72" s="297">
        <f t="shared" si="11"/>
        <v>0</v>
      </c>
      <c r="M72" s="298">
        <v>43539</v>
      </c>
      <c r="N72" s="298">
        <v>43553</v>
      </c>
      <c r="O72" s="446" t="s">
        <v>613</v>
      </c>
      <c r="P72" s="300"/>
    </row>
    <row r="73" spans="1:16" s="301" customFormat="1" x14ac:dyDescent="0.2">
      <c r="A73" s="319">
        <v>5214</v>
      </c>
      <c r="B73" s="320" t="s">
        <v>581</v>
      </c>
      <c r="C73" s="445" t="s">
        <v>568</v>
      </c>
      <c r="D73" s="355">
        <v>37</v>
      </c>
      <c r="E73" s="409">
        <v>5840</v>
      </c>
      <c r="F73" s="379">
        <f t="shared" si="12"/>
        <v>216080</v>
      </c>
      <c r="G73" s="296">
        <v>37</v>
      </c>
      <c r="H73" s="296"/>
      <c r="I73" s="296"/>
      <c r="J73" s="296"/>
      <c r="K73" s="357">
        <v>37</v>
      </c>
      <c r="L73" s="297">
        <f t="shared" si="11"/>
        <v>216080</v>
      </c>
      <c r="M73" s="298">
        <v>43539</v>
      </c>
      <c r="N73" s="298">
        <v>43549</v>
      </c>
      <c r="O73" s="446" t="s">
        <v>613</v>
      </c>
      <c r="P73" s="300"/>
    </row>
    <row r="74" spans="1:16" s="301" customFormat="1" x14ac:dyDescent="0.2">
      <c r="A74" s="319">
        <v>5215</v>
      </c>
      <c r="B74" s="320" t="s">
        <v>581</v>
      </c>
      <c r="C74" s="445" t="s">
        <v>569</v>
      </c>
      <c r="D74" s="355">
        <v>2</v>
      </c>
      <c r="E74" s="409">
        <v>4974.5</v>
      </c>
      <c r="F74" s="379">
        <f t="shared" si="12"/>
        <v>9949</v>
      </c>
      <c r="G74" s="296">
        <v>2</v>
      </c>
      <c r="H74" s="296"/>
      <c r="I74" s="296"/>
      <c r="J74" s="296"/>
      <c r="K74" s="357">
        <v>2</v>
      </c>
      <c r="L74" s="297">
        <f t="shared" si="11"/>
        <v>9949</v>
      </c>
      <c r="M74" s="298">
        <v>43539</v>
      </c>
      <c r="N74" s="298">
        <v>43549</v>
      </c>
      <c r="O74" s="446" t="s">
        <v>613</v>
      </c>
      <c r="P74" s="300"/>
    </row>
    <row r="75" spans="1:16" s="301" customFormat="1" x14ac:dyDescent="0.2">
      <c r="A75" s="319">
        <v>5216</v>
      </c>
      <c r="B75" s="320" t="s">
        <v>581</v>
      </c>
      <c r="C75" s="445" t="s">
        <v>570</v>
      </c>
      <c r="D75" s="355">
        <v>1</v>
      </c>
      <c r="E75" s="409">
        <v>4434</v>
      </c>
      <c r="F75" s="379">
        <f t="shared" si="12"/>
        <v>4434</v>
      </c>
      <c r="G75" s="296">
        <v>1</v>
      </c>
      <c r="H75" s="296"/>
      <c r="I75" s="296"/>
      <c r="J75" s="296"/>
      <c r="K75" s="357">
        <v>1</v>
      </c>
      <c r="L75" s="297">
        <f t="shared" si="11"/>
        <v>4434</v>
      </c>
      <c r="M75" s="298">
        <v>43539</v>
      </c>
      <c r="N75" s="298">
        <v>43549</v>
      </c>
      <c r="O75" s="446" t="s">
        <v>613</v>
      </c>
      <c r="P75" s="300"/>
    </row>
    <row r="76" spans="1:16" s="301" customFormat="1" x14ac:dyDescent="0.2">
      <c r="A76" s="319">
        <v>5217</v>
      </c>
      <c r="B76" s="320" t="s">
        <v>581</v>
      </c>
      <c r="C76" s="445" t="s">
        <v>571</v>
      </c>
      <c r="D76" s="355">
        <v>1</v>
      </c>
      <c r="E76" s="409">
        <v>7137.5</v>
      </c>
      <c r="F76" s="379">
        <f t="shared" si="12"/>
        <v>7137.5</v>
      </c>
      <c r="G76" s="296">
        <v>1</v>
      </c>
      <c r="H76" s="296"/>
      <c r="I76" s="296"/>
      <c r="J76" s="296"/>
      <c r="K76" s="357">
        <v>1</v>
      </c>
      <c r="L76" s="297">
        <f t="shared" si="11"/>
        <v>7137.5</v>
      </c>
      <c r="M76" s="298">
        <v>43539</v>
      </c>
      <c r="N76" s="298">
        <v>43553</v>
      </c>
      <c r="O76" s="446" t="s">
        <v>613</v>
      </c>
      <c r="P76" s="300"/>
    </row>
    <row r="77" spans="1:16" s="301" customFormat="1" x14ac:dyDescent="0.2">
      <c r="A77" s="319">
        <v>5218</v>
      </c>
      <c r="B77" s="320" t="s">
        <v>581</v>
      </c>
      <c r="C77" s="396" t="s">
        <v>572</v>
      </c>
      <c r="D77" s="355">
        <v>9</v>
      </c>
      <c r="E77" s="409">
        <v>6759</v>
      </c>
      <c r="F77" s="379">
        <f t="shared" si="12"/>
        <v>60831</v>
      </c>
      <c r="G77" s="296">
        <v>9</v>
      </c>
      <c r="H77" s="296"/>
      <c r="I77" s="296"/>
      <c r="J77" s="296"/>
      <c r="K77" s="357">
        <v>9</v>
      </c>
      <c r="L77" s="297">
        <f t="shared" si="11"/>
        <v>60831</v>
      </c>
      <c r="M77" s="298">
        <v>43539</v>
      </c>
      <c r="N77" s="298">
        <v>43553</v>
      </c>
      <c r="O77" s="446" t="s">
        <v>613</v>
      </c>
      <c r="P77" s="300"/>
    </row>
    <row r="78" spans="1:16" s="301" customFormat="1" x14ac:dyDescent="0.2">
      <c r="A78" s="319">
        <v>5219</v>
      </c>
      <c r="B78" s="320" t="s">
        <v>581</v>
      </c>
      <c r="C78" s="396" t="s">
        <v>573</v>
      </c>
      <c r="D78" s="355">
        <v>1</v>
      </c>
      <c r="E78" s="409">
        <v>6326.5</v>
      </c>
      <c r="F78" s="379">
        <f t="shared" si="12"/>
        <v>6326.5</v>
      </c>
      <c r="G78" s="296">
        <v>1</v>
      </c>
      <c r="H78" s="296"/>
      <c r="I78" s="296"/>
      <c r="J78" s="296"/>
      <c r="K78" s="357">
        <v>1</v>
      </c>
      <c r="L78" s="297">
        <f t="shared" si="11"/>
        <v>6326.5</v>
      </c>
      <c r="M78" s="298">
        <v>43539</v>
      </c>
      <c r="N78" s="298">
        <v>43553</v>
      </c>
      <c r="O78" s="446" t="s">
        <v>613</v>
      </c>
      <c r="P78" s="300"/>
    </row>
    <row r="79" spans="1:16" s="301" customFormat="1" x14ac:dyDescent="0.2">
      <c r="A79" s="350">
        <v>5220</v>
      </c>
      <c r="B79" s="320" t="s">
        <v>581</v>
      </c>
      <c r="C79" s="396" t="s">
        <v>574</v>
      </c>
      <c r="D79" s="355">
        <v>1</v>
      </c>
      <c r="E79" s="409">
        <v>11733.5</v>
      </c>
      <c r="F79" s="379">
        <f t="shared" si="12"/>
        <v>11733.5</v>
      </c>
      <c r="G79" s="296"/>
      <c r="H79" s="296"/>
      <c r="I79" s="296"/>
      <c r="J79" s="296"/>
      <c r="K79" s="296"/>
      <c r="L79" s="297">
        <f t="shared" si="11"/>
        <v>0</v>
      </c>
      <c r="M79" s="298">
        <v>43539</v>
      </c>
      <c r="N79" s="454">
        <v>43553</v>
      </c>
      <c r="O79" s="446" t="s">
        <v>613</v>
      </c>
      <c r="P79" s="300"/>
    </row>
    <row r="80" spans="1:16" s="301" customFormat="1" x14ac:dyDescent="0.2">
      <c r="A80" s="319">
        <v>5221</v>
      </c>
      <c r="B80" s="320" t="s">
        <v>581</v>
      </c>
      <c r="C80" s="445" t="s">
        <v>575</v>
      </c>
      <c r="D80" s="355">
        <v>7</v>
      </c>
      <c r="E80" s="409">
        <v>10273.5</v>
      </c>
      <c r="F80" s="379">
        <f t="shared" si="12"/>
        <v>71914.5</v>
      </c>
      <c r="G80" s="296">
        <v>7</v>
      </c>
      <c r="H80" s="296"/>
      <c r="I80" s="296"/>
      <c r="J80" s="296"/>
      <c r="K80" s="357">
        <v>7</v>
      </c>
      <c r="L80" s="297">
        <f t="shared" si="11"/>
        <v>71914.5</v>
      </c>
      <c r="M80" s="298">
        <v>43539</v>
      </c>
      <c r="N80" s="298">
        <v>43549</v>
      </c>
      <c r="O80" s="446" t="s">
        <v>613</v>
      </c>
      <c r="P80" s="300"/>
    </row>
    <row r="81" spans="1:16" s="301" customFormat="1" x14ac:dyDescent="0.2">
      <c r="A81" s="319">
        <v>5222</v>
      </c>
      <c r="B81" s="320" t="s">
        <v>581</v>
      </c>
      <c r="C81" s="445" t="s">
        <v>576</v>
      </c>
      <c r="D81" s="355">
        <v>5</v>
      </c>
      <c r="E81" s="409">
        <v>4758.5</v>
      </c>
      <c r="F81" s="379">
        <f t="shared" si="12"/>
        <v>23792.5</v>
      </c>
      <c r="G81" s="296">
        <v>5</v>
      </c>
      <c r="H81" s="296"/>
      <c r="I81" s="296"/>
      <c r="J81" s="296"/>
      <c r="K81" s="357">
        <v>5</v>
      </c>
      <c r="L81" s="297">
        <f t="shared" si="11"/>
        <v>23792.5</v>
      </c>
      <c r="M81" s="298">
        <v>43539</v>
      </c>
      <c r="N81" s="298">
        <v>43560</v>
      </c>
      <c r="O81" s="446" t="s">
        <v>613</v>
      </c>
      <c r="P81" s="300"/>
    </row>
    <row r="82" spans="1:16" s="301" customFormat="1" x14ac:dyDescent="0.2">
      <c r="A82" s="350">
        <v>5223</v>
      </c>
      <c r="B82" s="320" t="s">
        <v>581</v>
      </c>
      <c r="C82" s="396" t="s">
        <v>577</v>
      </c>
      <c r="D82" s="355">
        <v>1</v>
      </c>
      <c r="E82" s="409">
        <v>5407</v>
      </c>
      <c r="F82" s="379">
        <f t="shared" si="12"/>
        <v>5407</v>
      </c>
      <c r="G82" s="296"/>
      <c r="H82" s="296"/>
      <c r="I82" s="296"/>
      <c r="J82" s="296"/>
      <c r="K82" s="296"/>
      <c r="L82" s="297">
        <f t="shared" si="11"/>
        <v>0</v>
      </c>
      <c r="M82" s="298">
        <v>43539</v>
      </c>
      <c r="N82" s="298">
        <v>43565</v>
      </c>
      <c r="O82" s="446" t="s">
        <v>613</v>
      </c>
      <c r="P82" s="300"/>
    </row>
    <row r="83" spans="1:16" s="301" customFormat="1" x14ac:dyDescent="0.2">
      <c r="A83" s="350">
        <v>5224</v>
      </c>
      <c r="B83" s="320" t="s">
        <v>581</v>
      </c>
      <c r="C83" s="396" t="s">
        <v>578</v>
      </c>
      <c r="D83" s="355">
        <v>9</v>
      </c>
      <c r="E83" s="409">
        <v>8543.5</v>
      </c>
      <c r="F83" s="379">
        <f t="shared" si="12"/>
        <v>76891.5</v>
      </c>
      <c r="G83" s="296"/>
      <c r="H83" s="296"/>
      <c r="I83" s="296"/>
      <c r="J83" s="296"/>
      <c r="K83" s="296"/>
      <c r="L83" s="297">
        <f t="shared" si="11"/>
        <v>0</v>
      </c>
      <c r="M83" s="298">
        <v>43539</v>
      </c>
      <c r="N83" s="298">
        <v>43565</v>
      </c>
      <c r="O83" s="446" t="s">
        <v>613</v>
      </c>
      <c r="P83" s="300"/>
    </row>
    <row r="84" spans="1:16" s="301" customFormat="1" x14ac:dyDescent="0.2">
      <c r="A84" s="350">
        <v>5225</v>
      </c>
      <c r="B84" s="320" t="s">
        <v>581</v>
      </c>
      <c r="C84" s="396" t="s">
        <v>579</v>
      </c>
      <c r="D84" s="355">
        <v>9</v>
      </c>
      <c r="E84" s="409">
        <v>11247</v>
      </c>
      <c r="F84" s="379">
        <f t="shared" si="12"/>
        <v>101223</v>
      </c>
      <c r="G84" s="296"/>
      <c r="H84" s="296"/>
      <c r="I84" s="296"/>
      <c r="J84" s="296"/>
      <c r="K84" s="296"/>
      <c r="L84" s="297">
        <f t="shared" si="11"/>
        <v>0</v>
      </c>
      <c r="M84" s="298">
        <v>43539</v>
      </c>
      <c r="N84" s="298">
        <v>43565</v>
      </c>
      <c r="O84" s="446" t="s">
        <v>613</v>
      </c>
      <c r="P84" s="300"/>
    </row>
    <row r="85" spans="1:16" s="301" customFormat="1" x14ac:dyDescent="0.2">
      <c r="A85" s="350">
        <v>5226</v>
      </c>
      <c r="B85" s="320" t="s">
        <v>581</v>
      </c>
      <c r="C85" s="396" t="s">
        <v>580</v>
      </c>
      <c r="D85" s="355">
        <v>1</v>
      </c>
      <c r="E85" s="409">
        <v>13301.5</v>
      </c>
      <c r="F85" s="379">
        <f t="shared" si="12"/>
        <v>13301.5</v>
      </c>
      <c r="G85" s="296"/>
      <c r="H85" s="296"/>
      <c r="I85" s="296"/>
      <c r="J85" s="296"/>
      <c r="K85" s="296"/>
      <c r="L85" s="297">
        <f t="shared" ref="L85:L96" si="13">E85*(H85+I85+J85+K85)</f>
        <v>0</v>
      </c>
      <c r="M85" s="298">
        <v>43539</v>
      </c>
      <c r="N85" s="298">
        <v>43565</v>
      </c>
      <c r="O85" s="446" t="s">
        <v>613</v>
      </c>
      <c r="P85" s="300"/>
    </row>
    <row r="86" spans="1:16" s="301" customFormat="1" x14ac:dyDescent="0.2">
      <c r="A86" s="319">
        <v>5199</v>
      </c>
      <c r="B86" s="320" t="s">
        <v>608</v>
      </c>
      <c r="C86" s="445" t="s">
        <v>609</v>
      </c>
      <c r="D86" s="355">
        <v>2</v>
      </c>
      <c r="E86" s="409">
        <v>12524</v>
      </c>
      <c r="F86" s="379">
        <f t="shared" ref="F86:F93" si="14">E86*D86</f>
        <v>25048</v>
      </c>
      <c r="G86" s="296">
        <v>2</v>
      </c>
      <c r="H86" s="296"/>
      <c r="I86" s="296"/>
      <c r="J86" s="296"/>
      <c r="K86" s="357">
        <v>2</v>
      </c>
      <c r="L86" s="297">
        <f t="shared" si="13"/>
        <v>25048</v>
      </c>
      <c r="M86" s="298"/>
      <c r="N86" s="298"/>
      <c r="O86" s="446" t="s">
        <v>614</v>
      </c>
      <c r="P86" s="300"/>
    </row>
    <row r="87" spans="1:16" s="301" customFormat="1" x14ac:dyDescent="0.2">
      <c r="A87" s="319">
        <v>5200</v>
      </c>
      <c r="B87" s="320" t="s">
        <v>608</v>
      </c>
      <c r="C87" s="445" t="s">
        <v>610</v>
      </c>
      <c r="D87" s="355">
        <v>4</v>
      </c>
      <c r="E87" s="409">
        <v>12772</v>
      </c>
      <c r="F87" s="379">
        <f t="shared" si="14"/>
        <v>51088</v>
      </c>
      <c r="G87" s="296">
        <v>4</v>
      </c>
      <c r="H87" s="296"/>
      <c r="I87" s="296"/>
      <c r="J87" s="296"/>
      <c r="K87" s="357">
        <v>4</v>
      </c>
      <c r="L87" s="297">
        <f t="shared" si="13"/>
        <v>51088</v>
      </c>
      <c r="M87" s="298"/>
      <c r="N87" s="298"/>
      <c r="O87" s="446" t="s">
        <v>614</v>
      </c>
      <c r="P87" s="300"/>
    </row>
    <row r="88" spans="1:16" s="301" customFormat="1" x14ac:dyDescent="0.2">
      <c r="A88" s="319">
        <v>5201</v>
      </c>
      <c r="B88" s="320" t="s">
        <v>608</v>
      </c>
      <c r="C88" s="445" t="s">
        <v>611</v>
      </c>
      <c r="D88" s="355">
        <v>1</v>
      </c>
      <c r="E88" s="409">
        <v>13640</v>
      </c>
      <c r="F88" s="379">
        <f t="shared" si="14"/>
        <v>13640</v>
      </c>
      <c r="G88" s="296">
        <v>1</v>
      </c>
      <c r="H88" s="296"/>
      <c r="I88" s="296"/>
      <c r="J88" s="296"/>
      <c r="K88" s="357">
        <v>1</v>
      </c>
      <c r="L88" s="297">
        <f t="shared" si="13"/>
        <v>13640</v>
      </c>
      <c r="M88" s="298"/>
      <c r="N88" s="298"/>
      <c r="O88" s="446" t="s">
        <v>614</v>
      </c>
      <c r="P88" s="300"/>
    </row>
    <row r="89" spans="1:16" s="301" customFormat="1" x14ac:dyDescent="0.2">
      <c r="A89" s="319">
        <v>5202</v>
      </c>
      <c r="B89" s="320" t="s">
        <v>608</v>
      </c>
      <c r="C89" s="445" t="s">
        <v>612</v>
      </c>
      <c r="D89" s="355">
        <v>1</v>
      </c>
      <c r="E89" s="409">
        <v>12375.5</v>
      </c>
      <c r="F89" s="379">
        <f t="shared" si="14"/>
        <v>12375.5</v>
      </c>
      <c r="G89" s="296">
        <v>1</v>
      </c>
      <c r="H89" s="296"/>
      <c r="I89" s="296"/>
      <c r="J89" s="296"/>
      <c r="K89" s="357">
        <v>1</v>
      </c>
      <c r="L89" s="297">
        <f t="shared" si="13"/>
        <v>12375.5</v>
      </c>
      <c r="M89" s="298"/>
      <c r="N89" s="298"/>
      <c r="O89" s="446" t="s">
        <v>614</v>
      </c>
      <c r="P89" s="300"/>
    </row>
    <row r="90" spans="1:16" s="301" customFormat="1" x14ac:dyDescent="0.2">
      <c r="A90" s="350"/>
      <c r="B90" s="353"/>
      <c r="C90" s="396"/>
      <c r="D90" s="355"/>
      <c r="E90" s="409"/>
      <c r="F90" s="379">
        <f t="shared" si="14"/>
        <v>0</v>
      </c>
      <c r="G90" s="296"/>
      <c r="H90" s="296"/>
      <c r="I90" s="296"/>
      <c r="J90" s="296"/>
      <c r="K90" s="296"/>
      <c r="L90" s="297">
        <f t="shared" si="13"/>
        <v>0</v>
      </c>
      <c r="M90" s="298"/>
      <c r="N90" s="298"/>
      <c r="O90" s="439"/>
      <c r="P90" s="300"/>
    </row>
    <row r="91" spans="1:16" s="301" customFormat="1" x14ac:dyDescent="0.2">
      <c r="A91" s="350"/>
      <c r="B91" s="353"/>
      <c r="C91" s="396"/>
      <c r="D91" s="355"/>
      <c r="E91" s="409"/>
      <c r="F91" s="379">
        <f t="shared" si="14"/>
        <v>0</v>
      </c>
      <c r="G91" s="296"/>
      <c r="H91" s="296"/>
      <c r="I91" s="296"/>
      <c r="J91" s="296"/>
      <c r="K91" s="296"/>
      <c r="L91" s="297">
        <f t="shared" si="13"/>
        <v>0</v>
      </c>
      <c r="M91" s="298"/>
      <c r="N91" s="298"/>
      <c r="O91" s="439"/>
      <c r="P91" s="300"/>
    </row>
    <row r="92" spans="1:16" s="301" customFormat="1" x14ac:dyDescent="0.2">
      <c r="A92" s="350"/>
      <c r="B92" s="353"/>
      <c r="C92" s="396"/>
      <c r="D92" s="355"/>
      <c r="E92" s="409"/>
      <c r="F92" s="379">
        <f t="shared" si="14"/>
        <v>0</v>
      </c>
      <c r="G92" s="296"/>
      <c r="H92" s="296"/>
      <c r="I92" s="296"/>
      <c r="J92" s="296"/>
      <c r="K92" s="296"/>
      <c r="L92" s="297">
        <f t="shared" si="13"/>
        <v>0</v>
      </c>
      <c r="M92" s="298"/>
      <c r="N92" s="298"/>
      <c r="O92" s="439"/>
      <c r="P92" s="300"/>
    </row>
    <row r="93" spans="1:16" s="301" customFormat="1" x14ac:dyDescent="0.2">
      <c r="A93" s="350"/>
      <c r="B93" s="353"/>
      <c r="C93" s="396"/>
      <c r="D93" s="355"/>
      <c r="E93" s="409"/>
      <c r="F93" s="379">
        <f t="shared" si="14"/>
        <v>0</v>
      </c>
      <c r="G93" s="296"/>
      <c r="H93" s="296"/>
      <c r="I93" s="296"/>
      <c r="J93" s="296"/>
      <c r="K93" s="296"/>
      <c r="L93" s="297">
        <f t="shared" si="13"/>
        <v>0</v>
      </c>
      <c r="M93" s="298"/>
      <c r="N93" s="298"/>
      <c r="O93" s="439"/>
      <c r="P93" s="300"/>
    </row>
    <row r="94" spans="1:16" s="301" customFormat="1" x14ac:dyDescent="0.2">
      <c r="A94" s="350"/>
      <c r="B94" s="353"/>
      <c r="C94" s="396"/>
      <c r="D94" s="355"/>
      <c r="E94" s="409"/>
      <c r="F94" s="379">
        <f t="shared" si="9"/>
        <v>0</v>
      </c>
      <c r="G94" s="296"/>
      <c r="H94" s="296"/>
      <c r="I94" s="296"/>
      <c r="J94" s="296"/>
      <c r="K94" s="296"/>
      <c r="L94" s="297">
        <f t="shared" si="13"/>
        <v>0</v>
      </c>
      <c r="M94" s="298"/>
      <c r="N94" s="298"/>
      <c r="O94" s="394"/>
      <c r="P94" s="300"/>
    </row>
    <row r="95" spans="1:16" s="301" customFormat="1" x14ac:dyDescent="0.2">
      <c r="A95" s="290">
        <v>4571</v>
      </c>
      <c r="B95" s="291" t="s">
        <v>235</v>
      </c>
      <c r="C95" s="395" t="s">
        <v>237</v>
      </c>
      <c r="D95" s="293">
        <v>1</v>
      </c>
      <c r="E95" s="411"/>
      <c r="F95" s="379">
        <f t="shared" si="9"/>
        <v>0</v>
      </c>
      <c r="G95" s="296"/>
      <c r="H95" s="296"/>
      <c r="I95" s="296"/>
      <c r="J95" s="296"/>
      <c r="K95" s="296"/>
      <c r="L95" s="297">
        <f t="shared" si="13"/>
        <v>0</v>
      </c>
      <c r="M95" s="298"/>
      <c r="N95" s="298"/>
      <c r="O95" s="315"/>
      <c r="P95" s="300"/>
    </row>
    <row r="96" spans="1:16" s="301" customFormat="1" x14ac:dyDescent="0.2">
      <c r="A96" s="290">
        <v>4572</v>
      </c>
      <c r="B96" s="291" t="s">
        <v>235</v>
      </c>
      <c r="C96" s="395" t="s">
        <v>238</v>
      </c>
      <c r="D96" s="293">
        <v>1</v>
      </c>
      <c r="E96" s="408">
        <v>105000</v>
      </c>
      <c r="F96" s="379"/>
      <c r="G96" s="296"/>
      <c r="H96" s="296"/>
      <c r="I96" s="296"/>
      <c r="J96" s="296"/>
      <c r="K96" s="296"/>
      <c r="L96" s="297">
        <f t="shared" si="13"/>
        <v>0</v>
      </c>
      <c r="M96" s="298"/>
      <c r="N96" s="298"/>
      <c r="O96" s="315"/>
      <c r="P96" s="300"/>
    </row>
    <row r="97" spans="1:16" s="301" customFormat="1" x14ac:dyDescent="0.2">
      <c r="A97" s="290">
        <v>4681</v>
      </c>
      <c r="B97" s="291" t="s">
        <v>518</v>
      </c>
      <c r="C97" s="395" t="s">
        <v>239</v>
      </c>
      <c r="D97" s="293">
        <v>3194</v>
      </c>
      <c r="E97" s="408">
        <v>12.5</v>
      </c>
      <c r="F97" s="379">
        <f t="shared" si="3"/>
        <v>39925</v>
      </c>
      <c r="G97" s="296">
        <v>3194</v>
      </c>
      <c r="H97" s="352">
        <v>3194</v>
      </c>
      <c r="I97" s="296"/>
      <c r="J97" s="296"/>
      <c r="K97" s="296"/>
      <c r="L97" s="297">
        <f t="shared" si="1"/>
        <v>39925</v>
      </c>
      <c r="M97" s="298"/>
      <c r="N97" s="298"/>
      <c r="O97" s="315"/>
      <c r="P97" s="300"/>
    </row>
    <row r="98" spans="1:16" s="301" customFormat="1" x14ac:dyDescent="0.2">
      <c r="A98" s="290">
        <v>4530</v>
      </c>
      <c r="B98" s="291" t="s">
        <v>235</v>
      </c>
      <c r="C98" s="395" t="s">
        <v>240</v>
      </c>
      <c r="D98" s="293"/>
      <c r="E98" s="408">
        <v>55</v>
      </c>
      <c r="F98" s="379">
        <f t="shared" si="3"/>
        <v>0</v>
      </c>
      <c r="G98" s="296"/>
      <c r="H98" s="296"/>
      <c r="I98" s="296"/>
      <c r="J98" s="296"/>
      <c r="K98" s="296"/>
      <c r="L98" s="297">
        <f t="shared" si="1"/>
        <v>0</v>
      </c>
      <c r="M98" s="298"/>
      <c r="N98" s="298"/>
      <c r="O98" s="315"/>
      <c r="P98" s="300"/>
    </row>
    <row r="99" spans="1:16" s="301" customFormat="1" x14ac:dyDescent="0.2">
      <c r="A99" s="290">
        <v>4682</v>
      </c>
      <c r="B99" s="291" t="s">
        <v>518</v>
      </c>
      <c r="C99" s="395" t="s">
        <v>273</v>
      </c>
      <c r="D99" s="293">
        <v>448</v>
      </c>
      <c r="E99" s="408">
        <v>12.5</v>
      </c>
      <c r="F99" s="379">
        <f t="shared" si="3"/>
        <v>5600</v>
      </c>
      <c r="G99" s="296">
        <v>448</v>
      </c>
      <c r="H99" s="352">
        <v>448</v>
      </c>
      <c r="I99" s="296"/>
      <c r="J99" s="296"/>
      <c r="K99" s="296"/>
      <c r="L99" s="297">
        <f t="shared" si="1"/>
        <v>5600</v>
      </c>
      <c r="M99" s="298"/>
      <c r="N99" s="298"/>
      <c r="O99" s="315"/>
      <c r="P99" s="300"/>
    </row>
    <row r="100" spans="1:16" s="301" customFormat="1" x14ac:dyDescent="0.2">
      <c r="A100" s="319">
        <v>4882</v>
      </c>
      <c r="B100" s="320" t="s">
        <v>472</v>
      </c>
      <c r="C100" s="399" t="s">
        <v>490</v>
      </c>
      <c r="D100" s="322">
        <v>1</v>
      </c>
      <c r="E100" s="412">
        <v>120000</v>
      </c>
      <c r="F100" s="379"/>
      <c r="G100" s="296"/>
      <c r="H100" s="296"/>
      <c r="I100" s="296"/>
      <c r="J100" s="296"/>
      <c r="K100" s="296"/>
      <c r="L100" s="297">
        <f t="shared" ref="L100:L115" si="15">E100*(H100+I100+J100+K100)</f>
        <v>0</v>
      </c>
      <c r="M100" s="298">
        <v>43522</v>
      </c>
      <c r="N100" s="298">
        <v>43542</v>
      </c>
      <c r="O100" s="315"/>
      <c r="P100" s="300"/>
    </row>
    <row r="101" spans="1:16" s="301" customFormat="1" x14ac:dyDescent="0.2">
      <c r="A101" s="319"/>
      <c r="B101" s="320"/>
      <c r="C101" s="399"/>
      <c r="D101" s="322"/>
      <c r="E101" s="412"/>
      <c r="F101" s="379">
        <f>E101*D101</f>
        <v>0</v>
      </c>
      <c r="G101" s="296"/>
      <c r="H101" s="296"/>
      <c r="I101" s="296"/>
      <c r="J101" s="296"/>
      <c r="K101" s="296"/>
      <c r="L101" s="297">
        <f t="shared" si="15"/>
        <v>0</v>
      </c>
      <c r="M101" s="298"/>
      <c r="N101" s="298"/>
      <c r="O101" s="315"/>
      <c r="P101" s="300"/>
    </row>
    <row r="102" spans="1:16" s="301" customFormat="1" x14ac:dyDescent="0.2">
      <c r="A102" s="290">
        <v>4909</v>
      </c>
      <c r="B102" s="291" t="s">
        <v>241</v>
      </c>
      <c r="C102" s="395" t="s">
        <v>242</v>
      </c>
      <c r="D102" s="293">
        <v>48</v>
      </c>
      <c r="E102" s="408">
        <v>5050</v>
      </c>
      <c r="F102" s="379"/>
      <c r="G102" s="296"/>
      <c r="H102" s="296"/>
      <c r="I102" s="296"/>
      <c r="J102" s="296"/>
      <c r="K102" s="296"/>
      <c r="L102" s="297">
        <f t="shared" si="15"/>
        <v>0</v>
      </c>
      <c r="M102" s="298">
        <v>43490</v>
      </c>
      <c r="N102" s="298">
        <v>43524</v>
      </c>
      <c r="O102" s="315"/>
      <c r="P102" s="300"/>
    </row>
    <row r="103" spans="1:16" s="301" customFormat="1" x14ac:dyDescent="0.2">
      <c r="A103" s="350">
        <v>5206</v>
      </c>
      <c r="B103" s="353" t="s">
        <v>241</v>
      </c>
      <c r="C103" s="396" t="s">
        <v>596</v>
      </c>
      <c r="D103" s="355">
        <v>1</v>
      </c>
      <c r="E103" s="409">
        <v>2000</v>
      </c>
      <c r="F103" s="379">
        <f>E103*D103</f>
        <v>2000</v>
      </c>
      <c r="G103" s="296">
        <v>1</v>
      </c>
      <c r="H103" s="296"/>
      <c r="I103" s="296"/>
      <c r="J103" s="352">
        <v>1</v>
      </c>
      <c r="K103" s="296"/>
      <c r="L103" s="297">
        <f t="shared" si="15"/>
        <v>2000</v>
      </c>
      <c r="M103" s="298">
        <v>43542</v>
      </c>
      <c r="N103" s="298"/>
      <c r="O103" s="315"/>
      <c r="P103" s="300"/>
    </row>
    <row r="104" spans="1:16" s="301" customFormat="1" x14ac:dyDescent="0.2">
      <c r="A104" s="350">
        <v>5256</v>
      </c>
      <c r="B104" s="353" t="s">
        <v>241</v>
      </c>
      <c r="C104" s="396" t="s">
        <v>367</v>
      </c>
      <c r="D104" s="355">
        <v>1</v>
      </c>
      <c r="E104" s="409">
        <v>650</v>
      </c>
      <c r="F104" s="379">
        <f>E104*D104</f>
        <v>650</v>
      </c>
      <c r="G104" s="296">
        <v>1</v>
      </c>
      <c r="H104" s="296"/>
      <c r="I104" s="296"/>
      <c r="J104" s="296"/>
      <c r="K104" s="352">
        <v>1</v>
      </c>
      <c r="L104" s="297">
        <f>E104*(H104+I104+J104+K104)</f>
        <v>650</v>
      </c>
      <c r="M104" s="298">
        <v>43549</v>
      </c>
      <c r="N104" s="298">
        <v>43553</v>
      </c>
      <c r="O104" s="315"/>
      <c r="P104" s="300"/>
    </row>
    <row r="105" spans="1:16" s="301" customFormat="1" x14ac:dyDescent="0.2">
      <c r="A105" s="350"/>
      <c r="B105" s="353"/>
      <c r="C105" s="396"/>
      <c r="D105" s="355"/>
      <c r="E105" s="409"/>
      <c r="F105" s="379">
        <f>E105*D105</f>
        <v>0</v>
      </c>
      <c r="G105" s="296"/>
      <c r="H105" s="296"/>
      <c r="I105" s="296"/>
      <c r="J105" s="296"/>
      <c r="K105" s="296"/>
      <c r="L105" s="297">
        <f t="shared" si="15"/>
        <v>0</v>
      </c>
      <c r="M105" s="298"/>
      <c r="N105" s="298"/>
      <c r="O105" s="315"/>
      <c r="P105" s="300"/>
    </row>
    <row r="106" spans="1:16" s="301" customFormat="1" x14ac:dyDescent="0.2">
      <c r="A106" s="350"/>
      <c r="B106" s="353"/>
      <c r="C106" s="396"/>
      <c r="D106" s="355"/>
      <c r="E106" s="409"/>
      <c r="F106" s="379">
        <f>E106*D106</f>
        <v>0</v>
      </c>
      <c r="G106" s="296"/>
      <c r="H106" s="296"/>
      <c r="I106" s="296"/>
      <c r="J106" s="296"/>
      <c r="K106" s="296"/>
      <c r="L106" s="297">
        <f t="shared" si="15"/>
        <v>0</v>
      </c>
      <c r="M106" s="298"/>
      <c r="N106" s="298"/>
      <c r="O106" s="315"/>
      <c r="P106" s="300"/>
    </row>
    <row r="107" spans="1:16" s="301" customFormat="1" x14ac:dyDescent="0.2">
      <c r="A107" s="319"/>
      <c r="B107" s="353"/>
      <c r="C107" s="396"/>
      <c r="D107" s="355"/>
      <c r="E107" s="412"/>
      <c r="F107" s="379">
        <f>E107*D107</f>
        <v>0</v>
      </c>
      <c r="G107" s="296"/>
      <c r="H107" s="296"/>
      <c r="I107" s="296"/>
      <c r="J107" s="296"/>
      <c r="K107" s="296"/>
      <c r="L107" s="297">
        <f t="shared" si="15"/>
        <v>0</v>
      </c>
      <c r="M107" s="298"/>
      <c r="N107" s="298"/>
      <c r="O107" s="315"/>
      <c r="P107" s="300"/>
    </row>
    <row r="108" spans="1:16" s="301" customFormat="1" x14ac:dyDescent="0.2">
      <c r="A108" s="290">
        <v>4841</v>
      </c>
      <c r="B108" s="291" t="s">
        <v>352</v>
      </c>
      <c r="C108" s="395" t="s">
        <v>244</v>
      </c>
      <c r="D108" s="293"/>
      <c r="E108" s="408">
        <v>55</v>
      </c>
      <c r="F108" s="379">
        <f t="shared" si="3"/>
        <v>0</v>
      </c>
      <c r="G108" s="296"/>
      <c r="H108" s="296"/>
      <c r="I108" s="296"/>
      <c r="J108" s="296"/>
      <c r="K108" s="296"/>
      <c r="L108" s="297">
        <f t="shared" si="15"/>
        <v>0</v>
      </c>
      <c r="M108" s="298"/>
      <c r="N108" s="298"/>
      <c r="O108" s="315"/>
      <c r="P108" s="300"/>
    </row>
    <row r="109" spans="1:16" s="301" customFormat="1" x14ac:dyDescent="0.2">
      <c r="A109" s="290">
        <v>4842</v>
      </c>
      <c r="B109" s="291" t="s">
        <v>352</v>
      </c>
      <c r="C109" s="395" t="s">
        <v>245</v>
      </c>
      <c r="D109" s="293"/>
      <c r="E109" s="408">
        <v>55</v>
      </c>
      <c r="F109" s="379">
        <f t="shared" si="3"/>
        <v>0</v>
      </c>
      <c r="G109" s="296"/>
      <c r="H109" s="296"/>
      <c r="I109" s="296"/>
      <c r="J109" s="296"/>
      <c r="K109" s="296"/>
      <c r="L109" s="297">
        <f t="shared" si="15"/>
        <v>0</v>
      </c>
      <c r="M109" s="298"/>
      <c r="N109" s="298"/>
      <c r="O109" s="315"/>
      <c r="P109" s="300"/>
    </row>
    <row r="110" spans="1:16" s="301" customFormat="1" x14ac:dyDescent="0.2">
      <c r="A110" s="290">
        <v>4843</v>
      </c>
      <c r="B110" s="291" t="s">
        <v>352</v>
      </c>
      <c r="C110" s="395" t="s">
        <v>246</v>
      </c>
      <c r="D110" s="293"/>
      <c r="E110" s="408">
        <v>55</v>
      </c>
      <c r="F110" s="379">
        <f t="shared" si="3"/>
        <v>0</v>
      </c>
      <c r="G110" s="296"/>
      <c r="H110" s="296"/>
      <c r="I110" s="296"/>
      <c r="J110" s="296"/>
      <c r="K110" s="296"/>
      <c r="L110" s="297">
        <f t="shared" si="15"/>
        <v>0</v>
      </c>
      <c r="M110" s="298"/>
      <c r="N110" s="298"/>
      <c r="O110" s="315"/>
      <c r="P110" s="300"/>
    </row>
    <row r="111" spans="1:16" s="301" customFormat="1" x14ac:dyDescent="0.2">
      <c r="A111" s="319">
        <v>5022</v>
      </c>
      <c r="B111" s="383" t="s">
        <v>601</v>
      </c>
      <c r="C111" s="398" t="s">
        <v>402</v>
      </c>
      <c r="D111" s="355">
        <v>1</v>
      </c>
      <c r="E111" s="408">
        <v>35000</v>
      </c>
      <c r="F111" s="379">
        <f t="shared" ref="F111:F123" si="16">E111*D111</f>
        <v>35000</v>
      </c>
      <c r="G111" s="296"/>
      <c r="H111" s="296"/>
      <c r="I111" s="296"/>
      <c r="J111" s="296"/>
      <c r="K111" s="296"/>
      <c r="L111" s="297">
        <f t="shared" si="15"/>
        <v>0</v>
      </c>
      <c r="M111" s="298">
        <v>43502</v>
      </c>
      <c r="N111" s="298">
        <v>43523</v>
      </c>
      <c r="O111" s="315"/>
      <c r="P111" s="300"/>
    </row>
    <row r="112" spans="1:16" s="301" customFormat="1" x14ac:dyDescent="0.2">
      <c r="A112" s="290">
        <v>4913</v>
      </c>
      <c r="B112" s="353" t="s">
        <v>352</v>
      </c>
      <c r="C112" s="397" t="s">
        <v>318</v>
      </c>
      <c r="D112" s="293"/>
      <c r="E112" s="410">
        <v>62.28</v>
      </c>
      <c r="F112" s="379">
        <f t="shared" si="16"/>
        <v>0</v>
      </c>
      <c r="G112" s="296"/>
      <c r="H112" s="296"/>
      <c r="I112" s="296"/>
      <c r="J112" s="296"/>
      <c r="K112" s="296"/>
      <c r="L112" s="297">
        <f t="shared" si="15"/>
        <v>0</v>
      </c>
      <c r="M112" s="298"/>
      <c r="N112" s="298"/>
      <c r="O112" s="315"/>
      <c r="P112" s="300"/>
    </row>
    <row r="113" spans="1:16" s="301" customFormat="1" x14ac:dyDescent="0.2">
      <c r="A113" s="319">
        <v>4914</v>
      </c>
      <c r="B113" s="353" t="s">
        <v>352</v>
      </c>
      <c r="C113" s="396" t="s">
        <v>319</v>
      </c>
      <c r="D113" s="322"/>
      <c r="E113" s="409">
        <v>62.28</v>
      </c>
      <c r="F113" s="379">
        <f t="shared" si="16"/>
        <v>0</v>
      </c>
      <c r="G113" s="296"/>
      <c r="H113" s="296"/>
      <c r="I113" s="296"/>
      <c r="J113" s="296"/>
      <c r="K113" s="296"/>
      <c r="L113" s="297">
        <f t="shared" si="15"/>
        <v>0</v>
      </c>
      <c r="M113" s="298"/>
      <c r="N113" s="298"/>
      <c r="O113" s="315"/>
      <c r="P113" s="300"/>
    </row>
    <row r="114" spans="1:16" s="301" customFormat="1" x14ac:dyDescent="0.2">
      <c r="A114" s="319">
        <v>4915</v>
      </c>
      <c r="B114" s="353" t="s">
        <v>352</v>
      </c>
      <c r="C114" s="396" t="s">
        <v>320</v>
      </c>
      <c r="D114" s="322"/>
      <c r="E114" s="409">
        <v>39.17</v>
      </c>
      <c r="F114" s="379">
        <f t="shared" si="16"/>
        <v>0</v>
      </c>
      <c r="G114" s="296"/>
      <c r="H114" s="296"/>
      <c r="I114" s="296"/>
      <c r="J114" s="296"/>
      <c r="K114" s="296"/>
      <c r="L114" s="297">
        <f t="shared" si="15"/>
        <v>0</v>
      </c>
      <c r="M114" s="298"/>
      <c r="N114" s="298"/>
      <c r="O114" s="315"/>
      <c r="P114" s="300"/>
    </row>
    <row r="115" spans="1:16" s="301" customFormat="1" x14ac:dyDescent="0.2">
      <c r="A115" s="319"/>
      <c r="B115" s="320"/>
      <c r="C115" s="399"/>
      <c r="D115" s="322"/>
      <c r="E115" s="440"/>
      <c r="F115" s="379">
        <f t="shared" si="16"/>
        <v>0</v>
      </c>
      <c r="G115" s="296"/>
      <c r="H115" s="296"/>
      <c r="I115" s="296"/>
      <c r="J115" s="296"/>
      <c r="K115" s="296"/>
      <c r="L115" s="297">
        <f t="shared" si="15"/>
        <v>0</v>
      </c>
      <c r="M115" s="298"/>
      <c r="N115" s="298"/>
      <c r="O115" s="315"/>
      <c r="P115" s="300"/>
    </row>
    <row r="116" spans="1:16" s="301" customFormat="1" x14ac:dyDescent="0.2">
      <c r="A116" s="290">
        <v>4924</v>
      </c>
      <c r="B116" s="353" t="s">
        <v>284</v>
      </c>
      <c r="C116" s="397" t="s">
        <v>602</v>
      </c>
      <c r="D116" s="293">
        <v>1</v>
      </c>
      <c r="E116" s="410">
        <v>2650</v>
      </c>
      <c r="F116" s="379">
        <f t="shared" si="16"/>
        <v>2650</v>
      </c>
      <c r="G116" s="296"/>
      <c r="H116" s="296"/>
      <c r="I116" s="296"/>
      <c r="J116" s="296"/>
      <c r="K116" s="296"/>
      <c r="L116" s="297">
        <f t="shared" ref="L116" si="17">E116*(H116+I116+J116+K116)</f>
        <v>0</v>
      </c>
      <c r="M116" s="298">
        <v>43502</v>
      </c>
      <c r="N116" s="298" t="s">
        <v>401</v>
      </c>
      <c r="O116" s="315"/>
      <c r="P116" s="300"/>
    </row>
    <row r="117" spans="1:16" s="301" customFormat="1" x14ac:dyDescent="0.2">
      <c r="A117" s="319">
        <v>5042</v>
      </c>
      <c r="B117" s="353" t="s">
        <v>284</v>
      </c>
      <c r="C117" s="396" t="s">
        <v>422</v>
      </c>
      <c r="D117" s="355">
        <v>1</v>
      </c>
      <c r="E117" s="409">
        <v>2000</v>
      </c>
      <c r="F117" s="379">
        <f t="shared" si="16"/>
        <v>2000</v>
      </c>
      <c r="G117" s="296">
        <v>1</v>
      </c>
      <c r="H117" s="296"/>
      <c r="I117" s="357">
        <v>1</v>
      </c>
      <c r="J117" s="296"/>
      <c r="K117" s="296"/>
      <c r="L117" s="297">
        <f t="shared" ref="L117:L122" si="18">E117*(H117+I117+J117+K117)</f>
        <v>2000</v>
      </c>
      <c r="M117" s="298">
        <v>43507</v>
      </c>
      <c r="N117" s="298">
        <v>43518</v>
      </c>
      <c r="O117" s="315"/>
      <c r="P117" s="300"/>
    </row>
    <row r="118" spans="1:16" s="301" customFormat="1" x14ac:dyDescent="0.2">
      <c r="A118" s="350">
        <v>5044</v>
      </c>
      <c r="B118" s="353" t="s">
        <v>284</v>
      </c>
      <c r="C118" s="396" t="s">
        <v>424</v>
      </c>
      <c r="D118" s="355">
        <v>6</v>
      </c>
      <c r="E118" s="409">
        <v>650</v>
      </c>
      <c r="F118" s="379">
        <f t="shared" si="16"/>
        <v>3900</v>
      </c>
      <c r="G118" s="296">
        <v>6</v>
      </c>
      <c r="H118" s="296"/>
      <c r="I118" s="357">
        <v>6</v>
      </c>
      <c r="J118" s="296"/>
      <c r="K118" s="296"/>
      <c r="L118" s="297">
        <f t="shared" si="18"/>
        <v>3900</v>
      </c>
      <c r="M118" s="298">
        <v>43507</v>
      </c>
      <c r="N118" s="298">
        <v>43518</v>
      </c>
      <c r="O118" s="315"/>
      <c r="P118" s="300"/>
    </row>
    <row r="119" spans="1:16" s="301" customFormat="1" x14ac:dyDescent="0.2">
      <c r="A119" s="319">
        <v>5190</v>
      </c>
      <c r="B119" s="353" t="s">
        <v>284</v>
      </c>
      <c r="C119" s="396" t="s">
        <v>554</v>
      </c>
      <c r="D119" s="355">
        <v>2</v>
      </c>
      <c r="E119" s="412">
        <v>650</v>
      </c>
      <c r="F119" s="379">
        <f t="shared" si="16"/>
        <v>1300</v>
      </c>
      <c r="G119" s="296">
        <v>2</v>
      </c>
      <c r="H119" s="296"/>
      <c r="I119" s="357">
        <v>2</v>
      </c>
      <c r="J119" s="296"/>
      <c r="K119" s="296"/>
      <c r="L119" s="297">
        <f t="shared" si="18"/>
        <v>1300</v>
      </c>
      <c r="M119" s="298">
        <v>43535</v>
      </c>
      <c r="N119" s="298">
        <v>43537</v>
      </c>
      <c r="O119" s="315"/>
      <c r="P119" s="300"/>
    </row>
    <row r="120" spans="1:16" s="301" customFormat="1" x14ac:dyDescent="0.2">
      <c r="A120" s="290">
        <v>5106</v>
      </c>
      <c r="B120" s="353" t="s">
        <v>284</v>
      </c>
      <c r="C120" s="397" t="s">
        <v>558</v>
      </c>
      <c r="D120" s="293">
        <v>2</v>
      </c>
      <c r="E120" s="410">
        <v>600</v>
      </c>
      <c r="F120" s="379">
        <f t="shared" si="16"/>
        <v>1200</v>
      </c>
      <c r="G120" s="296">
        <v>2</v>
      </c>
      <c r="H120" s="296"/>
      <c r="I120" s="296"/>
      <c r="J120" s="296"/>
      <c r="K120" s="357">
        <v>2</v>
      </c>
      <c r="L120" s="297">
        <f t="shared" si="18"/>
        <v>1200</v>
      </c>
      <c r="M120" s="298">
        <v>43536</v>
      </c>
      <c r="N120" s="298">
        <v>43551</v>
      </c>
      <c r="O120" s="315"/>
      <c r="P120" s="300"/>
    </row>
    <row r="121" spans="1:16" s="301" customFormat="1" x14ac:dyDescent="0.2">
      <c r="A121" s="290">
        <v>5107</v>
      </c>
      <c r="B121" s="353" t="s">
        <v>284</v>
      </c>
      <c r="C121" s="397" t="s">
        <v>317</v>
      </c>
      <c r="D121" s="293">
        <v>3</v>
      </c>
      <c r="E121" s="410">
        <v>530</v>
      </c>
      <c r="F121" s="379">
        <f t="shared" si="16"/>
        <v>1590</v>
      </c>
      <c r="G121" s="296">
        <v>3</v>
      </c>
      <c r="H121" s="296"/>
      <c r="I121" s="296"/>
      <c r="J121" s="357">
        <v>3</v>
      </c>
      <c r="K121" s="296"/>
      <c r="L121" s="297">
        <f t="shared" si="18"/>
        <v>1590</v>
      </c>
      <c r="M121" s="298">
        <v>43536</v>
      </c>
      <c r="N121" s="298">
        <v>43551</v>
      </c>
      <c r="O121" s="315"/>
      <c r="P121" s="300"/>
    </row>
    <row r="122" spans="1:16" s="301" customFormat="1" x14ac:dyDescent="0.2">
      <c r="A122" s="290">
        <v>5108</v>
      </c>
      <c r="B122" s="353" t="s">
        <v>284</v>
      </c>
      <c r="C122" s="397" t="s">
        <v>559</v>
      </c>
      <c r="D122" s="293">
        <v>2</v>
      </c>
      <c r="E122" s="410">
        <v>300</v>
      </c>
      <c r="F122" s="379">
        <f t="shared" si="16"/>
        <v>600</v>
      </c>
      <c r="G122" s="296">
        <v>2</v>
      </c>
      <c r="H122" s="296"/>
      <c r="I122" s="296"/>
      <c r="J122" s="357">
        <v>2</v>
      </c>
      <c r="K122" s="296"/>
      <c r="L122" s="297">
        <f t="shared" si="18"/>
        <v>600</v>
      </c>
      <c r="M122" s="298">
        <v>43536</v>
      </c>
      <c r="N122" s="298">
        <v>43551</v>
      </c>
      <c r="O122" s="315"/>
      <c r="P122" s="300"/>
    </row>
    <row r="123" spans="1:16" s="301" customFormat="1" x14ac:dyDescent="0.2">
      <c r="A123" s="290">
        <v>5109</v>
      </c>
      <c r="B123" s="353" t="s">
        <v>284</v>
      </c>
      <c r="C123" s="397" t="s">
        <v>560</v>
      </c>
      <c r="D123" s="293">
        <v>25</v>
      </c>
      <c r="E123" s="410">
        <v>750</v>
      </c>
      <c r="F123" s="379">
        <f t="shared" si="16"/>
        <v>18750</v>
      </c>
      <c r="G123" s="296">
        <v>25</v>
      </c>
      <c r="H123" s="296"/>
      <c r="I123" s="296"/>
      <c r="J123" s="357">
        <v>25</v>
      </c>
      <c r="K123" s="296"/>
      <c r="L123" s="297">
        <f t="shared" ref="L123:L126" si="19">E123*(H123+I123+J123+K123)</f>
        <v>18750</v>
      </c>
      <c r="M123" s="298">
        <v>43536</v>
      </c>
      <c r="N123" s="298">
        <v>43551</v>
      </c>
      <c r="O123" s="315"/>
      <c r="P123" s="300"/>
    </row>
    <row r="124" spans="1:16" s="301" customFormat="1" x14ac:dyDescent="0.2">
      <c r="A124" s="290">
        <v>5110</v>
      </c>
      <c r="B124" s="353" t="s">
        <v>284</v>
      </c>
      <c r="C124" s="397" t="s">
        <v>561</v>
      </c>
      <c r="D124" s="293">
        <v>2</v>
      </c>
      <c r="E124" s="410">
        <v>1600</v>
      </c>
      <c r="F124" s="379">
        <f t="shared" ref="F124:F142" si="20">E124*D124</f>
        <v>3200</v>
      </c>
      <c r="G124" s="296">
        <v>2</v>
      </c>
      <c r="H124" s="296"/>
      <c r="I124" s="296"/>
      <c r="J124" s="357">
        <v>2</v>
      </c>
      <c r="K124" s="296"/>
      <c r="L124" s="297">
        <f t="shared" si="19"/>
        <v>3200</v>
      </c>
      <c r="M124" s="298">
        <v>43536</v>
      </c>
      <c r="N124" s="298">
        <v>43551</v>
      </c>
      <c r="O124" s="315"/>
      <c r="P124" s="300"/>
    </row>
    <row r="125" spans="1:16" s="301" customFormat="1" x14ac:dyDescent="0.2">
      <c r="A125" s="290">
        <v>5111</v>
      </c>
      <c r="B125" s="353" t="s">
        <v>284</v>
      </c>
      <c r="C125" s="397" t="s">
        <v>316</v>
      </c>
      <c r="D125" s="293">
        <v>6</v>
      </c>
      <c r="E125" s="410">
        <v>1000</v>
      </c>
      <c r="F125" s="379">
        <f t="shared" si="20"/>
        <v>6000</v>
      </c>
      <c r="G125" s="296">
        <v>6</v>
      </c>
      <c r="H125" s="296"/>
      <c r="I125" s="296"/>
      <c r="J125" s="357">
        <v>6</v>
      </c>
      <c r="K125" s="296"/>
      <c r="L125" s="297">
        <f t="shared" si="19"/>
        <v>6000</v>
      </c>
      <c r="M125" s="298">
        <v>43536</v>
      </c>
      <c r="N125" s="298">
        <v>43551</v>
      </c>
      <c r="O125" s="315"/>
      <c r="P125" s="300"/>
    </row>
    <row r="126" spans="1:16" s="301" customFormat="1" x14ac:dyDescent="0.2">
      <c r="A126" s="290">
        <v>5208</v>
      </c>
      <c r="B126" s="353" t="s">
        <v>284</v>
      </c>
      <c r="C126" s="397" t="s">
        <v>565</v>
      </c>
      <c r="D126" s="293">
        <v>1</v>
      </c>
      <c r="E126" s="410">
        <v>2350</v>
      </c>
      <c r="F126" s="379">
        <f t="shared" si="20"/>
        <v>2350</v>
      </c>
      <c r="G126" s="296">
        <v>1</v>
      </c>
      <c r="H126" s="296"/>
      <c r="I126" s="352">
        <v>1</v>
      </c>
      <c r="J126" s="296"/>
      <c r="K126" s="296"/>
      <c r="L126" s="297">
        <f t="shared" si="19"/>
        <v>2350</v>
      </c>
      <c r="M126" s="298"/>
      <c r="N126" s="298"/>
      <c r="O126" s="315"/>
      <c r="P126" s="300"/>
    </row>
    <row r="127" spans="1:16" s="301" customFormat="1" x14ac:dyDescent="0.2">
      <c r="A127" s="319">
        <v>5207</v>
      </c>
      <c r="B127" s="353" t="s">
        <v>284</v>
      </c>
      <c r="C127" s="396" t="s">
        <v>197</v>
      </c>
      <c r="D127" s="355">
        <v>1</v>
      </c>
      <c r="E127" s="409">
        <v>950</v>
      </c>
      <c r="F127" s="379">
        <f t="shared" ref="F127:F132" si="21">E127*D127</f>
        <v>950</v>
      </c>
      <c r="G127" s="296">
        <v>1</v>
      </c>
      <c r="H127" s="296"/>
      <c r="I127" s="296"/>
      <c r="J127" s="352">
        <v>1</v>
      </c>
      <c r="K127" s="296"/>
      <c r="L127" s="297">
        <f t="shared" ref="L127:L129" si="22">E127*(H127+I127+J127+K127)</f>
        <v>950</v>
      </c>
      <c r="M127" s="298"/>
      <c r="N127" s="298"/>
      <c r="O127" s="315"/>
      <c r="P127" s="300"/>
    </row>
    <row r="128" spans="1:16" s="301" customFormat="1" x14ac:dyDescent="0.2">
      <c r="A128" s="319">
        <v>5238</v>
      </c>
      <c r="B128" s="353" t="s">
        <v>284</v>
      </c>
      <c r="C128" s="396" t="s">
        <v>615</v>
      </c>
      <c r="D128" s="355">
        <v>1</v>
      </c>
      <c r="E128" s="409">
        <v>1430</v>
      </c>
      <c r="F128" s="379">
        <f t="shared" si="21"/>
        <v>1430</v>
      </c>
      <c r="G128" s="296">
        <v>1</v>
      </c>
      <c r="H128" s="296"/>
      <c r="I128" s="296"/>
      <c r="J128" s="296"/>
      <c r="K128" s="357">
        <v>1</v>
      </c>
      <c r="L128" s="297">
        <f t="shared" si="22"/>
        <v>1430</v>
      </c>
      <c r="M128" s="298">
        <v>43549</v>
      </c>
      <c r="N128" s="298">
        <v>43553</v>
      </c>
      <c r="O128" s="315"/>
      <c r="P128" s="300"/>
    </row>
    <row r="129" spans="1:16" s="301" customFormat="1" x14ac:dyDescent="0.2">
      <c r="A129" s="319">
        <v>5239</v>
      </c>
      <c r="B129" s="353" t="s">
        <v>284</v>
      </c>
      <c r="C129" s="396" t="s">
        <v>616</v>
      </c>
      <c r="D129" s="355">
        <v>1</v>
      </c>
      <c r="E129" s="409">
        <v>1100</v>
      </c>
      <c r="F129" s="379">
        <f t="shared" si="21"/>
        <v>1100</v>
      </c>
      <c r="G129" s="296">
        <v>1</v>
      </c>
      <c r="H129" s="296"/>
      <c r="I129" s="296"/>
      <c r="J129" s="296"/>
      <c r="K129" s="357">
        <v>1</v>
      </c>
      <c r="L129" s="297">
        <f t="shared" si="22"/>
        <v>1100</v>
      </c>
      <c r="M129" s="298">
        <v>43549</v>
      </c>
      <c r="N129" s="298">
        <v>43553</v>
      </c>
      <c r="O129" s="315"/>
      <c r="P129" s="300"/>
    </row>
    <row r="130" spans="1:16" s="301" customFormat="1" x14ac:dyDescent="0.2">
      <c r="A130" s="319">
        <v>5240</v>
      </c>
      <c r="B130" s="353" t="s">
        <v>284</v>
      </c>
      <c r="C130" s="396" t="s">
        <v>617</v>
      </c>
      <c r="D130" s="355">
        <v>1</v>
      </c>
      <c r="E130" s="409">
        <v>1060</v>
      </c>
      <c r="F130" s="379">
        <f t="shared" si="21"/>
        <v>1060</v>
      </c>
      <c r="G130" s="296">
        <v>1</v>
      </c>
      <c r="H130" s="296"/>
      <c r="I130" s="296"/>
      <c r="J130" s="296"/>
      <c r="K130" s="357">
        <v>1</v>
      </c>
      <c r="L130" s="297">
        <f t="shared" ref="L130:L144" si="23">E130*(H130+I130+J130+K130)</f>
        <v>1060</v>
      </c>
      <c r="M130" s="298">
        <v>43549</v>
      </c>
      <c r="N130" s="298">
        <v>43553</v>
      </c>
      <c r="O130" s="315"/>
      <c r="P130" s="300"/>
    </row>
    <row r="131" spans="1:16" s="301" customFormat="1" x14ac:dyDescent="0.2">
      <c r="A131" s="319">
        <v>5255</v>
      </c>
      <c r="B131" s="353" t="s">
        <v>284</v>
      </c>
      <c r="C131" s="396" t="s">
        <v>197</v>
      </c>
      <c r="D131" s="355">
        <v>1</v>
      </c>
      <c r="E131" s="409">
        <v>1000</v>
      </c>
      <c r="F131" s="379">
        <f t="shared" si="21"/>
        <v>1000</v>
      </c>
      <c r="G131" s="296">
        <v>1</v>
      </c>
      <c r="H131" s="296"/>
      <c r="I131" s="296"/>
      <c r="J131" s="296"/>
      <c r="K131" s="352">
        <v>1</v>
      </c>
      <c r="L131" s="297">
        <f t="shared" si="23"/>
        <v>1000</v>
      </c>
      <c r="M131" s="298">
        <v>43549</v>
      </c>
      <c r="N131" s="298">
        <v>43553</v>
      </c>
      <c r="O131" s="315"/>
      <c r="P131" s="300"/>
    </row>
    <row r="132" spans="1:16" s="301" customFormat="1" x14ac:dyDescent="0.2">
      <c r="A132" s="319">
        <v>5261</v>
      </c>
      <c r="B132" s="353" t="s">
        <v>284</v>
      </c>
      <c r="C132" s="396" t="s">
        <v>618</v>
      </c>
      <c r="D132" s="355">
        <v>1</v>
      </c>
      <c r="E132" s="412">
        <v>15500</v>
      </c>
      <c r="F132" s="379">
        <f t="shared" si="21"/>
        <v>15500</v>
      </c>
      <c r="G132" s="296">
        <v>1</v>
      </c>
      <c r="H132" s="296"/>
      <c r="I132" s="296"/>
      <c r="J132" s="296"/>
      <c r="K132" s="357">
        <v>1</v>
      </c>
      <c r="L132" s="297">
        <f t="shared" si="23"/>
        <v>15500</v>
      </c>
      <c r="M132" s="298"/>
      <c r="N132" s="298"/>
      <c r="O132" s="315"/>
      <c r="P132" s="300"/>
    </row>
    <row r="133" spans="1:16" s="301" customFormat="1" x14ac:dyDescent="0.2">
      <c r="A133" s="350">
        <v>5253</v>
      </c>
      <c r="B133" s="353" t="s">
        <v>284</v>
      </c>
      <c r="C133" s="396" t="s">
        <v>631</v>
      </c>
      <c r="D133" s="355">
        <v>30</v>
      </c>
      <c r="E133" s="409">
        <v>160</v>
      </c>
      <c r="F133" s="379"/>
      <c r="G133" s="296"/>
      <c r="H133" s="296"/>
      <c r="I133" s="296"/>
      <c r="J133" s="296"/>
      <c r="K133" s="296"/>
      <c r="L133" s="297">
        <f>E133*(H133+I133+J133+K133)</f>
        <v>0</v>
      </c>
      <c r="M133" s="298">
        <v>43553</v>
      </c>
      <c r="N133" s="298">
        <v>43560</v>
      </c>
      <c r="O133" s="315"/>
      <c r="P133" s="300"/>
    </row>
    <row r="134" spans="1:16" s="301" customFormat="1" x14ac:dyDescent="0.2">
      <c r="A134" s="350">
        <v>5254</v>
      </c>
      <c r="B134" s="353" t="s">
        <v>284</v>
      </c>
      <c r="C134" s="396" t="s">
        <v>632</v>
      </c>
      <c r="D134" s="355">
        <v>6</v>
      </c>
      <c r="E134" s="409">
        <v>950</v>
      </c>
      <c r="F134" s="379"/>
      <c r="G134" s="296"/>
      <c r="H134" s="296"/>
      <c r="I134" s="296"/>
      <c r="J134" s="296"/>
      <c r="K134" s="296"/>
      <c r="L134" s="297">
        <f>E134*(H134+I134+J134+K134)</f>
        <v>0</v>
      </c>
      <c r="M134" s="298">
        <v>43553</v>
      </c>
      <c r="N134" s="298">
        <v>43560</v>
      </c>
      <c r="O134" s="315"/>
      <c r="P134" s="300"/>
    </row>
    <row r="135" spans="1:16" s="301" customFormat="1" x14ac:dyDescent="0.2">
      <c r="A135" s="350">
        <v>5276</v>
      </c>
      <c r="B135" s="353" t="s">
        <v>284</v>
      </c>
      <c r="C135" s="396" t="s">
        <v>633</v>
      </c>
      <c r="D135" s="355">
        <v>2</v>
      </c>
      <c r="E135" s="409">
        <v>350</v>
      </c>
      <c r="F135" s="379"/>
      <c r="G135" s="296"/>
      <c r="H135" s="296"/>
      <c r="I135" s="296"/>
      <c r="J135" s="296"/>
      <c r="K135" s="296"/>
      <c r="L135" s="297">
        <f>E135*(H135+I135+J135+K135)</f>
        <v>0</v>
      </c>
      <c r="M135" s="298">
        <v>43553</v>
      </c>
      <c r="N135" s="298">
        <v>43560</v>
      </c>
      <c r="O135" s="315"/>
      <c r="P135" s="300"/>
    </row>
    <row r="136" spans="1:16" s="301" customFormat="1" x14ac:dyDescent="0.2">
      <c r="A136" s="350"/>
      <c r="B136" s="353"/>
      <c r="C136" s="396"/>
      <c r="D136" s="355"/>
      <c r="E136" s="412"/>
      <c r="F136" s="379"/>
      <c r="G136" s="296"/>
      <c r="H136" s="296"/>
      <c r="I136" s="296"/>
      <c r="J136" s="296"/>
      <c r="K136" s="296"/>
      <c r="L136" s="297">
        <f t="shared" si="23"/>
        <v>0</v>
      </c>
      <c r="M136" s="298"/>
      <c r="N136" s="298"/>
      <c r="O136" s="315"/>
      <c r="P136" s="300"/>
    </row>
    <row r="137" spans="1:16" s="301" customFormat="1" x14ac:dyDescent="0.2">
      <c r="A137" s="350"/>
      <c r="B137" s="353"/>
      <c r="C137" s="396"/>
      <c r="D137" s="355"/>
      <c r="E137" s="412"/>
      <c r="F137" s="379">
        <f t="shared" si="20"/>
        <v>0</v>
      </c>
      <c r="G137" s="296"/>
      <c r="H137" s="296"/>
      <c r="I137" s="296"/>
      <c r="J137" s="296"/>
      <c r="K137" s="296"/>
      <c r="L137" s="297">
        <f t="shared" si="23"/>
        <v>0</v>
      </c>
      <c r="M137" s="298"/>
      <c r="N137" s="298"/>
      <c r="O137" s="315"/>
      <c r="P137" s="300"/>
    </row>
    <row r="138" spans="1:16" s="301" customFormat="1" x14ac:dyDescent="0.2">
      <c r="A138" s="319">
        <v>4875</v>
      </c>
      <c r="B138" s="320" t="s">
        <v>289</v>
      </c>
      <c r="C138" s="399" t="s">
        <v>290</v>
      </c>
      <c r="D138" s="322">
        <v>5</v>
      </c>
      <c r="E138" s="412">
        <v>2700</v>
      </c>
      <c r="F138" s="379">
        <f t="shared" si="20"/>
        <v>13500</v>
      </c>
      <c r="G138" s="296">
        <v>5</v>
      </c>
      <c r="H138" s="296"/>
      <c r="I138" s="296"/>
      <c r="J138" s="357">
        <v>5</v>
      </c>
      <c r="K138" s="296"/>
      <c r="L138" s="297">
        <f t="shared" si="23"/>
        <v>13500</v>
      </c>
      <c r="M138" s="298">
        <v>43483</v>
      </c>
      <c r="N138" s="298">
        <v>43511</v>
      </c>
      <c r="O138" s="315"/>
      <c r="P138" s="300"/>
    </row>
    <row r="139" spans="1:16" s="301" customFormat="1" x14ac:dyDescent="0.2">
      <c r="A139" s="319">
        <v>4876</v>
      </c>
      <c r="B139" s="320" t="s">
        <v>289</v>
      </c>
      <c r="C139" s="399" t="s">
        <v>291</v>
      </c>
      <c r="D139" s="322">
        <v>1</v>
      </c>
      <c r="E139" s="412">
        <v>14000</v>
      </c>
      <c r="F139" s="379">
        <f t="shared" si="20"/>
        <v>14000</v>
      </c>
      <c r="G139" s="296">
        <v>1</v>
      </c>
      <c r="H139" s="296"/>
      <c r="I139" s="296"/>
      <c r="J139" s="357">
        <v>1</v>
      </c>
      <c r="K139" s="296"/>
      <c r="L139" s="297">
        <f t="shared" si="23"/>
        <v>14000</v>
      </c>
      <c r="M139" s="298">
        <v>43483</v>
      </c>
      <c r="N139" s="298">
        <v>43511</v>
      </c>
      <c r="O139" s="315"/>
      <c r="P139" s="300"/>
    </row>
    <row r="140" spans="1:16" s="301" customFormat="1" x14ac:dyDescent="0.2">
      <c r="A140" s="319"/>
      <c r="B140" s="320"/>
      <c r="C140" s="399"/>
      <c r="D140" s="322"/>
      <c r="E140" s="412"/>
      <c r="F140" s="379">
        <f t="shared" si="20"/>
        <v>0</v>
      </c>
      <c r="G140" s="296"/>
      <c r="H140" s="296"/>
      <c r="I140" s="296"/>
      <c r="J140" s="296"/>
      <c r="K140" s="296"/>
      <c r="L140" s="297">
        <f t="shared" si="23"/>
        <v>0</v>
      </c>
      <c r="M140" s="298"/>
      <c r="N140" s="298"/>
      <c r="O140" s="315"/>
      <c r="P140" s="300"/>
    </row>
    <row r="141" spans="1:16" s="301" customFormat="1" x14ac:dyDescent="0.2">
      <c r="A141" s="350">
        <v>4993</v>
      </c>
      <c r="B141" s="353" t="s">
        <v>297</v>
      </c>
      <c r="C141" s="396" t="s">
        <v>375</v>
      </c>
      <c r="D141" s="355">
        <v>1</v>
      </c>
      <c r="E141" s="416">
        <v>240</v>
      </c>
      <c r="F141" s="379">
        <f t="shared" si="20"/>
        <v>240</v>
      </c>
      <c r="G141" s="296">
        <v>1</v>
      </c>
      <c r="H141" s="352">
        <v>1</v>
      </c>
      <c r="I141" s="296"/>
      <c r="J141" s="296"/>
      <c r="K141" s="296"/>
      <c r="L141" s="297">
        <f t="shared" si="23"/>
        <v>240</v>
      </c>
      <c r="M141" s="298">
        <v>43502</v>
      </c>
      <c r="N141" s="298"/>
      <c r="O141" s="315"/>
      <c r="P141" s="300"/>
    </row>
    <row r="142" spans="1:16" s="301" customFormat="1" x14ac:dyDescent="0.2">
      <c r="A142" s="350">
        <v>4997</v>
      </c>
      <c r="B142" s="353" t="s">
        <v>297</v>
      </c>
      <c r="C142" s="396" t="s">
        <v>379</v>
      </c>
      <c r="D142" s="355">
        <v>2</v>
      </c>
      <c r="E142" s="416">
        <v>230</v>
      </c>
      <c r="F142" s="379">
        <f t="shared" si="20"/>
        <v>460</v>
      </c>
      <c r="G142" s="296">
        <v>2</v>
      </c>
      <c r="H142" s="352">
        <v>2</v>
      </c>
      <c r="I142" s="296"/>
      <c r="J142" s="296"/>
      <c r="K142" s="296"/>
      <c r="L142" s="297">
        <f t="shared" si="23"/>
        <v>460</v>
      </c>
      <c r="M142" s="298">
        <v>43502</v>
      </c>
      <c r="N142" s="298"/>
      <c r="O142" s="315"/>
      <c r="P142" s="300"/>
    </row>
    <row r="143" spans="1:16" s="301" customFormat="1" x14ac:dyDescent="0.2">
      <c r="A143" s="350">
        <v>5000</v>
      </c>
      <c r="B143" s="353" t="s">
        <v>297</v>
      </c>
      <c r="C143" s="396" t="s">
        <v>382</v>
      </c>
      <c r="D143" s="355">
        <v>25</v>
      </c>
      <c r="E143" s="416">
        <v>240</v>
      </c>
      <c r="F143" s="379">
        <f t="shared" ref="F143:F151" si="24">E143*D143</f>
        <v>6000</v>
      </c>
      <c r="G143" s="296">
        <v>25</v>
      </c>
      <c r="H143" s="352">
        <v>25</v>
      </c>
      <c r="I143" s="296"/>
      <c r="J143" s="296"/>
      <c r="K143" s="296"/>
      <c r="L143" s="297">
        <f t="shared" si="23"/>
        <v>6000</v>
      </c>
      <c r="M143" s="298">
        <v>43502</v>
      </c>
      <c r="N143" s="298"/>
      <c r="O143" s="315"/>
      <c r="P143" s="300"/>
    </row>
    <row r="144" spans="1:16" s="301" customFormat="1" x14ac:dyDescent="0.2">
      <c r="A144" s="350">
        <v>5003</v>
      </c>
      <c r="B144" s="353" t="s">
        <v>297</v>
      </c>
      <c r="C144" s="396" t="s">
        <v>385</v>
      </c>
      <c r="D144" s="355">
        <v>19</v>
      </c>
      <c r="E144" s="416">
        <v>240</v>
      </c>
      <c r="F144" s="379">
        <f t="shared" si="24"/>
        <v>4560</v>
      </c>
      <c r="G144" s="296">
        <v>19</v>
      </c>
      <c r="H144" s="352">
        <v>19</v>
      </c>
      <c r="I144" s="296"/>
      <c r="J144" s="296"/>
      <c r="K144" s="296"/>
      <c r="L144" s="297">
        <f t="shared" si="23"/>
        <v>4560</v>
      </c>
      <c r="M144" s="298">
        <v>43502</v>
      </c>
      <c r="N144" s="298"/>
      <c r="O144" s="315"/>
      <c r="P144" s="300"/>
    </row>
    <row r="145" spans="1:16" s="301" customFormat="1" x14ac:dyDescent="0.2">
      <c r="A145" s="350">
        <v>5004</v>
      </c>
      <c r="B145" s="353" t="s">
        <v>297</v>
      </c>
      <c r="C145" s="396" t="s">
        <v>386</v>
      </c>
      <c r="D145" s="355">
        <v>8</v>
      </c>
      <c r="E145" s="416">
        <v>220</v>
      </c>
      <c r="F145" s="379">
        <f t="shared" si="24"/>
        <v>1760</v>
      </c>
      <c r="G145" s="296">
        <v>8</v>
      </c>
      <c r="H145" s="352">
        <v>8</v>
      </c>
      <c r="I145" s="296"/>
      <c r="J145" s="296"/>
      <c r="K145" s="296"/>
      <c r="L145" s="297">
        <f t="shared" ref="L145:L150" si="25">E145*(H145+I145+J145+K145)</f>
        <v>1760</v>
      </c>
      <c r="M145" s="298">
        <v>43502</v>
      </c>
      <c r="N145" s="298"/>
      <c r="O145" s="315"/>
      <c r="P145" s="300"/>
    </row>
    <row r="146" spans="1:16" s="301" customFormat="1" x14ac:dyDescent="0.2">
      <c r="A146" s="350">
        <v>5005</v>
      </c>
      <c r="B146" s="353" t="s">
        <v>297</v>
      </c>
      <c r="C146" s="396" t="s">
        <v>387</v>
      </c>
      <c r="D146" s="355">
        <v>9</v>
      </c>
      <c r="E146" s="416">
        <v>230</v>
      </c>
      <c r="F146" s="379">
        <f t="shared" si="24"/>
        <v>2070</v>
      </c>
      <c r="G146" s="296">
        <v>9</v>
      </c>
      <c r="H146" s="352">
        <v>9</v>
      </c>
      <c r="I146" s="296"/>
      <c r="J146" s="296"/>
      <c r="K146" s="296"/>
      <c r="L146" s="297">
        <f t="shared" si="25"/>
        <v>2070</v>
      </c>
      <c r="M146" s="298">
        <v>43502</v>
      </c>
      <c r="N146" s="298"/>
      <c r="O146" s="315"/>
      <c r="P146" s="300"/>
    </row>
    <row r="147" spans="1:16" s="301" customFormat="1" x14ac:dyDescent="0.2">
      <c r="A147" s="350">
        <v>5006</v>
      </c>
      <c r="B147" s="353" t="s">
        <v>297</v>
      </c>
      <c r="C147" s="396" t="s">
        <v>388</v>
      </c>
      <c r="D147" s="355">
        <v>1</v>
      </c>
      <c r="E147" s="416">
        <v>230</v>
      </c>
      <c r="F147" s="379">
        <f t="shared" si="24"/>
        <v>230</v>
      </c>
      <c r="G147" s="296">
        <v>1</v>
      </c>
      <c r="H147" s="352">
        <v>1</v>
      </c>
      <c r="I147" s="296"/>
      <c r="J147" s="296"/>
      <c r="K147" s="296"/>
      <c r="L147" s="297">
        <f t="shared" si="25"/>
        <v>230</v>
      </c>
      <c r="M147" s="298">
        <v>43502</v>
      </c>
      <c r="N147" s="298"/>
      <c r="O147" s="315"/>
      <c r="P147" s="300"/>
    </row>
    <row r="148" spans="1:16" s="301" customFormat="1" x14ac:dyDescent="0.2">
      <c r="A148" s="350">
        <v>5007</v>
      </c>
      <c r="B148" s="353" t="s">
        <v>297</v>
      </c>
      <c r="C148" s="396" t="s">
        <v>389</v>
      </c>
      <c r="D148" s="355">
        <v>1</v>
      </c>
      <c r="E148" s="416">
        <v>170</v>
      </c>
      <c r="F148" s="379">
        <f t="shared" si="24"/>
        <v>170</v>
      </c>
      <c r="G148" s="296">
        <v>1</v>
      </c>
      <c r="H148" s="352">
        <v>1</v>
      </c>
      <c r="I148" s="296"/>
      <c r="J148" s="296"/>
      <c r="K148" s="296"/>
      <c r="L148" s="297">
        <f t="shared" si="25"/>
        <v>170</v>
      </c>
      <c r="M148" s="298">
        <v>43502</v>
      </c>
      <c r="N148" s="298"/>
      <c r="O148" s="315"/>
      <c r="P148" s="300"/>
    </row>
    <row r="149" spans="1:16" s="301" customFormat="1" x14ac:dyDescent="0.2">
      <c r="A149" s="350">
        <v>5009</v>
      </c>
      <c r="B149" s="353" t="s">
        <v>297</v>
      </c>
      <c r="C149" s="396" t="s">
        <v>391</v>
      </c>
      <c r="D149" s="355">
        <v>65</v>
      </c>
      <c r="E149" s="416">
        <v>275</v>
      </c>
      <c r="F149" s="379">
        <f t="shared" si="24"/>
        <v>17875</v>
      </c>
      <c r="G149" s="296">
        <v>65</v>
      </c>
      <c r="H149" s="352">
        <v>65</v>
      </c>
      <c r="I149" s="296"/>
      <c r="J149" s="296"/>
      <c r="K149" s="296"/>
      <c r="L149" s="297">
        <f t="shared" si="25"/>
        <v>17875</v>
      </c>
      <c r="M149" s="298">
        <v>43502</v>
      </c>
      <c r="N149" s="298"/>
      <c r="O149" s="315"/>
      <c r="P149" s="300"/>
    </row>
    <row r="150" spans="1:16" s="301" customFormat="1" x14ac:dyDescent="0.2">
      <c r="A150" s="350">
        <v>5010</v>
      </c>
      <c r="B150" s="353" t="s">
        <v>297</v>
      </c>
      <c r="C150" s="396" t="s">
        <v>392</v>
      </c>
      <c r="D150" s="355">
        <v>5</v>
      </c>
      <c r="E150" s="416">
        <v>250</v>
      </c>
      <c r="F150" s="379">
        <f t="shared" si="24"/>
        <v>1250</v>
      </c>
      <c r="G150" s="296">
        <v>5</v>
      </c>
      <c r="H150" s="352">
        <v>5</v>
      </c>
      <c r="I150" s="296"/>
      <c r="J150" s="296"/>
      <c r="K150" s="296"/>
      <c r="L150" s="297">
        <f t="shared" si="25"/>
        <v>1250</v>
      </c>
      <c r="M150" s="298">
        <v>43502</v>
      </c>
      <c r="N150" s="298"/>
      <c r="O150" s="315"/>
      <c r="P150" s="300"/>
    </row>
    <row r="151" spans="1:16" s="301" customFormat="1" x14ac:dyDescent="0.2">
      <c r="A151" s="350">
        <v>5011</v>
      </c>
      <c r="B151" s="353" t="s">
        <v>297</v>
      </c>
      <c r="C151" s="396" t="s">
        <v>393</v>
      </c>
      <c r="D151" s="355">
        <v>2</v>
      </c>
      <c r="E151" s="416">
        <v>250</v>
      </c>
      <c r="F151" s="379">
        <f t="shared" si="24"/>
        <v>500</v>
      </c>
      <c r="G151" s="296">
        <v>2</v>
      </c>
      <c r="H151" s="352">
        <v>2</v>
      </c>
      <c r="I151" s="296"/>
      <c r="J151" s="296"/>
      <c r="K151" s="296"/>
      <c r="L151" s="297">
        <f t="shared" ref="L151:L162" si="26">E151*(H151+I151+J151+K151)</f>
        <v>500</v>
      </c>
      <c r="M151" s="298">
        <v>43502</v>
      </c>
      <c r="N151" s="298"/>
      <c r="O151" s="315"/>
      <c r="P151" s="300"/>
    </row>
    <row r="152" spans="1:16" s="301" customFormat="1" x14ac:dyDescent="0.2">
      <c r="A152" s="319">
        <v>5016</v>
      </c>
      <c r="B152" s="320" t="s">
        <v>297</v>
      </c>
      <c r="C152" s="399" t="s">
        <v>479</v>
      </c>
      <c r="D152" s="322">
        <v>2</v>
      </c>
      <c r="E152" s="417">
        <v>265</v>
      </c>
      <c r="F152" s="379">
        <f t="shared" ref="F152" si="27">E152*D152</f>
        <v>530</v>
      </c>
      <c r="G152" s="296">
        <v>2</v>
      </c>
      <c r="H152" s="352">
        <v>2</v>
      </c>
      <c r="I152" s="296"/>
      <c r="J152" s="296"/>
      <c r="K152" s="296"/>
      <c r="L152" s="297">
        <f t="shared" si="26"/>
        <v>530</v>
      </c>
      <c r="M152" s="298">
        <v>43503</v>
      </c>
      <c r="N152" s="298"/>
      <c r="O152" s="315"/>
      <c r="P152" s="300"/>
    </row>
    <row r="153" spans="1:16" s="301" customFormat="1" x14ac:dyDescent="0.2">
      <c r="A153" s="319">
        <v>5090</v>
      </c>
      <c r="B153" s="320" t="s">
        <v>297</v>
      </c>
      <c r="C153" s="399" t="s">
        <v>492</v>
      </c>
      <c r="D153" s="322">
        <v>16</v>
      </c>
      <c r="E153" s="417">
        <v>405</v>
      </c>
      <c r="F153" s="379">
        <f t="shared" ref="F153:F164" si="28">E153*D153</f>
        <v>6480</v>
      </c>
      <c r="G153" s="296">
        <v>16</v>
      </c>
      <c r="H153" s="352">
        <f>10+6</f>
        <v>16</v>
      </c>
      <c r="I153" s="296"/>
      <c r="J153" s="296"/>
      <c r="K153" s="296"/>
      <c r="L153" s="297">
        <f t="shared" si="26"/>
        <v>6480</v>
      </c>
      <c r="M153" s="298">
        <v>43522</v>
      </c>
      <c r="N153" s="298"/>
      <c r="O153" s="315"/>
      <c r="P153" s="300"/>
    </row>
    <row r="154" spans="1:16" s="301" customFormat="1" x14ac:dyDescent="0.2">
      <c r="A154" s="319">
        <v>5091</v>
      </c>
      <c r="B154" s="320" t="s">
        <v>297</v>
      </c>
      <c r="C154" s="399" t="s">
        <v>493</v>
      </c>
      <c r="D154" s="322">
        <v>6</v>
      </c>
      <c r="E154" s="417">
        <v>460</v>
      </c>
      <c r="F154" s="379">
        <f t="shared" si="28"/>
        <v>2760</v>
      </c>
      <c r="G154" s="296">
        <v>6</v>
      </c>
      <c r="H154" s="352">
        <v>6</v>
      </c>
      <c r="I154" s="296"/>
      <c r="J154" s="296"/>
      <c r="K154" s="296"/>
      <c r="L154" s="297">
        <f t="shared" si="26"/>
        <v>2760</v>
      </c>
      <c r="M154" s="298">
        <v>43522</v>
      </c>
      <c r="N154" s="298"/>
      <c r="O154" s="315"/>
      <c r="P154" s="300"/>
    </row>
    <row r="155" spans="1:16" s="301" customFormat="1" x14ac:dyDescent="0.2">
      <c r="A155" s="319">
        <v>5092</v>
      </c>
      <c r="B155" s="320" t="s">
        <v>297</v>
      </c>
      <c r="C155" s="399" t="s">
        <v>494</v>
      </c>
      <c r="D155" s="322">
        <v>2</v>
      </c>
      <c r="E155" s="417">
        <v>465</v>
      </c>
      <c r="F155" s="379">
        <f t="shared" si="28"/>
        <v>930</v>
      </c>
      <c r="G155" s="296">
        <v>2</v>
      </c>
      <c r="H155" s="352">
        <v>2</v>
      </c>
      <c r="I155" s="296"/>
      <c r="J155" s="296"/>
      <c r="K155" s="296"/>
      <c r="L155" s="297">
        <f t="shared" si="26"/>
        <v>930</v>
      </c>
      <c r="M155" s="298">
        <v>43522</v>
      </c>
      <c r="N155" s="298"/>
      <c r="O155" s="315"/>
      <c r="P155" s="300"/>
    </row>
    <row r="156" spans="1:16" s="301" customFormat="1" x14ac:dyDescent="0.2">
      <c r="A156" s="319">
        <v>5093</v>
      </c>
      <c r="B156" s="320" t="s">
        <v>297</v>
      </c>
      <c r="C156" s="399" t="s">
        <v>495</v>
      </c>
      <c r="D156" s="322">
        <v>2</v>
      </c>
      <c r="E156" s="417">
        <v>484</v>
      </c>
      <c r="F156" s="379">
        <f t="shared" si="28"/>
        <v>968</v>
      </c>
      <c r="G156" s="296">
        <v>2</v>
      </c>
      <c r="H156" s="352">
        <v>2</v>
      </c>
      <c r="I156" s="296"/>
      <c r="J156" s="296"/>
      <c r="K156" s="296"/>
      <c r="L156" s="297">
        <f t="shared" si="26"/>
        <v>968</v>
      </c>
      <c r="M156" s="298">
        <v>43522</v>
      </c>
      <c r="N156" s="298"/>
      <c r="O156" s="315"/>
      <c r="P156" s="300"/>
    </row>
    <row r="157" spans="1:16" s="301" customFormat="1" x14ac:dyDescent="0.2">
      <c r="A157" s="319">
        <v>5094</v>
      </c>
      <c r="B157" s="320" t="s">
        <v>297</v>
      </c>
      <c r="C157" s="399" t="s">
        <v>496</v>
      </c>
      <c r="D157" s="322">
        <v>2</v>
      </c>
      <c r="E157" s="417">
        <v>402</v>
      </c>
      <c r="F157" s="379">
        <f t="shared" si="28"/>
        <v>804</v>
      </c>
      <c r="G157" s="296">
        <v>2</v>
      </c>
      <c r="H157" s="352">
        <v>2</v>
      </c>
      <c r="I157" s="296"/>
      <c r="J157" s="296"/>
      <c r="K157" s="296"/>
      <c r="L157" s="297">
        <f t="shared" si="26"/>
        <v>804</v>
      </c>
      <c r="M157" s="298">
        <v>43522</v>
      </c>
      <c r="N157" s="298"/>
      <c r="O157" s="315"/>
      <c r="P157" s="300"/>
    </row>
    <row r="158" spans="1:16" s="301" customFormat="1" x14ac:dyDescent="0.2">
      <c r="A158" s="319">
        <v>5095</v>
      </c>
      <c r="B158" s="320" t="s">
        <v>297</v>
      </c>
      <c r="C158" s="399" t="s">
        <v>497</v>
      </c>
      <c r="D158" s="322">
        <v>2</v>
      </c>
      <c r="E158" s="417">
        <v>391</v>
      </c>
      <c r="F158" s="379">
        <f t="shared" si="28"/>
        <v>782</v>
      </c>
      <c r="G158" s="296">
        <v>2</v>
      </c>
      <c r="H158" s="352">
        <v>2</v>
      </c>
      <c r="I158" s="296"/>
      <c r="J158" s="296"/>
      <c r="K158" s="296"/>
      <c r="L158" s="297">
        <f t="shared" si="26"/>
        <v>782</v>
      </c>
      <c r="M158" s="298">
        <v>43522</v>
      </c>
      <c r="N158" s="298"/>
      <c r="O158" s="315"/>
      <c r="P158" s="300"/>
    </row>
    <row r="159" spans="1:16" s="301" customFormat="1" x14ac:dyDescent="0.2">
      <c r="A159" s="319">
        <v>5096</v>
      </c>
      <c r="B159" s="320" t="s">
        <v>297</v>
      </c>
      <c r="C159" s="399" t="s">
        <v>498</v>
      </c>
      <c r="D159" s="322">
        <v>2</v>
      </c>
      <c r="E159" s="417">
        <v>412</v>
      </c>
      <c r="F159" s="379">
        <f t="shared" si="28"/>
        <v>824</v>
      </c>
      <c r="G159" s="296">
        <v>2</v>
      </c>
      <c r="H159" s="352">
        <v>2</v>
      </c>
      <c r="I159" s="296"/>
      <c r="J159" s="296"/>
      <c r="K159" s="296"/>
      <c r="L159" s="297">
        <f t="shared" si="26"/>
        <v>824</v>
      </c>
      <c r="M159" s="298">
        <v>43522</v>
      </c>
      <c r="N159" s="298"/>
      <c r="O159" s="315"/>
      <c r="P159" s="300"/>
    </row>
    <row r="160" spans="1:16" s="301" customFormat="1" x14ac:dyDescent="0.2">
      <c r="A160" s="319">
        <v>5097</v>
      </c>
      <c r="B160" s="320" t="s">
        <v>297</v>
      </c>
      <c r="C160" s="399" t="s">
        <v>499</v>
      </c>
      <c r="D160" s="322">
        <v>2</v>
      </c>
      <c r="E160" s="417">
        <v>455</v>
      </c>
      <c r="F160" s="379">
        <f t="shared" si="28"/>
        <v>910</v>
      </c>
      <c r="G160" s="296">
        <v>2</v>
      </c>
      <c r="H160" s="352">
        <v>2</v>
      </c>
      <c r="I160" s="296"/>
      <c r="J160" s="296"/>
      <c r="K160" s="296"/>
      <c r="L160" s="297">
        <f t="shared" si="26"/>
        <v>910</v>
      </c>
      <c r="M160" s="298">
        <v>43522</v>
      </c>
      <c r="N160" s="298"/>
      <c r="O160" s="315"/>
      <c r="P160" s="300"/>
    </row>
    <row r="161" spans="1:16" s="301" customFormat="1" x14ac:dyDescent="0.2">
      <c r="A161" s="319">
        <v>5098</v>
      </c>
      <c r="B161" s="320" t="s">
        <v>297</v>
      </c>
      <c r="C161" s="399" t="s">
        <v>500</v>
      </c>
      <c r="D161" s="322">
        <v>2</v>
      </c>
      <c r="E161" s="417">
        <v>455</v>
      </c>
      <c r="F161" s="379">
        <f t="shared" si="28"/>
        <v>910</v>
      </c>
      <c r="G161" s="296">
        <v>2</v>
      </c>
      <c r="H161" s="352">
        <v>2</v>
      </c>
      <c r="I161" s="296"/>
      <c r="J161" s="296"/>
      <c r="K161" s="296"/>
      <c r="L161" s="297">
        <f t="shared" si="26"/>
        <v>910</v>
      </c>
      <c r="M161" s="298">
        <v>43522</v>
      </c>
      <c r="N161" s="298"/>
      <c r="O161" s="315"/>
      <c r="P161" s="300"/>
    </row>
    <row r="162" spans="1:16" s="301" customFormat="1" x14ac:dyDescent="0.2">
      <c r="A162" s="319">
        <v>5099</v>
      </c>
      <c r="B162" s="320" t="s">
        <v>297</v>
      </c>
      <c r="C162" s="399" t="s">
        <v>501</v>
      </c>
      <c r="D162" s="322">
        <v>1</v>
      </c>
      <c r="E162" s="417">
        <v>471</v>
      </c>
      <c r="F162" s="379">
        <f t="shared" si="28"/>
        <v>471</v>
      </c>
      <c r="G162" s="296">
        <v>1</v>
      </c>
      <c r="H162" s="352">
        <v>1</v>
      </c>
      <c r="I162" s="296"/>
      <c r="J162" s="296"/>
      <c r="K162" s="296"/>
      <c r="L162" s="297">
        <f t="shared" si="26"/>
        <v>471</v>
      </c>
      <c r="M162" s="298">
        <v>43522</v>
      </c>
      <c r="N162" s="298"/>
      <c r="O162" s="315"/>
      <c r="P162" s="300"/>
    </row>
    <row r="163" spans="1:16" s="301" customFormat="1" x14ac:dyDescent="0.2">
      <c r="A163" s="319">
        <v>5100</v>
      </c>
      <c r="B163" s="320" t="s">
        <v>297</v>
      </c>
      <c r="C163" s="399" t="s">
        <v>502</v>
      </c>
      <c r="D163" s="322">
        <v>1</v>
      </c>
      <c r="E163" s="417">
        <v>471</v>
      </c>
      <c r="F163" s="379">
        <f t="shared" si="28"/>
        <v>471</v>
      </c>
      <c r="G163" s="296">
        <v>1</v>
      </c>
      <c r="H163" s="352">
        <v>1</v>
      </c>
      <c r="I163" s="296"/>
      <c r="J163" s="296"/>
      <c r="K163" s="296"/>
      <c r="L163" s="297">
        <f t="shared" ref="L163:L183" si="29">E163*(H163+I163+J163+K163)</f>
        <v>471</v>
      </c>
      <c r="M163" s="298">
        <v>43522</v>
      </c>
      <c r="N163" s="298"/>
      <c r="O163" s="315"/>
      <c r="P163" s="300"/>
    </row>
    <row r="164" spans="1:16" s="301" customFormat="1" x14ac:dyDescent="0.2">
      <c r="A164" s="319">
        <v>5101</v>
      </c>
      <c r="B164" s="320" t="s">
        <v>297</v>
      </c>
      <c r="C164" s="399" t="s">
        <v>503</v>
      </c>
      <c r="D164" s="322">
        <v>1</v>
      </c>
      <c r="E164" s="417">
        <v>479</v>
      </c>
      <c r="F164" s="379">
        <f t="shared" si="28"/>
        <v>479</v>
      </c>
      <c r="G164" s="296">
        <v>1</v>
      </c>
      <c r="H164" s="352">
        <v>1</v>
      </c>
      <c r="I164" s="296"/>
      <c r="J164" s="296"/>
      <c r="K164" s="296"/>
      <c r="L164" s="297">
        <f t="shared" si="29"/>
        <v>479</v>
      </c>
      <c r="M164" s="298">
        <v>43522</v>
      </c>
      <c r="N164" s="298"/>
      <c r="O164" s="315"/>
      <c r="P164" s="300"/>
    </row>
    <row r="165" spans="1:16" s="301" customFormat="1" x14ac:dyDescent="0.2">
      <c r="A165" s="319">
        <v>5102</v>
      </c>
      <c r="B165" s="320" t="s">
        <v>297</v>
      </c>
      <c r="C165" s="399" t="s">
        <v>504</v>
      </c>
      <c r="D165" s="322">
        <v>1</v>
      </c>
      <c r="E165" s="417">
        <v>248</v>
      </c>
      <c r="F165" s="379">
        <f t="shared" ref="F165:F183" si="30">E165*D165</f>
        <v>248</v>
      </c>
      <c r="G165" s="296">
        <v>1</v>
      </c>
      <c r="H165" s="352">
        <v>1</v>
      </c>
      <c r="I165" s="296"/>
      <c r="J165" s="296"/>
      <c r="K165" s="296"/>
      <c r="L165" s="297">
        <f t="shared" si="29"/>
        <v>248</v>
      </c>
      <c r="M165" s="298">
        <v>43522</v>
      </c>
      <c r="N165" s="298"/>
      <c r="O165" s="315"/>
      <c r="P165" s="300"/>
    </row>
    <row r="166" spans="1:16" s="301" customFormat="1" x14ac:dyDescent="0.2">
      <c r="A166" s="319">
        <v>5103</v>
      </c>
      <c r="B166" s="320" t="s">
        <v>297</v>
      </c>
      <c r="C166" s="399" t="s">
        <v>505</v>
      </c>
      <c r="D166" s="322">
        <v>1</v>
      </c>
      <c r="E166" s="417">
        <v>248</v>
      </c>
      <c r="F166" s="379">
        <f t="shared" si="30"/>
        <v>248</v>
      </c>
      <c r="G166" s="296">
        <v>1</v>
      </c>
      <c r="H166" s="352">
        <v>1</v>
      </c>
      <c r="I166" s="296"/>
      <c r="J166" s="296"/>
      <c r="K166" s="296"/>
      <c r="L166" s="297">
        <f t="shared" si="29"/>
        <v>248</v>
      </c>
      <c r="M166" s="298">
        <v>43522</v>
      </c>
      <c r="N166" s="298"/>
      <c r="O166" s="315"/>
      <c r="P166" s="300"/>
    </row>
    <row r="167" spans="1:16" s="301" customFormat="1" x14ac:dyDescent="0.2">
      <c r="A167" s="350">
        <v>5180</v>
      </c>
      <c r="B167" s="353" t="s">
        <v>297</v>
      </c>
      <c r="C167" s="403" t="s">
        <v>541</v>
      </c>
      <c r="D167" s="355">
        <v>2</v>
      </c>
      <c r="E167" s="409">
        <v>355</v>
      </c>
      <c r="F167" s="379">
        <f t="shared" si="30"/>
        <v>710</v>
      </c>
      <c r="G167" s="296">
        <v>2</v>
      </c>
      <c r="H167" s="296"/>
      <c r="I167" s="296"/>
      <c r="J167" s="352">
        <v>2</v>
      </c>
      <c r="K167" s="296"/>
      <c r="L167" s="297">
        <f t="shared" si="29"/>
        <v>710</v>
      </c>
      <c r="M167" s="298">
        <v>43531</v>
      </c>
      <c r="N167" s="298">
        <v>43538</v>
      </c>
      <c r="O167" s="315"/>
      <c r="P167" s="300"/>
    </row>
    <row r="168" spans="1:16" s="301" customFormat="1" x14ac:dyDescent="0.2">
      <c r="A168" s="350">
        <v>5181</v>
      </c>
      <c r="B168" s="353" t="s">
        <v>297</v>
      </c>
      <c r="C168" s="403" t="s">
        <v>542</v>
      </c>
      <c r="D168" s="355">
        <v>2</v>
      </c>
      <c r="E168" s="409">
        <v>355</v>
      </c>
      <c r="F168" s="379">
        <f t="shared" si="30"/>
        <v>710</v>
      </c>
      <c r="G168" s="296">
        <v>2</v>
      </c>
      <c r="H168" s="296"/>
      <c r="I168" s="296"/>
      <c r="J168" s="352">
        <v>2</v>
      </c>
      <c r="K168" s="296"/>
      <c r="L168" s="297">
        <f t="shared" si="29"/>
        <v>710</v>
      </c>
      <c r="M168" s="298">
        <v>43531</v>
      </c>
      <c r="N168" s="298">
        <v>43538</v>
      </c>
      <c r="O168" s="315"/>
      <c r="P168" s="300"/>
    </row>
    <row r="169" spans="1:16" s="301" customFormat="1" x14ac:dyDescent="0.2">
      <c r="A169" s="350">
        <v>5182</v>
      </c>
      <c r="B169" s="353" t="s">
        <v>297</v>
      </c>
      <c r="C169" s="403" t="s">
        <v>543</v>
      </c>
      <c r="D169" s="355">
        <v>2</v>
      </c>
      <c r="E169" s="409">
        <v>345</v>
      </c>
      <c r="F169" s="379">
        <f t="shared" si="30"/>
        <v>690</v>
      </c>
      <c r="G169" s="296">
        <v>2</v>
      </c>
      <c r="H169" s="296"/>
      <c r="I169" s="296"/>
      <c r="J169" s="352">
        <v>2</v>
      </c>
      <c r="K169" s="296"/>
      <c r="L169" s="297">
        <f t="shared" si="29"/>
        <v>690</v>
      </c>
      <c r="M169" s="298">
        <v>43531</v>
      </c>
      <c r="N169" s="298">
        <v>43538</v>
      </c>
      <c r="O169" s="315"/>
      <c r="P169" s="300"/>
    </row>
    <row r="170" spans="1:16" s="301" customFormat="1" x14ac:dyDescent="0.2">
      <c r="A170" s="350">
        <v>5183</v>
      </c>
      <c r="B170" s="353" t="s">
        <v>297</v>
      </c>
      <c r="C170" s="403" t="s">
        <v>544</v>
      </c>
      <c r="D170" s="355">
        <v>2</v>
      </c>
      <c r="E170" s="409">
        <v>310</v>
      </c>
      <c r="F170" s="379">
        <f t="shared" si="30"/>
        <v>620</v>
      </c>
      <c r="G170" s="296">
        <v>2</v>
      </c>
      <c r="H170" s="296"/>
      <c r="I170" s="296"/>
      <c r="J170" s="352">
        <v>2</v>
      </c>
      <c r="K170" s="296"/>
      <c r="L170" s="297">
        <f t="shared" si="29"/>
        <v>620</v>
      </c>
      <c r="M170" s="298">
        <v>43531</v>
      </c>
      <c r="N170" s="298">
        <v>43538</v>
      </c>
      <c r="O170" s="315"/>
      <c r="P170" s="300"/>
    </row>
    <row r="171" spans="1:16" s="301" customFormat="1" x14ac:dyDescent="0.2">
      <c r="A171" s="350">
        <v>5184</v>
      </c>
      <c r="B171" s="353" t="s">
        <v>297</v>
      </c>
      <c r="C171" s="403" t="s">
        <v>545</v>
      </c>
      <c r="D171" s="355">
        <v>2</v>
      </c>
      <c r="E171" s="409">
        <v>310</v>
      </c>
      <c r="F171" s="379">
        <f t="shared" si="30"/>
        <v>620</v>
      </c>
      <c r="G171" s="296">
        <v>2</v>
      </c>
      <c r="H171" s="296"/>
      <c r="I171" s="296"/>
      <c r="J171" s="352">
        <v>2</v>
      </c>
      <c r="K171" s="296"/>
      <c r="L171" s="297">
        <f t="shared" si="29"/>
        <v>620</v>
      </c>
      <c r="M171" s="298">
        <v>43531</v>
      </c>
      <c r="N171" s="298">
        <v>43538</v>
      </c>
      <c r="O171" s="315"/>
      <c r="P171" s="300"/>
    </row>
    <row r="172" spans="1:16" s="301" customFormat="1" x14ac:dyDescent="0.2">
      <c r="A172" s="350">
        <v>5185</v>
      </c>
      <c r="B172" s="353" t="s">
        <v>297</v>
      </c>
      <c r="C172" s="403" t="s">
        <v>546</v>
      </c>
      <c r="D172" s="355">
        <v>1</v>
      </c>
      <c r="E172" s="409">
        <v>415</v>
      </c>
      <c r="F172" s="379">
        <f t="shared" si="30"/>
        <v>415</v>
      </c>
      <c r="G172" s="296">
        <v>1</v>
      </c>
      <c r="H172" s="296"/>
      <c r="I172" s="296"/>
      <c r="J172" s="352">
        <v>1</v>
      </c>
      <c r="K172" s="296"/>
      <c r="L172" s="297">
        <f t="shared" si="29"/>
        <v>415</v>
      </c>
      <c r="M172" s="298">
        <v>43531</v>
      </c>
      <c r="N172" s="298">
        <v>43538</v>
      </c>
      <c r="O172" s="315"/>
      <c r="P172" s="300"/>
    </row>
    <row r="173" spans="1:16" s="301" customFormat="1" x14ac:dyDescent="0.2">
      <c r="A173" s="350">
        <v>5186</v>
      </c>
      <c r="B173" s="353" t="s">
        <v>297</v>
      </c>
      <c r="C173" s="403" t="s">
        <v>547</v>
      </c>
      <c r="D173" s="355">
        <v>1</v>
      </c>
      <c r="E173" s="409">
        <v>405</v>
      </c>
      <c r="F173" s="379">
        <f t="shared" si="30"/>
        <v>405</v>
      </c>
      <c r="G173" s="296">
        <v>1</v>
      </c>
      <c r="H173" s="296"/>
      <c r="I173" s="296"/>
      <c r="J173" s="352">
        <v>1</v>
      </c>
      <c r="K173" s="296"/>
      <c r="L173" s="297">
        <f t="shared" si="29"/>
        <v>405</v>
      </c>
      <c r="M173" s="298">
        <v>43531</v>
      </c>
      <c r="N173" s="298">
        <v>43538</v>
      </c>
      <c r="O173" s="315"/>
      <c r="P173" s="300"/>
    </row>
    <row r="174" spans="1:16" s="301" customFormat="1" x14ac:dyDescent="0.2">
      <c r="A174" s="319">
        <v>5187</v>
      </c>
      <c r="B174" s="353" t="s">
        <v>297</v>
      </c>
      <c r="C174" s="403" t="s">
        <v>548</v>
      </c>
      <c r="D174" s="355">
        <v>6</v>
      </c>
      <c r="E174" s="409">
        <v>430</v>
      </c>
      <c r="F174" s="379">
        <f t="shared" si="30"/>
        <v>2580</v>
      </c>
      <c r="G174" s="296">
        <v>6</v>
      </c>
      <c r="H174" s="296"/>
      <c r="I174" s="352">
        <v>6</v>
      </c>
      <c r="J174" s="296"/>
      <c r="K174" s="296"/>
      <c r="L174" s="297">
        <f t="shared" si="29"/>
        <v>2580</v>
      </c>
      <c r="M174" s="298">
        <v>43531</v>
      </c>
      <c r="N174" s="298">
        <v>43538</v>
      </c>
      <c r="O174" s="315"/>
      <c r="P174" s="300"/>
    </row>
    <row r="175" spans="1:16" s="301" customFormat="1" x14ac:dyDescent="0.2">
      <c r="A175" s="319">
        <v>5188</v>
      </c>
      <c r="B175" s="353" t="s">
        <v>297</v>
      </c>
      <c r="C175" s="403" t="s">
        <v>549</v>
      </c>
      <c r="D175" s="355">
        <v>2</v>
      </c>
      <c r="E175" s="409">
        <v>280</v>
      </c>
      <c r="F175" s="379">
        <f t="shared" si="30"/>
        <v>560</v>
      </c>
      <c r="G175" s="296">
        <v>2</v>
      </c>
      <c r="H175" s="296"/>
      <c r="I175" s="352">
        <v>2</v>
      </c>
      <c r="J175" s="296"/>
      <c r="K175" s="296"/>
      <c r="L175" s="297">
        <f t="shared" si="29"/>
        <v>560</v>
      </c>
      <c r="M175" s="298">
        <v>43531</v>
      </c>
      <c r="N175" s="298">
        <v>43538</v>
      </c>
      <c r="O175" s="315"/>
      <c r="P175" s="300"/>
    </row>
    <row r="176" spans="1:16" s="301" customFormat="1" x14ac:dyDescent="0.2">
      <c r="A176" s="319">
        <v>5189</v>
      </c>
      <c r="B176" s="353" t="s">
        <v>297</v>
      </c>
      <c r="C176" s="403" t="s">
        <v>550</v>
      </c>
      <c r="D176" s="355">
        <v>2</v>
      </c>
      <c r="E176" s="409">
        <v>280</v>
      </c>
      <c r="F176" s="379">
        <f t="shared" si="30"/>
        <v>560</v>
      </c>
      <c r="G176" s="296">
        <v>2</v>
      </c>
      <c r="H176" s="296"/>
      <c r="I176" s="352">
        <v>2</v>
      </c>
      <c r="J176" s="296"/>
      <c r="K176" s="296"/>
      <c r="L176" s="297">
        <f t="shared" si="29"/>
        <v>560</v>
      </c>
      <c r="M176" s="298">
        <v>43531</v>
      </c>
      <c r="N176" s="298">
        <v>43538</v>
      </c>
      <c r="O176" s="315"/>
      <c r="P176" s="300"/>
    </row>
    <row r="177" spans="1:16" s="301" customFormat="1" x14ac:dyDescent="0.2">
      <c r="A177" s="319"/>
      <c r="B177" s="320"/>
      <c r="C177" s="437"/>
      <c r="D177" s="322"/>
      <c r="E177" s="417"/>
      <c r="F177" s="379">
        <f t="shared" si="30"/>
        <v>0</v>
      </c>
      <c r="G177" s="296"/>
      <c r="H177" s="296"/>
      <c r="I177" s="296"/>
      <c r="J177" s="296"/>
      <c r="K177" s="296"/>
      <c r="L177" s="297">
        <f t="shared" si="29"/>
        <v>0</v>
      </c>
      <c r="M177" s="298"/>
      <c r="N177" s="298"/>
      <c r="O177" s="315"/>
      <c r="P177" s="300"/>
    </row>
    <row r="178" spans="1:16" s="301" customFormat="1" x14ac:dyDescent="0.2">
      <c r="A178" s="350">
        <v>5076</v>
      </c>
      <c r="B178" s="353" t="s">
        <v>435</v>
      </c>
      <c r="C178" s="403" t="s">
        <v>436</v>
      </c>
      <c r="D178" s="355">
        <v>1</v>
      </c>
      <c r="E178" s="409">
        <v>19560</v>
      </c>
      <c r="F178" s="379">
        <f t="shared" si="30"/>
        <v>19560</v>
      </c>
      <c r="G178" s="296">
        <v>1</v>
      </c>
      <c r="H178" s="296"/>
      <c r="I178" s="357">
        <v>1</v>
      </c>
      <c r="J178" s="296"/>
      <c r="K178" s="296"/>
      <c r="L178" s="297">
        <f t="shared" si="29"/>
        <v>19560</v>
      </c>
      <c r="M178" s="298">
        <v>43510</v>
      </c>
      <c r="N178" s="298"/>
      <c r="O178" s="315"/>
      <c r="P178" s="300"/>
    </row>
    <row r="179" spans="1:16" s="301" customFormat="1" x14ac:dyDescent="0.2">
      <c r="A179" s="319"/>
      <c r="B179" s="320"/>
      <c r="C179" s="399"/>
      <c r="D179" s="322"/>
      <c r="E179" s="412"/>
      <c r="F179" s="379">
        <f t="shared" si="30"/>
        <v>0</v>
      </c>
      <c r="G179" s="296"/>
      <c r="H179" s="296"/>
      <c r="I179" s="296"/>
      <c r="J179" s="296"/>
      <c r="K179" s="296"/>
      <c r="L179" s="297">
        <f t="shared" si="29"/>
        <v>0</v>
      </c>
      <c r="M179" s="298"/>
      <c r="N179" s="298"/>
      <c r="O179" s="315"/>
      <c r="P179" s="300"/>
    </row>
    <row r="180" spans="1:16" s="301" customFormat="1" x14ac:dyDescent="0.2">
      <c r="A180" s="319">
        <v>5079</v>
      </c>
      <c r="B180" s="353" t="s">
        <v>473</v>
      </c>
      <c r="C180" s="396" t="s">
        <v>204</v>
      </c>
      <c r="D180" s="355">
        <v>1</v>
      </c>
      <c r="E180" s="409">
        <v>2600</v>
      </c>
      <c r="F180" s="379">
        <f t="shared" si="30"/>
        <v>2600</v>
      </c>
      <c r="G180" s="296">
        <v>1</v>
      </c>
      <c r="H180" s="296"/>
      <c r="I180" s="296"/>
      <c r="J180" s="357">
        <v>1</v>
      </c>
      <c r="K180" s="296"/>
      <c r="L180" s="297">
        <f t="shared" si="29"/>
        <v>2600</v>
      </c>
      <c r="M180" s="298">
        <v>43516</v>
      </c>
      <c r="N180" s="298">
        <v>43524</v>
      </c>
      <c r="O180" s="315"/>
      <c r="P180" s="300"/>
    </row>
    <row r="181" spans="1:16" s="301" customFormat="1" x14ac:dyDescent="0.2">
      <c r="A181" s="319">
        <v>5080</v>
      </c>
      <c r="B181" s="353" t="s">
        <v>473</v>
      </c>
      <c r="C181" s="396" t="s">
        <v>474</v>
      </c>
      <c r="D181" s="355">
        <v>1</v>
      </c>
      <c r="E181" s="409">
        <v>5300</v>
      </c>
      <c r="F181" s="379">
        <f t="shared" si="30"/>
        <v>5300</v>
      </c>
      <c r="G181" s="296">
        <v>1</v>
      </c>
      <c r="H181" s="296"/>
      <c r="I181" s="296"/>
      <c r="J181" s="357">
        <v>1</v>
      </c>
      <c r="K181" s="296"/>
      <c r="L181" s="297">
        <f t="shared" si="29"/>
        <v>5300</v>
      </c>
      <c r="M181" s="298">
        <v>43516</v>
      </c>
      <c r="N181" s="298">
        <v>43524</v>
      </c>
      <c r="O181" s="315"/>
      <c r="P181" s="300"/>
    </row>
    <row r="182" spans="1:16" s="301" customFormat="1" x14ac:dyDescent="0.2">
      <c r="A182" s="319"/>
      <c r="B182" s="353"/>
      <c r="C182" s="405"/>
      <c r="D182" s="322"/>
      <c r="E182" s="412"/>
      <c r="F182" s="379">
        <f t="shared" si="30"/>
        <v>0</v>
      </c>
      <c r="G182" s="296"/>
      <c r="H182" s="296"/>
      <c r="I182" s="296"/>
      <c r="J182" s="296"/>
      <c r="K182" s="296"/>
      <c r="L182" s="297">
        <f t="shared" si="29"/>
        <v>0</v>
      </c>
      <c r="M182" s="298"/>
      <c r="N182" s="298"/>
      <c r="O182" s="315"/>
      <c r="P182" s="300"/>
    </row>
    <row r="183" spans="1:16" s="301" customFormat="1" x14ac:dyDescent="0.2">
      <c r="A183" s="350">
        <v>5089</v>
      </c>
      <c r="B183" s="353" t="s">
        <v>477</v>
      </c>
      <c r="C183" s="396" t="s">
        <v>478</v>
      </c>
      <c r="D183" s="355">
        <v>4</v>
      </c>
      <c r="E183" s="409">
        <v>2950</v>
      </c>
      <c r="F183" s="379">
        <f t="shared" si="30"/>
        <v>11800</v>
      </c>
      <c r="G183" s="296">
        <v>4</v>
      </c>
      <c r="H183" s="296"/>
      <c r="I183" s="296"/>
      <c r="J183" s="357">
        <v>4</v>
      </c>
      <c r="K183" s="296"/>
      <c r="L183" s="297">
        <f t="shared" si="29"/>
        <v>11800</v>
      </c>
      <c r="M183" s="298">
        <v>43517</v>
      </c>
      <c r="N183" s="298">
        <v>43524</v>
      </c>
      <c r="O183" s="315"/>
      <c r="P183" s="300"/>
    </row>
    <row r="184" spans="1:16" s="301" customFormat="1" x14ac:dyDescent="0.2">
      <c r="A184" s="350">
        <v>5252</v>
      </c>
      <c r="B184" s="353" t="s">
        <v>477</v>
      </c>
      <c r="C184" s="396" t="s">
        <v>603</v>
      </c>
      <c r="D184" s="355">
        <v>1</v>
      </c>
      <c r="E184" s="409"/>
      <c r="F184" s="379">
        <f>E184*D184</f>
        <v>0</v>
      </c>
      <c r="G184" s="296">
        <v>1</v>
      </c>
      <c r="H184" s="296"/>
      <c r="I184" s="296"/>
      <c r="J184" s="296"/>
      <c r="K184" s="296"/>
      <c r="L184" s="297"/>
      <c r="M184" s="298"/>
      <c r="N184" s="298"/>
      <c r="O184" s="315"/>
      <c r="P184" s="300"/>
    </row>
    <row r="185" spans="1:16" s="301" customFormat="1" x14ac:dyDescent="0.2">
      <c r="A185" s="319"/>
      <c r="B185" s="353"/>
      <c r="C185" s="405"/>
      <c r="D185" s="322"/>
      <c r="E185" s="412"/>
      <c r="F185" s="379">
        <f t="shared" ref="F185:F246" si="31">E185*D185</f>
        <v>0</v>
      </c>
      <c r="G185" s="296"/>
      <c r="H185" s="296"/>
      <c r="I185" s="296"/>
      <c r="J185" s="296"/>
      <c r="K185" s="296"/>
      <c r="L185" s="297">
        <f t="shared" ref="L185:L246" si="32">E185*(H185+I185+J185+K185)</f>
        <v>0</v>
      </c>
      <c r="M185" s="298"/>
      <c r="N185" s="298"/>
      <c r="O185" s="315"/>
      <c r="P185" s="300"/>
    </row>
    <row r="186" spans="1:16" s="301" customFormat="1" x14ac:dyDescent="0.2">
      <c r="A186" s="319">
        <v>5088</v>
      </c>
      <c r="B186" s="353" t="s">
        <v>486</v>
      </c>
      <c r="C186" s="396" t="s">
        <v>487</v>
      </c>
      <c r="D186" s="355">
        <v>15</v>
      </c>
      <c r="E186" s="409">
        <v>1020</v>
      </c>
      <c r="F186" s="379">
        <f t="shared" si="31"/>
        <v>15300</v>
      </c>
      <c r="G186" s="296">
        <v>15</v>
      </c>
      <c r="H186" s="296"/>
      <c r="I186" s="296"/>
      <c r="J186" s="296"/>
      <c r="K186" s="296"/>
      <c r="L186" s="297">
        <f t="shared" si="32"/>
        <v>0</v>
      </c>
      <c r="M186" s="298">
        <v>43522</v>
      </c>
      <c r="N186" s="298">
        <v>43530</v>
      </c>
      <c r="O186" s="315"/>
      <c r="P186" s="300"/>
    </row>
    <row r="187" spans="1:16" s="301" customFormat="1" x14ac:dyDescent="0.2">
      <c r="A187" s="319"/>
      <c r="B187" s="353"/>
      <c r="C187" s="405"/>
      <c r="D187" s="322"/>
      <c r="E187" s="412"/>
      <c r="F187" s="379">
        <f t="shared" si="31"/>
        <v>0</v>
      </c>
      <c r="G187" s="296"/>
      <c r="H187" s="296"/>
      <c r="I187" s="296"/>
      <c r="J187" s="296"/>
      <c r="K187" s="296"/>
      <c r="L187" s="297">
        <f t="shared" si="32"/>
        <v>0</v>
      </c>
      <c r="M187" s="298"/>
      <c r="N187" s="298"/>
      <c r="O187" s="315"/>
      <c r="P187" s="300"/>
    </row>
    <row r="188" spans="1:16" s="301" customFormat="1" x14ac:dyDescent="0.2">
      <c r="A188" s="350">
        <v>5134</v>
      </c>
      <c r="B188" s="353" t="s">
        <v>488</v>
      </c>
      <c r="C188" s="396" t="s">
        <v>489</v>
      </c>
      <c r="D188" s="355">
        <v>3</v>
      </c>
      <c r="E188" s="409"/>
      <c r="F188" s="379">
        <f t="shared" si="31"/>
        <v>0</v>
      </c>
      <c r="G188" s="296">
        <v>3</v>
      </c>
      <c r="H188" s="296"/>
      <c r="I188" s="296"/>
      <c r="J188" s="296"/>
      <c r="K188" s="296"/>
      <c r="L188" s="297">
        <f t="shared" si="32"/>
        <v>0</v>
      </c>
      <c r="M188" s="298">
        <v>43522</v>
      </c>
      <c r="N188" s="298"/>
      <c r="O188" s="315"/>
      <c r="P188" s="300"/>
    </row>
    <row r="189" spans="1:16" s="301" customFormat="1" x14ac:dyDescent="0.2">
      <c r="A189" s="350"/>
      <c r="B189" s="353"/>
      <c r="C189" s="396"/>
      <c r="D189" s="355"/>
      <c r="E189" s="409"/>
      <c r="F189" s="379">
        <f t="shared" si="31"/>
        <v>0</v>
      </c>
      <c r="G189" s="296"/>
      <c r="H189" s="296"/>
      <c r="I189" s="296"/>
      <c r="J189" s="296"/>
      <c r="K189" s="296"/>
      <c r="L189" s="297">
        <f t="shared" si="32"/>
        <v>0</v>
      </c>
      <c r="M189" s="298"/>
      <c r="N189" s="298"/>
      <c r="O189" s="315"/>
      <c r="P189" s="300"/>
    </row>
    <row r="190" spans="1:16" s="301" customFormat="1" x14ac:dyDescent="0.2">
      <c r="A190" s="350"/>
      <c r="B190" s="353"/>
      <c r="C190" s="396"/>
      <c r="D190" s="355"/>
      <c r="E190" s="409"/>
      <c r="F190" s="379">
        <f t="shared" si="31"/>
        <v>0</v>
      </c>
      <c r="G190" s="296"/>
      <c r="H190" s="296"/>
      <c r="I190" s="296"/>
      <c r="J190" s="296"/>
      <c r="K190" s="296"/>
      <c r="L190" s="297">
        <f t="shared" si="32"/>
        <v>0</v>
      </c>
      <c r="M190" s="298"/>
      <c r="N190" s="298"/>
      <c r="O190" s="315"/>
      <c r="P190" s="300"/>
    </row>
    <row r="191" spans="1:16" s="301" customFormat="1" x14ac:dyDescent="0.2">
      <c r="A191" s="350"/>
      <c r="B191" s="353"/>
      <c r="C191" s="396"/>
      <c r="D191" s="355"/>
      <c r="E191" s="409"/>
      <c r="F191" s="379">
        <f t="shared" si="31"/>
        <v>0</v>
      </c>
      <c r="G191" s="296"/>
      <c r="H191" s="296"/>
      <c r="I191" s="296"/>
      <c r="J191" s="296"/>
      <c r="K191" s="296"/>
      <c r="L191" s="297">
        <f t="shared" si="32"/>
        <v>0</v>
      </c>
      <c r="M191" s="298"/>
      <c r="N191" s="298"/>
      <c r="O191" s="315"/>
      <c r="P191" s="300"/>
    </row>
    <row r="192" spans="1:16" s="301" customFormat="1" x14ac:dyDescent="0.2">
      <c r="A192" s="319"/>
      <c r="B192" s="353"/>
      <c r="C192" s="405"/>
      <c r="D192" s="322"/>
      <c r="E192" s="412"/>
      <c r="F192" s="379">
        <f t="shared" si="31"/>
        <v>0</v>
      </c>
      <c r="G192" s="296"/>
      <c r="H192" s="296"/>
      <c r="I192" s="296"/>
      <c r="J192" s="296"/>
      <c r="K192" s="296"/>
      <c r="L192" s="297">
        <f t="shared" si="32"/>
        <v>0</v>
      </c>
      <c r="M192" s="298"/>
      <c r="N192" s="298"/>
      <c r="O192" s="315"/>
      <c r="P192" s="300"/>
    </row>
    <row r="193" spans="1:16" s="301" customFormat="1" x14ac:dyDescent="0.2">
      <c r="A193" s="350">
        <v>5105</v>
      </c>
      <c r="B193" s="353" t="s">
        <v>510</v>
      </c>
      <c r="C193" s="396" t="s">
        <v>511</v>
      </c>
      <c r="D193" s="355">
        <v>1</v>
      </c>
      <c r="E193" s="409">
        <v>2100</v>
      </c>
      <c r="F193" s="379">
        <f t="shared" si="31"/>
        <v>2100</v>
      </c>
      <c r="G193" s="296">
        <v>1</v>
      </c>
      <c r="H193" s="352">
        <v>1</v>
      </c>
      <c r="I193" s="296"/>
      <c r="J193" s="296"/>
      <c r="K193" s="296"/>
      <c r="L193" s="297">
        <f t="shared" si="32"/>
        <v>2100</v>
      </c>
      <c r="M193" s="298">
        <v>43524</v>
      </c>
      <c r="N193" s="298">
        <v>43529</v>
      </c>
      <c r="O193" s="315"/>
      <c r="P193" s="300"/>
    </row>
    <row r="194" spans="1:16" s="301" customFormat="1" x14ac:dyDescent="0.2">
      <c r="A194" s="350"/>
      <c r="B194" s="353"/>
      <c r="C194" s="396"/>
      <c r="D194" s="355"/>
      <c r="E194" s="409"/>
      <c r="F194" s="379">
        <f t="shared" si="31"/>
        <v>0</v>
      </c>
      <c r="G194" s="296"/>
      <c r="H194" s="296"/>
      <c r="I194" s="296"/>
      <c r="J194" s="296"/>
      <c r="K194" s="296"/>
      <c r="L194" s="297">
        <f t="shared" si="32"/>
        <v>0</v>
      </c>
      <c r="M194" s="298"/>
      <c r="N194" s="298"/>
      <c r="O194" s="315"/>
      <c r="P194" s="300"/>
    </row>
    <row r="195" spans="1:16" s="301" customFormat="1" x14ac:dyDescent="0.2">
      <c r="A195" s="350">
        <v>5131</v>
      </c>
      <c r="B195" s="353" t="s">
        <v>512</v>
      </c>
      <c r="C195" s="396" t="s">
        <v>513</v>
      </c>
      <c r="D195" s="355">
        <v>1</v>
      </c>
      <c r="E195" s="409">
        <v>1720</v>
      </c>
      <c r="F195" s="379">
        <f t="shared" ref="F195:F244" si="33">E195*D195</f>
        <v>1720</v>
      </c>
      <c r="G195" s="296">
        <v>1</v>
      </c>
      <c r="H195" s="296"/>
      <c r="I195" s="296"/>
      <c r="J195" s="296"/>
      <c r="K195" s="357">
        <v>1</v>
      </c>
      <c r="L195" s="297">
        <f t="shared" si="32"/>
        <v>1720</v>
      </c>
      <c r="M195" s="298">
        <v>43524</v>
      </c>
      <c r="N195" s="298">
        <v>43544</v>
      </c>
      <c r="O195" s="315"/>
      <c r="P195" s="300"/>
    </row>
    <row r="196" spans="1:16" s="301" customFormat="1" x14ac:dyDescent="0.2">
      <c r="A196" s="350">
        <v>5132</v>
      </c>
      <c r="B196" s="353" t="s">
        <v>512</v>
      </c>
      <c r="C196" s="396" t="s">
        <v>514</v>
      </c>
      <c r="D196" s="355">
        <v>1</v>
      </c>
      <c r="E196" s="409">
        <v>1600</v>
      </c>
      <c r="F196" s="379">
        <f t="shared" si="33"/>
        <v>1600</v>
      </c>
      <c r="G196" s="296">
        <v>1</v>
      </c>
      <c r="H196" s="296"/>
      <c r="I196" s="296"/>
      <c r="J196" s="296"/>
      <c r="K196" s="357">
        <v>1</v>
      </c>
      <c r="L196" s="297">
        <f t="shared" ref="L196:L244" si="34">E196*(H196+I196+J196+K196)</f>
        <v>1600</v>
      </c>
      <c r="M196" s="298">
        <v>43524</v>
      </c>
      <c r="N196" s="298">
        <v>43544</v>
      </c>
      <c r="O196" s="315"/>
      <c r="P196" s="300"/>
    </row>
    <row r="197" spans="1:16" s="301" customFormat="1" x14ac:dyDescent="0.2">
      <c r="A197" s="350">
        <v>5133</v>
      </c>
      <c r="B197" s="353" t="s">
        <v>512</v>
      </c>
      <c r="C197" s="396" t="s">
        <v>515</v>
      </c>
      <c r="D197" s="355">
        <v>1</v>
      </c>
      <c r="E197" s="409">
        <v>2900</v>
      </c>
      <c r="F197" s="379">
        <f t="shared" si="33"/>
        <v>2900</v>
      </c>
      <c r="G197" s="296">
        <v>1</v>
      </c>
      <c r="H197" s="296"/>
      <c r="I197" s="296"/>
      <c r="J197" s="296"/>
      <c r="K197" s="357">
        <v>1</v>
      </c>
      <c r="L197" s="297">
        <f t="shared" si="34"/>
        <v>2900</v>
      </c>
      <c r="M197" s="298">
        <v>43524</v>
      </c>
      <c r="N197" s="298">
        <v>43544</v>
      </c>
      <c r="O197" s="315"/>
      <c r="P197" s="300"/>
    </row>
    <row r="198" spans="1:16" s="301" customFormat="1" x14ac:dyDescent="0.2">
      <c r="A198" s="350"/>
      <c r="B198" s="353"/>
      <c r="C198" s="396"/>
      <c r="D198" s="355"/>
      <c r="E198" s="409"/>
      <c r="F198" s="379">
        <f t="shared" si="33"/>
        <v>0</v>
      </c>
      <c r="G198" s="296"/>
      <c r="H198" s="296"/>
      <c r="I198" s="296"/>
      <c r="J198" s="296"/>
      <c r="K198" s="296"/>
      <c r="L198" s="297">
        <f t="shared" si="34"/>
        <v>0</v>
      </c>
      <c r="M198" s="298"/>
      <c r="N198" s="298"/>
      <c r="O198" s="315"/>
      <c r="P198" s="300"/>
    </row>
    <row r="199" spans="1:16" s="301" customFormat="1" x14ac:dyDescent="0.2">
      <c r="A199" s="350" t="s">
        <v>557</v>
      </c>
      <c r="B199" s="353" t="s">
        <v>269</v>
      </c>
      <c r="C199" s="396" t="s">
        <v>413</v>
      </c>
      <c r="D199" s="355">
        <v>200</v>
      </c>
      <c r="E199" s="409">
        <v>9255</v>
      </c>
      <c r="F199" s="379">
        <f t="shared" si="33"/>
        <v>1851000</v>
      </c>
      <c r="G199" s="296"/>
      <c r="H199" s="296"/>
      <c r="I199" s="296"/>
      <c r="J199" s="296"/>
      <c r="K199" s="296"/>
      <c r="L199" s="297">
        <f t="shared" si="34"/>
        <v>0</v>
      </c>
      <c r="M199" s="298"/>
      <c r="N199" s="298"/>
      <c r="O199" s="315"/>
      <c r="P199" s="300"/>
    </row>
    <row r="200" spans="1:16" s="301" customFormat="1" x14ac:dyDescent="0.2">
      <c r="A200" s="350"/>
      <c r="B200" s="353"/>
      <c r="C200" s="396"/>
      <c r="D200" s="355"/>
      <c r="E200" s="409"/>
      <c r="F200" s="379">
        <f t="shared" si="33"/>
        <v>0</v>
      </c>
      <c r="G200" s="296"/>
      <c r="H200" s="296"/>
      <c r="I200" s="296"/>
      <c r="J200" s="296"/>
      <c r="K200" s="296"/>
      <c r="L200" s="297">
        <f t="shared" si="34"/>
        <v>0</v>
      </c>
      <c r="M200" s="298"/>
      <c r="N200" s="298"/>
      <c r="O200" s="315"/>
      <c r="P200" s="300"/>
    </row>
    <row r="201" spans="1:16" s="301" customFormat="1" x14ac:dyDescent="0.2">
      <c r="A201" s="350">
        <v>5162</v>
      </c>
      <c r="B201" s="353" t="s">
        <v>443</v>
      </c>
      <c r="C201" s="396" t="s">
        <v>533</v>
      </c>
      <c r="D201" s="355">
        <v>1</v>
      </c>
      <c r="E201" s="409">
        <v>1300</v>
      </c>
      <c r="F201" s="379">
        <f>E201*D201</f>
        <v>1300</v>
      </c>
      <c r="G201" s="296">
        <v>1</v>
      </c>
      <c r="H201" s="357">
        <v>1</v>
      </c>
      <c r="I201" s="296"/>
      <c r="J201" s="296"/>
      <c r="K201" s="296"/>
      <c r="L201" s="297">
        <f>E201*(H201+I201+J201+K201)</f>
        <v>1300</v>
      </c>
      <c r="M201" s="298">
        <v>43525</v>
      </c>
      <c r="N201" s="298">
        <v>43525</v>
      </c>
      <c r="O201" s="391"/>
      <c r="P201" s="300"/>
    </row>
    <row r="202" spans="1:16" s="301" customFormat="1" x14ac:dyDescent="0.2">
      <c r="A202" s="350"/>
      <c r="B202" s="353"/>
      <c r="C202" s="396"/>
      <c r="D202" s="355"/>
      <c r="E202" s="409"/>
      <c r="F202" s="379">
        <f t="shared" si="33"/>
        <v>0</v>
      </c>
      <c r="G202" s="296"/>
      <c r="H202" s="296"/>
      <c r="I202" s="296"/>
      <c r="J202" s="296"/>
      <c r="K202" s="296"/>
      <c r="L202" s="297">
        <f t="shared" si="34"/>
        <v>0</v>
      </c>
      <c r="M202" s="298"/>
      <c r="N202" s="298"/>
      <c r="O202" s="315"/>
      <c r="P202" s="300"/>
    </row>
    <row r="203" spans="1:16" s="301" customFormat="1" x14ac:dyDescent="0.2">
      <c r="A203" s="350">
        <v>5078</v>
      </c>
      <c r="B203" s="353" t="s">
        <v>537</v>
      </c>
      <c r="C203" s="396" t="s">
        <v>538</v>
      </c>
      <c r="D203" s="355">
        <v>2</v>
      </c>
      <c r="E203" s="409">
        <v>3050</v>
      </c>
      <c r="F203" s="379">
        <f>E203*D203</f>
        <v>6100</v>
      </c>
      <c r="G203" s="296">
        <v>2</v>
      </c>
      <c r="H203" s="296"/>
      <c r="I203" s="296"/>
      <c r="J203" s="296"/>
      <c r="K203" s="357">
        <v>2</v>
      </c>
      <c r="L203" s="297">
        <f>E203*(H203+I203+J203+K203)</f>
        <v>6100</v>
      </c>
      <c r="M203" s="298">
        <v>43530</v>
      </c>
      <c r="N203" s="298">
        <v>43542</v>
      </c>
      <c r="O203" s="438" t="s">
        <v>539</v>
      </c>
      <c r="P203" s="300"/>
    </row>
    <row r="204" spans="1:16" s="301" customFormat="1" x14ac:dyDescent="0.2">
      <c r="A204" s="350">
        <v>4956</v>
      </c>
      <c r="B204" s="353" t="s">
        <v>593</v>
      </c>
      <c r="C204" s="396" t="s">
        <v>594</v>
      </c>
      <c r="D204" s="355">
        <v>2</v>
      </c>
      <c r="E204" s="409">
        <v>13650</v>
      </c>
      <c r="F204" s="379"/>
      <c r="G204" s="296"/>
      <c r="H204" s="296"/>
      <c r="I204" s="296"/>
      <c r="J204" s="296"/>
      <c r="K204" s="296"/>
      <c r="L204" s="297"/>
      <c r="M204" s="298">
        <v>43542</v>
      </c>
      <c r="N204" s="298">
        <v>43565</v>
      </c>
      <c r="O204" s="438"/>
      <c r="P204" s="300"/>
    </row>
    <row r="205" spans="1:16" s="301" customFormat="1" x14ac:dyDescent="0.2">
      <c r="A205" s="350">
        <v>4957</v>
      </c>
      <c r="B205" s="353" t="s">
        <v>593</v>
      </c>
      <c r="C205" s="396" t="s">
        <v>595</v>
      </c>
      <c r="D205" s="355">
        <v>2</v>
      </c>
      <c r="E205" s="409">
        <v>13300</v>
      </c>
      <c r="F205" s="379"/>
      <c r="G205" s="296"/>
      <c r="H205" s="296"/>
      <c r="I205" s="296"/>
      <c r="J205" s="296"/>
      <c r="K205" s="296"/>
      <c r="L205" s="297">
        <f>E205*(H205+I205+J205+K205)</f>
        <v>0</v>
      </c>
      <c r="M205" s="298">
        <v>43542</v>
      </c>
      <c r="N205" s="298">
        <v>43565</v>
      </c>
      <c r="O205" s="442"/>
      <c r="P205" s="300"/>
    </row>
    <row r="206" spans="1:16" s="301" customFormat="1" x14ac:dyDescent="0.2">
      <c r="A206" s="388"/>
      <c r="B206" s="383"/>
      <c r="C206" s="396"/>
      <c r="D206" s="389"/>
      <c r="E206" s="441"/>
      <c r="F206" s="379"/>
      <c r="G206" s="296"/>
      <c r="H206" s="296"/>
      <c r="I206" s="296"/>
      <c r="J206" s="296"/>
      <c r="K206" s="296"/>
      <c r="L206" s="297"/>
      <c r="M206" s="298"/>
      <c r="N206" s="298"/>
      <c r="O206" s="442"/>
      <c r="P206" s="300"/>
    </row>
    <row r="207" spans="1:16" s="301" customFormat="1" x14ac:dyDescent="0.2">
      <c r="A207" s="350">
        <v>5179</v>
      </c>
      <c r="B207" s="447" t="s">
        <v>620</v>
      </c>
      <c r="C207" s="396" t="s">
        <v>540</v>
      </c>
      <c r="D207" s="355">
        <v>1</v>
      </c>
      <c r="E207" s="409"/>
      <c r="F207" s="379">
        <f>E207*D207</f>
        <v>0</v>
      </c>
      <c r="G207" s="296">
        <v>1</v>
      </c>
      <c r="H207" s="296"/>
      <c r="I207" s="296"/>
      <c r="J207" s="296"/>
      <c r="K207" s="296"/>
      <c r="L207" s="297">
        <f t="shared" ref="L207" si="35">E207*(H207+I207+J207+K207)</f>
        <v>0</v>
      </c>
      <c r="M207" s="298"/>
      <c r="N207" s="298"/>
      <c r="O207" s="315"/>
      <c r="P207" s="300"/>
    </row>
    <row r="208" spans="1:16" s="301" customFormat="1" x14ac:dyDescent="0.2">
      <c r="A208" s="350"/>
      <c r="B208" s="353"/>
      <c r="C208" s="396"/>
      <c r="D208" s="355"/>
      <c r="E208" s="409"/>
      <c r="F208" s="379">
        <f t="shared" si="33"/>
        <v>0</v>
      </c>
      <c r="G208" s="296"/>
      <c r="H208" s="296"/>
      <c r="I208" s="296"/>
      <c r="J208" s="296"/>
      <c r="K208" s="296"/>
      <c r="L208" s="297">
        <f t="shared" ref="L208:L242" si="36">E208*(H208+I208+J208+K208)</f>
        <v>0</v>
      </c>
      <c r="M208" s="298"/>
      <c r="N208" s="298"/>
      <c r="O208" s="315"/>
      <c r="P208" s="300"/>
    </row>
    <row r="209" spans="1:16" s="301" customFormat="1" x14ac:dyDescent="0.2">
      <c r="A209" s="350">
        <v>5167</v>
      </c>
      <c r="B209" s="353" t="s">
        <v>551</v>
      </c>
      <c r="C209" s="396" t="s">
        <v>249</v>
      </c>
      <c r="D209" s="355">
        <v>1</v>
      </c>
      <c r="E209" s="409">
        <v>2000</v>
      </c>
      <c r="F209" s="379">
        <f>E209*D209</f>
        <v>2000</v>
      </c>
      <c r="G209" s="296">
        <v>1</v>
      </c>
      <c r="H209" s="296"/>
      <c r="I209" s="352">
        <v>1</v>
      </c>
      <c r="J209" s="296"/>
      <c r="K209" s="296"/>
      <c r="L209" s="297">
        <f t="shared" si="36"/>
        <v>2000</v>
      </c>
      <c r="M209" s="298">
        <v>43529</v>
      </c>
      <c r="N209" s="298">
        <v>43536</v>
      </c>
      <c r="O209" s="315"/>
      <c r="P209" s="300"/>
    </row>
    <row r="210" spans="1:16" s="301" customFormat="1" x14ac:dyDescent="0.2">
      <c r="A210" s="350"/>
      <c r="B210" s="353"/>
      <c r="C210" s="396"/>
      <c r="D210" s="355"/>
      <c r="E210" s="409"/>
      <c r="F210" s="379">
        <f t="shared" si="33"/>
        <v>0</v>
      </c>
      <c r="G210" s="296"/>
      <c r="H210" s="296"/>
      <c r="I210" s="296"/>
      <c r="J210" s="296"/>
      <c r="K210" s="296"/>
      <c r="L210" s="297">
        <f t="shared" si="36"/>
        <v>0</v>
      </c>
      <c r="M210" s="298"/>
      <c r="N210" s="298"/>
      <c r="O210" s="315"/>
      <c r="P210" s="300"/>
    </row>
    <row r="211" spans="1:16" s="301" customFormat="1" x14ac:dyDescent="0.2">
      <c r="A211" s="350">
        <v>5161</v>
      </c>
      <c r="B211" s="353" t="s">
        <v>555</v>
      </c>
      <c r="C211" s="396" t="s">
        <v>556</v>
      </c>
      <c r="D211" s="355">
        <v>1</v>
      </c>
      <c r="E211" s="409">
        <v>22500</v>
      </c>
      <c r="F211" s="379">
        <f t="shared" si="33"/>
        <v>22500</v>
      </c>
      <c r="G211" s="296">
        <v>1</v>
      </c>
      <c r="H211" s="296"/>
      <c r="I211" s="357">
        <v>1</v>
      </c>
      <c r="J211" s="296"/>
      <c r="K211" s="296"/>
      <c r="L211" s="297">
        <f t="shared" si="36"/>
        <v>22500</v>
      </c>
      <c r="M211" s="298">
        <v>43536</v>
      </c>
      <c r="N211" s="298">
        <v>43546</v>
      </c>
      <c r="O211" s="315"/>
      <c r="P211" s="300"/>
    </row>
    <row r="212" spans="1:16" s="301" customFormat="1" x14ac:dyDescent="0.2">
      <c r="A212" s="350"/>
      <c r="B212" s="353"/>
      <c r="C212" s="396"/>
      <c r="D212" s="355"/>
      <c r="E212" s="409"/>
      <c r="F212" s="379">
        <f t="shared" si="33"/>
        <v>0</v>
      </c>
      <c r="G212" s="296"/>
      <c r="H212" s="296"/>
      <c r="I212" s="296"/>
      <c r="J212" s="296"/>
      <c r="K212" s="296"/>
      <c r="L212" s="297">
        <f t="shared" si="36"/>
        <v>0</v>
      </c>
      <c r="M212" s="298"/>
      <c r="N212" s="298"/>
      <c r="O212" s="315"/>
      <c r="P212" s="300"/>
    </row>
    <row r="213" spans="1:16" s="301" customFormat="1" x14ac:dyDescent="0.2">
      <c r="A213" s="350">
        <v>5115</v>
      </c>
      <c r="B213" s="353" t="s">
        <v>582</v>
      </c>
      <c r="C213" s="396" t="s">
        <v>583</v>
      </c>
      <c r="D213" s="355">
        <v>1</v>
      </c>
      <c r="E213" s="409">
        <v>2590</v>
      </c>
      <c r="F213" s="379"/>
      <c r="G213" s="296"/>
      <c r="H213" s="296"/>
      <c r="I213" s="296"/>
      <c r="J213" s="296"/>
      <c r="K213" s="296"/>
      <c r="L213" s="297">
        <f t="shared" si="36"/>
        <v>0</v>
      </c>
      <c r="M213" s="298">
        <v>43542</v>
      </c>
      <c r="N213" s="298">
        <v>43563</v>
      </c>
      <c r="O213" s="315"/>
      <c r="P213" s="300"/>
    </row>
    <row r="214" spans="1:16" s="301" customFormat="1" x14ac:dyDescent="0.2">
      <c r="A214" s="350">
        <v>5116</v>
      </c>
      <c r="B214" s="353" t="s">
        <v>582</v>
      </c>
      <c r="C214" s="396" t="s">
        <v>584</v>
      </c>
      <c r="D214" s="355">
        <v>1</v>
      </c>
      <c r="E214" s="409">
        <v>2500</v>
      </c>
      <c r="F214" s="379"/>
      <c r="G214" s="296"/>
      <c r="H214" s="296"/>
      <c r="I214" s="296"/>
      <c r="J214" s="296"/>
      <c r="K214" s="296"/>
      <c r="L214" s="297">
        <f t="shared" si="36"/>
        <v>0</v>
      </c>
      <c r="M214" s="298">
        <v>43542</v>
      </c>
      <c r="N214" s="298">
        <v>43563</v>
      </c>
      <c r="O214" s="315"/>
      <c r="P214" s="300"/>
    </row>
    <row r="215" spans="1:16" s="301" customFormat="1" x14ac:dyDescent="0.2">
      <c r="A215" s="350">
        <v>5117</v>
      </c>
      <c r="B215" s="353" t="s">
        <v>582</v>
      </c>
      <c r="C215" s="396" t="s">
        <v>585</v>
      </c>
      <c r="D215" s="355">
        <v>1</v>
      </c>
      <c r="E215" s="409">
        <v>3050</v>
      </c>
      <c r="F215" s="379"/>
      <c r="G215" s="296"/>
      <c r="H215" s="296"/>
      <c r="I215" s="296"/>
      <c r="J215" s="296"/>
      <c r="K215" s="296"/>
      <c r="L215" s="297">
        <f t="shared" si="36"/>
        <v>0</v>
      </c>
      <c r="M215" s="298">
        <v>43542</v>
      </c>
      <c r="N215" s="298">
        <v>43563</v>
      </c>
      <c r="O215" s="315"/>
      <c r="P215" s="300"/>
    </row>
    <row r="216" spans="1:16" s="301" customFormat="1" x14ac:dyDescent="0.2">
      <c r="A216" s="350">
        <v>5118</v>
      </c>
      <c r="B216" s="353" t="s">
        <v>582</v>
      </c>
      <c r="C216" s="396" t="s">
        <v>586</v>
      </c>
      <c r="D216" s="355">
        <v>1</v>
      </c>
      <c r="E216" s="409">
        <v>2900</v>
      </c>
      <c r="F216" s="379"/>
      <c r="G216" s="296"/>
      <c r="H216" s="296"/>
      <c r="I216" s="296"/>
      <c r="J216" s="296"/>
      <c r="K216" s="296"/>
      <c r="L216" s="297">
        <f t="shared" si="36"/>
        <v>0</v>
      </c>
      <c r="M216" s="298">
        <v>43542</v>
      </c>
      <c r="N216" s="298">
        <v>43563</v>
      </c>
      <c r="O216" s="315"/>
      <c r="P216" s="300"/>
    </row>
    <row r="217" spans="1:16" s="301" customFormat="1" x14ac:dyDescent="0.2">
      <c r="A217" s="350">
        <v>5119</v>
      </c>
      <c r="B217" s="353" t="s">
        <v>582</v>
      </c>
      <c r="C217" s="396" t="s">
        <v>587</v>
      </c>
      <c r="D217" s="355">
        <v>1</v>
      </c>
      <c r="E217" s="409">
        <v>1850</v>
      </c>
      <c r="F217" s="379"/>
      <c r="G217" s="296"/>
      <c r="H217" s="296"/>
      <c r="I217" s="296"/>
      <c r="J217" s="296"/>
      <c r="K217" s="296"/>
      <c r="L217" s="297">
        <f t="shared" si="36"/>
        <v>0</v>
      </c>
      <c r="M217" s="298">
        <v>43542</v>
      </c>
      <c r="N217" s="298">
        <v>43563</v>
      </c>
      <c r="O217" s="315"/>
      <c r="P217" s="300"/>
    </row>
    <row r="218" spans="1:16" s="301" customFormat="1" x14ac:dyDescent="0.2">
      <c r="A218" s="350">
        <v>5120</v>
      </c>
      <c r="B218" s="353" t="s">
        <v>582</v>
      </c>
      <c r="C218" s="396" t="s">
        <v>588</v>
      </c>
      <c r="D218" s="355">
        <v>1</v>
      </c>
      <c r="E218" s="409">
        <v>1920</v>
      </c>
      <c r="F218" s="379"/>
      <c r="G218" s="296"/>
      <c r="H218" s="296"/>
      <c r="I218" s="296"/>
      <c r="J218" s="296"/>
      <c r="K218" s="296"/>
      <c r="L218" s="297">
        <f t="shared" si="36"/>
        <v>0</v>
      </c>
      <c r="M218" s="298">
        <v>43542</v>
      </c>
      <c r="N218" s="298">
        <v>43563</v>
      </c>
      <c r="O218" s="315"/>
      <c r="P218" s="300"/>
    </row>
    <row r="219" spans="1:16" s="301" customFormat="1" x14ac:dyDescent="0.2">
      <c r="A219" s="350">
        <v>5121</v>
      </c>
      <c r="B219" s="353" t="s">
        <v>582</v>
      </c>
      <c r="C219" s="396" t="s">
        <v>589</v>
      </c>
      <c r="D219" s="355">
        <v>1</v>
      </c>
      <c r="E219" s="409">
        <v>1950</v>
      </c>
      <c r="F219" s="379"/>
      <c r="G219" s="296"/>
      <c r="H219" s="296"/>
      <c r="I219" s="296"/>
      <c r="J219" s="296"/>
      <c r="K219" s="296"/>
      <c r="L219" s="297">
        <f t="shared" si="36"/>
        <v>0</v>
      </c>
      <c r="M219" s="298">
        <v>43542</v>
      </c>
      <c r="N219" s="298">
        <v>43563</v>
      </c>
      <c r="O219" s="315"/>
      <c r="P219" s="300"/>
    </row>
    <row r="220" spans="1:16" s="301" customFormat="1" x14ac:dyDescent="0.2">
      <c r="A220" s="350">
        <v>5122</v>
      </c>
      <c r="B220" s="353" t="s">
        <v>582</v>
      </c>
      <c r="C220" s="396" t="s">
        <v>590</v>
      </c>
      <c r="D220" s="355">
        <v>1</v>
      </c>
      <c r="E220" s="409">
        <v>1980</v>
      </c>
      <c r="F220" s="379"/>
      <c r="G220" s="296"/>
      <c r="H220" s="296"/>
      <c r="I220" s="296"/>
      <c r="J220" s="296"/>
      <c r="K220" s="296"/>
      <c r="L220" s="297">
        <f t="shared" si="36"/>
        <v>0</v>
      </c>
      <c r="M220" s="298">
        <v>43542</v>
      </c>
      <c r="N220" s="298">
        <v>43563</v>
      </c>
      <c r="O220" s="315"/>
      <c r="P220" s="300"/>
    </row>
    <row r="221" spans="1:16" s="301" customFormat="1" x14ac:dyDescent="0.2">
      <c r="A221" s="350">
        <v>5123</v>
      </c>
      <c r="B221" s="353" t="s">
        <v>582</v>
      </c>
      <c r="C221" s="396" t="s">
        <v>591</v>
      </c>
      <c r="D221" s="355">
        <v>1</v>
      </c>
      <c r="E221" s="409">
        <v>2850</v>
      </c>
      <c r="F221" s="379"/>
      <c r="G221" s="296"/>
      <c r="H221" s="296"/>
      <c r="I221" s="296"/>
      <c r="J221" s="296"/>
      <c r="K221" s="296"/>
      <c r="L221" s="297">
        <f t="shared" si="36"/>
        <v>0</v>
      </c>
      <c r="M221" s="298">
        <v>43542</v>
      </c>
      <c r="N221" s="298">
        <v>43563</v>
      </c>
      <c r="O221" s="315"/>
      <c r="P221" s="300"/>
    </row>
    <row r="222" spans="1:16" s="301" customFormat="1" x14ac:dyDescent="0.2">
      <c r="A222" s="350">
        <v>5124</v>
      </c>
      <c r="B222" s="353" t="s">
        <v>582</v>
      </c>
      <c r="C222" s="396" t="s">
        <v>592</v>
      </c>
      <c r="D222" s="355">
        <v>1</v>
      </c>
      <c r="E222" s="409">
        <v>2650</v>
      </c>
      <c r="F222" s="379"/>
      <c r="G222" s="296"/>
      <c r="H222" s="296"/>
      <c r="I222" s="296"/>
      <c r="J222" s="296"/>
      <c r="K222" s="296"/>
      <c r="L222" s="297">
        <f t="shared" si="36"/>
        <v>0</v>
      </c>
      <c r="M222" s="298">
        <v>43542</v>
      </c>
      <c r="N222" s="298">
        <v>43563</v>
      </c>
      <c r="O222" s="315"/>
      <c r="P222" s="300"/>
    </row>
    <row r="223" spans="1:16" s="301" customFormat="1" x14ac:dyDescent="0.2">
      <c r="A223" s="350"/>
      <c r="B223" s="353"/>
      <c r="C223" s="396"/>
      <c r="D223" s="355"/>
      <c r="E223" s="409"/>
      <c r="F223" s="379">
        <f t="shared" ref="F223:F242" si="37">E223*D223</f>
        <v>0</v>
      </c>
      <c r="G223" s="296"/>
      <c r="H223" s="296"/>
      <c r="I223" s="296"/>
      <c r="J223" s="296"/>
      <c r="K223" s="296"/>
      <c r="L223" s="297">
        <f t="shared" si="36"/>
        <v>0</v>
      </c>
      <c r="M223" s="298"/>
      <c r="N223" s="298"/>
      <c r="O223" s="315"/>
      <c r="P223" s="300"/>
    </row>
    <row r="224" spans="1:16" s="301" customFormat="1" x14ac:dyDescent="0.2">
      <c r="A224" s="290">
        <v>5236</v>
      </c>
      <c r="B224" s="353" t="s">
        <v>452</v>
      </c>
      <c r="C224" s="396" t="s">
        <v>597</v>
      </c>
      <c r="D224" s="422">
        <v>1</v>
      </c>
      <c r="E224" s="409">
        <v>4000</v>
      </c>
      <c r="F224" s="379">
        <f t="shared" si="37"/>
        <v>4000</v>
      </c>
      <c r="G224" s="296">
        <v>1</v>
      </c>
      <c r="H224" s="296"/>
      <c r="I224" s="296"/>
      <c r="J224" s="352">
        <v>1</v>
      </c>
      <c r="K224" s="296"/>
      <c r="L224" s="297">
        <f t="shared" si="36"/>
        <v>4000</v>
      </c>
      <c r="M224" s="298"/>
      <c r="N224" s="298"/>
      <c r="O224" s="315"/>
      <c r="P224" s="300"/>
    </row>
    <row r="225" spans="1:16" s="301" customFormat="1" x14ac:dyDescent="0.2">
      <c r="A225" s="350"/>
      <c r="B225" s="353"/>
      <c r="C225" s="396"/>
      <c r="D225" s="355"/>
      <c r="E225" s="409"/>
      <c r="F225" s="379">
        <f t="shared" si="37"/>
        <v>0</v>
      </c>
      <c r="G225" s="296"/>
      <c r="H225" s="296"/>
      <c r="I225" s="296"/>
      <c r="J225" s="296"/>
      <c r="K225" s="296"/>
      <c r="L225" s="297">
        <f t="shared" si="36"/>
        <v>0</v>
      </c>
      <c r="M225" s="298"/>
      <c r="N225" s="298"/>
      <c r="O225" s="315"/>
      <c r="P225" s="300"/>
    </row>
    <row r="226" spans="1:16" s="301" customFormat="1" x14ac:dyDescent="0.2">
      <c r="A226" s="350" t="s">
        <v>598</v>
      </c>
      <c r="B226" s="353" t="s">
        <v>248</v>
      </c>
      <c r="C226" s="396" t="s">
        <v>367</v>
      </c>
      <c r="D226" s="355">
        <v>1</v>
      </c>
      <c r="E226" s="409">
        <v>650</v>
      </c>
      <c r="F226" s="379">
        <f>E226*D226</f>
        <v>650</v>
      </c>
      <c r="G226" s="296">
        <v>1</v>
      </c>
      <c r="H226" s="296"/>
      <c r="I226" s="296"/>
      <c r="J226" s="352">
        <v>1</v>
      </c>
      <c r="K226" s="296"/>
      <c r="L226" s="297">
        <f t="shared" si="36"/>
        <v>650</v>
      </c>
      <c r="M226" s="298"/>
      <c r="N226" s="298"/>
      <c r="O226" s="315"/>
      <c r="P226" s="300"/>
    </row>
    <row r="227" spans="1:16" s="301" customFormat="1" x14ac:dyDescent="0.2">
      <c r="A227" s="350"/>
      <c r="B227" s="353"/>
      <c r="C227" s="396"/>
      <c r="D227" s="355"/>
      <c r="E227" s="409"/>
      <c r="F227" s="379">
        <f t="shared" si="37"/>
        <v>0</v>
      </c>
      <c r="G227" s="296"/>
      <c r="H227" s="296"/>
      <c r="I227" s="296"/>
      <c r="J227" s="296"/>
      <c r="K227" s="296"/>
      <c r="L227" s="297">
        <f t="shared" si="36"/>
        <v>0</v>
      </c>
      <c r="M227" s="298"/>
      <c r="N227" s="298"/>
      <c r="O227" s="315"/>
      <c r="P227" s="300"/>
    </row>
    <row r="228" spans="1:16" s="301" customFormat="1" x14ac:dyDescent="0.2">
      <c r="A228" s="319">
        <v>5038</v>
      </c>
      <c r="B228" s="353" t="s">
        <v>599</v>
      </c>
      <c r="C228" s="396" t="s">
        <v>600</v>
      </c>
      <c r="D228" s="423">
        <v>6800</v>
      </c>
      <c r="E228" s="409">
        <v>15.5</v>
      </c>
      <c r="F228" s="379">
        <f t="shared" ref="F228:F235" si="38">E228*D228</f>
        <v>105400</v>
      </c>
      <c r="G228" s="296">
        <v>6800</v>
      </c>
      <c r="H228" s="296"/>
      <c r="I228" s="296"/>
      <c r="J228" s="296">
        <v>4000</v>
      </c>
      <c r="K228" s="296"/>
      <c r="L228" s="297">
        <f t="shared" si="36"/>
        <v>62000</v>
      </c>
      <c r="M228" s="298"/>
      <c r="N228" s="298"/>
      <c r="O228" s="315"/>
      <c r="P228" s="300"/>
    </row>
    <row r="229" spans="1:16" s="301" customFormat="1" x14ac:dyDescent="0.2">
      <c r="A229" s="350"/>
      <c r="B229" s="353"/>
      <c r="C229" s="396"/>
      <c r="D229" s="423"/>
      <c r="E229" s="409"/>
      <c r="F229" s="379">
        <f t="shared" si="38"/>
        <v>0</v>
      </c>
      <c r="G229" s="296"/>
      <c r="H229" s="296"/>
      <c r="I229" s="296"/>
      <c r="J229" s="296"/>
      <c r="K229" s="296"/>
      <c r="L229" s="297">
        <f t="shared" si="36"/>
        <v>0</v>
      </c>
      <c r="M229" s="298"/>
      <c r="N229" s="298"/>
      <c r="O229" s="315"/>
      <c r="P229" s="300"/>
    </row>
    <row r="230" spans="1:16" s="301" customFormat="1" x14ac:dyDescent="0.2">
      <c r="A230" s="319">
        <v>5209</v>
      </c>
      <c r="B230" s="353" t="s">
        <v>605</v>
      </c>
      <c r="C230" s="396" t="s">
        <v>606</v>
      </c>
      <c r="D230" s="355">
        <v>1</v>
      </c>
      <c r="E230" s="409">
        <v>4950</v>
      </c>
      <c r="F230" s="379">
        <f>E230*D230</f>
        <v>4950</v>
      </c>
      <c r="G230" s="296">
        <v>1</v>
      </c>
      <c r="H230" s="296"/>
      <c r="I230" s="296"/>
      <c r="J230" s="296"/>
      <c r="K230" s="357">
        <v>1</v>
      </c>
      <c r="L230" s="297">
        <f>E230*(H230+I230+J230+K230)</f>
        <v>4950</v>
      </c>
      <c r="M230" s="298"/>
      <c r="N230" s="298"/>
      <c r="O230" s="315"/>
      <c r="P230" s="300"/>
    </row>
    <row r="231" spans="1:16" s="301" customFormat="1" x14ac:dyDescent="0.2">
      <c r="A231" s="319">
        <v>5210</v>
      </c>
      <c r="B231" s="353" t="s">
        <v>605</v>
      </c>
      <c r="C231" s="396" t="s">
        <v>607</v>
      </c>
      <c r="D231" s="355">
        <v>1</v>
      </c>
      <c r="E231" s="409">
        <v>6300</v>
      </c>
      <c r="F231" s="379">
        <f>E231*D231</f>
        <v>6300</v>
      </c>
      <c r="G231" s="296">
        <v>1</v>
      </c>
      <c r="H231" s="296"/>
      <c r="I231" s="296"/>
      <c r="J231" s="296"/>
      <c r="K231" s="357">
        <v>1</v>
      </c>
      <c r="L231" s="297">
        <f>E231*(H231+I231+J231+K231)</f>
        <v>6300</v>
      </c>
      <c r="M231" s="298"/>
      <c r="N231" s="298"/>
      <c r="O231" s="315"/>
      <c r="P231" s="300"/>
    </row>
    <row r="232" spans="1:16" s="301" customFormat="1" x14ac:dyDescent="0.2">
      <c r="A232" s="350"/>
      <c r="B232" s="353"/>
      <c r="C232" s="396"/>
      <c r="D232" s="423"/>
      <c r="E232" s="409"/>
      <c r="F232" s="379">
        <f t="shared" si="38"/>
        <v>0</v>
      </c>
      <c r="G232" s="296"/>
      <c r="H232" s="296"/>
      <c r="I232" s="296"/>
      <c r="J232" s="296"/>
      <c r="K232" s="296"/>
      <c r="L232" s="297">
        <f t="shared" si="36"/>
        <v>0</v>
      </c>
      <c r="M232" s="298"/>
      <c r="N232" s="298"/>
      <c r="O232" s="315"/>
      <c r="P232" s="300"/>
    </row>
    <row r="233" spans="1:16" s="301" customFormat="1" x14ac:dyDescent="0.2">
      <c r="A233" s="319">
        <v>5262</v>
      </c>
      <c r="B233" s="353" t="s">
        <v>621</v>
      </c>
      <c r="C233" s="396" t="s">
        <v>622</v>
      </c>
      <c r="D233" s="355">
        <v>1</v>
      </c>
      <c r="E233" s="409">
        <v>11577</v>
      </c>
      <c r="F233" s="379"/>
      <c r="G233" s="296">
        <v>1</v>
      </c>
      <c r="H233" s="296"/>
      <c r="I233" s="296"/>
      <c r="J233" s="296"/>
      <c r="K233" s="296"/>
      <c r="L233" s="297">
        <f>E233*(H233+I233+J233+K233)</f>
        <v>0</v>
      </c>
      <c r="M233" s="298">
        <v>43552</v>
      </c>
      <c r="N233" s="298">
        <v>43560</v>
      </c>
      <c r="O233" s="315"/>
      <c r="P233" s="300"/>
    </row>
    <row r="234" spans="1:16" s="301" customFormat="1" x14ac:dyDescent="0.2">
      <c r="A234" s="350"/>
      <c r="B234" s="353"/>
      <c r="C234" s="396"/>
      <c r="D234" s="423"/>
      <c r="E234" s="409"/>
      <c r="F234" s="379">
        <f t="shared" si="38"/>
        <v>0</v>
      </c>
      <c r="G234" s="296"/>
      <c r="H234" s="296"/>
      <c r="I234" s="296"/>
      <c r="J234" s="296"/>
      <c r="K234" s="296"/>
      <c r="L234" s="297">
        <f t="shared" si="36"/>
        <v>0</v>
      </c>
      <c r="M234" s="298"/>
      <c r="N234" s="298"/>
      <c r="O234" s="315"/>
      <c r="P234" s="300"/>
    </row>
    <row r="235" spans="1:16" s="301" customFormat="1" x14ac:dyDescent="0.2">
      <c r="A235" s="350"/>
      <c r="B235" s="353"/>
      <c r="C235" s="396"/>
      <c r="D235" s="423"/>
      <c r="E235" s="409"/>
      <c r="F235" s="379">
        <f t="shared" si="38"/>
        <v>0</v>
      </c>
      <c r="G235" s="296"/>
      <c r="H235" s="296"/>
      <c r="I235" s="296"/>
      <c r="J235" s="296"/>
      <c r="K235" s="296"/>
      <c r="L235" s="297">
        <f t="shared" si="36"/>
        <v>0</v>
      </c>
      <c r="M235" s="298"/>
      <c r="N235" s="298"/>
      <c r="O235" s="315"/>
      <c r="P235" s="300"/>
    </row>
    <row r="236" spans="1:16" s="301" customFormat="1" x14ac:dyDescent="0.2">
      <c r="A236" s="350">
        <v>5271</v>
      </c>
      <c r="B236" s="353" t="s">
        <v>623</v>
      </c>
      <c r="C236" s="396" t="s">
        <v>624</v>
      </c>
      <c r="D236" s="355">
        <v>1</v>
      </c>
      <c r="E236" s="409">
        <v>1500</v>
      </c>
      <c r="F236" s="379"/>
      <c r="G236" s="296">
        <v>1</v>
      </c>
      <c r="H236" s="296"/>
      <c r="I236" s="296"/>
      <c r="J236" s="296"/>
      <c r="K236" s="296"/>
      <c r="L236" s="297">
        <f t="shared" ref="L236:L241" si="39">E236*(H236+I236+J236+K236)</f>
        <v>0</v>
      </c>
      <c r="M236" s="298">
        <v>43553</v>
      </c>
      <c r="N236" s="298">
        <v>43557</v>
      </c>
      <c r="O236" s="315"/>
      <c r="P236" s="300"/>
    </row>
    <row r="237" spans="1:16" s="301" customFormat="1" x14ac:dyDescent="0.2">
      <c r="A237" s="350">
        <v>5272</v>
      </c>
      <c r="B237" s="353" t="s">
        <v>623</v>
      </c>
      <c r="C237" s="396" t="s">
        <v>625</v>
      </c>
      <c r="D237" s="355">
        <v>1</v>
      </c>
      <c r="E237" s="409">
        <v>2050</v>
      </c>
      <c r="F237" s="379"/>
      <c r="G237" s="296">
        <v>1</v>
      </c>
      <c r="H237" s="296"/>
      <c r="I237" s="296"/>
      <c r="J237" s="296"/>
      <c r="K237" s="296"/>
      <c r="L237" s="297">
        <f t="shared" si="39"/>
        <v>0</v>
      </c>
      <c r="M237" s="298">
        <v>43553</v>
      </c>
      <c r="N237" s="298">
        <v>43557</v>
      </c>
      <c r="O237" s="315"/>
      <c r="P237" s="300"/>
    </row>
    <row r="238" spans="1:16" s="301" customFormat="1" x14ac:dyDescent="0.2">
      <c r="A238" s="350"/>
      <c r="B238" s="353"/>
      <c r="C238" s="396"/>
      <c r="D238" s="423"/>
      <c r="E238" s="409"/>
      <c r="F238" s="379">
        <f>E238*D238</f>
        <v>0</v>
      </c>
      <c r="G238" s="296"/>
      <c r="H238" s="296"/>
      <c r="I238" s="296"/>
      <c r="J238" s="296"/>
      <c r="K238" s="296"/>
      <c r="L238" s="297">
        <f t="shared" si="39"/>
        <v>0</v>
      </c>
      <c r="M238" s="298"/>
      <c r="N238" s="298"/>
      <c r="O238" s="315"/>
      <c r="P238" s="300"/>
    </row>
    <row r="239" spans="1:16" s="301" customFormat="1" x14ac:dyDescent="0.2">
      <c r="A239" s="350">
        <v>5274</v>
      </c>
      <c r="B239" s="353" t="s">
        <v>627</v>
      </c>
      <c r="C239" s="396" t="s">
        <v>628</v>
      </c>
      <c r="D239" s="355">
        <v>10</v>
      </c>
      <c r="E239" s="409">
        <v>266.5</v>
      </c>
      <c r="F239" s="379"/>
      <c r="G239" s="296"/>
      <c r="H239" s="296"/>
      <c r="I239" s="296"/>
      <c r="J239" s="296"/>
      <c r="K239" s="296"/>
      <c r="L239" s="297">
        <f t="shared" si="39"/>
        <v>0</v>
      </c>
      <c r="M239" s="298">
        <v>43553</v>
      </c>
      <c r="N239" s="298"/>
      <c r="O239" s="315"/>
      <c r="P239" s="300"/>
    </row>
    <row r="240" spans="1:16" s="301" customFormat="1" x14ac:dyDescent="0.2">
      <c r="A240" s="350"/>
      <c r="B240" s="353"/>
      <c r="C240" s="396"/>
      <c r="D240" s="423"/>
      <c r="E240" s="409"/>
      <c r="F240" s="379">
        <f>E240*D240</f>
        <v>0</v>
      </c>
      <c r="G240" s="296"/>
      <c r="H240" s="296"/>
      <c r="I240" s="296"/>
      <c r="J240" s="296"/>
      <c r="K240" s="296"/>
      <c r="L240" s="297">
        <f t="shared" si="39"/>
        <v>0</v>
      </c>
      <c r="M240" s="298"/>
      <c r="N240" s="298"/>
      <c r="O240" s="315"/>
      <c r="P240" s="300"/>
    </row>
    <row r="241" spans="1:18" s="301" customFormat="1" x14ac:dyDescent="0.2">
      <c r="A241" s="350"/>
      <c r="B241" s="353"/>
      <c r="C241" s="396"/>
      <c r="D241" s="355"/>
      <c r="E241" s="409"/>
      <c r="F241" s="379">
        <f>E241*D241</f>
        <v>0</v>
      </c>
      <c r="G241" s="296"/>
      <c r="H241" s="296"/>
      <c r="I241" s="296"/>
      <c r="J241" s="296"/>
      <c r="K241" s="296"/>
      <c r="L241" s="297">
        <f t="shared" si="39"/>
        <v>0</v>
      </c>
      <c r="M241" s="298"/>
      <c r="N241" s="298"/>
      <c r="O241" s="315"/>
      <c r="P241" s="300"/>
    </row>
    <row r="242" spans="1:18" s="301" customFormat="1" x14ac:dyDescent="0.2">
      <c r="A242" s="350"/>
      <c r="B242" s="353"/>
      <c r="C242" s="396"/>
      <c r="D242" s="355"/>
      <c r="E242" s="409"/>
      <c r="F242" s="379">
        <f t="shared" si="37"/>
        <v>0</v>
      </c>
      <c r="G242" s="296"/>
      <c r="H242" s="296"/>
      <c r="I242" s="296"/>
      <c r="J242" s="296"/>
      <c r="K242" s="296"/>
      <c r="L242" s="297">
        <f t="shared" si="36"/>
        <v>0</v>
      </c>
      <c r="M242" s="298"/>
      <c r="N242" s="298"/>
      <c r="O242" s="315"/>
      <c r="P242" s="300"/>
    </row>
    <row r="243" spans="1:18" s="301" customFormat="1" x14ac:dyDescent="0.2">
      <c r="A243" s="350"/>
      <c r="B243" s="353"/>
      <c r="C243" s="396"/>
      <c r="D243" s="355"/>
      <c r="E243" s="409"/>
      <c r="F243" s="379">
        <f t="shared" si="33"/>
        <v>0</v>
      </c>
      <c r="G243" s="296"/>
      <c r="H243" s="296"/>
      <c r="I243" s="296"/>
      <c r="J243" s="296"/>
      <c r="K243" s="296"/>
      <c r="L243" s="297">
        <f t="shared" si="34"/>
        <v>0</v>
      </c>
      <c r="M243" s="298"/>
      <c r="N243" s="298"/>
      <c r="O243" s="315"/>
      <c r="P243" s="300"/>
    </row>
    <row r="244" spans="1:18" s="301" customFormat="1" x14ac:dyDescent="0.2">
      <c r="A244" s="350"/>
      <c r="B244" s="353"/>
      <c r="C244" s="396" t="s">
        <v>31</v>
      </c>
      <c r="D244" s="355">
        <v>4</v>
      </c>
      <c r="E244" s="409">
        <v>1500</v>
      </c>
      <c r="F244" s="379">
        <f t="shared" si="33"/>
        <v>6000</v>
      </c>
      <c r="G244" s="296">
        <v>4</v>
      </c>
      <c r="H244" s="352">
        <v>4</v>
      </c>
      <c r="I244" s="296"/>
      <c r="J244" s="296"/>
      <c r="K244" s="296"/>
      <c r="L244" s="297">
        <f t="shared" si="34"/>
        <v>6000</v>
      </c>
      <c r="M244" s="298"/>
      <c r="N244" s="298"/>
      <c r="O244" s="315"/>
      <c r="P244" s="300"/>
    </row>
    <row r="245" spans="1:18" s="301" customFormat="1" x14ac:dyDescent="0.2">
      <c r="A245" s="350"/>
      <c r="B245" s="353"/>
      <c r="C245" s="396" t="s">
        <v>426</v>
      </c>
      <c r="D245" s="355"/>
      <c r="E245" s="409">
        <v>600</v>
      </c>
      <c r="F245" s="379">
        <f t="shared" si="31"/>
        <v>0</v>
      </c>
      <c r="G245" s="296"/>
      <c r="H245" s="296"/>
      <c r="I245" s="296"/>
      <c r="J245" s="296"/>
      <c r="K245" s="296"/>
      <c r="L245" s="297">
        <f t="shared" si="32"/>
        <v>0</v>
      </c>
      <c r="M245" s="298"/>
      <c r="N245" s="298"/>
      <c r="O245" s="315"/>
      <c r="P245" s="300"/>
    </row>
    <row r="246" spans="1:18" s="301" customFormat="1" ht="13.5" thickBot="1" x14ac:dyDescent="0.25">
      <c r="A246" s="332"/>
      <c r="B246" s="334"/>
      <c r="C246" s="406"/>
      <c r="D246" s="340"/>
      <c r="E246" s="418"/>
      <c r="F246" s="379">
        <f t="shared" si="31"/>
        <v>0</v>
      </c>
      <c r="G246" s="344"/>
      <c r="H246" s="296"/>
      <c r="I246" s="296"/>
      <c r="J246" s="296"/>
      <c r="K246" s="296"/>
      <c r="L246" s="297">
        <f t="shared" si="32"/>
        <v>0</v>
      </c>
      <c r="M246" s="298"/>
      <c r="N246" s="298"/>
      <c r="O246" s="315"/>
      <c r="P246" s="300"/>
    </row>
    <row r="247" spans="1:18" s="301" customFormat="1" ht="13.5" thickBot="1" x14ac:dyDescent="0.25">
      <c r="A247" s="333"/>
      <c r="B247" s="336"/>
      <c r="C247" s="407"/>
      <c r="D247" s="341"/>
      <c r="E247" s="419"/>
      <c r="F247" s="347">
        <f>SUM(F8:F246)</f>
        <v>5980154.2800000003</v>
      </c>
      <c r="G247" s="345"/>
      <c r="H247" s="345"/>
      <c r="I247" s="345"/>
      <c r="J247" s="345"/>
      <c r="K247" s="345"/>
      <c r="L247" s="346">
        <f>SUM(L8:L246)</f>
        <v>3629075.62</v>
      </c>
      <c r="M247" s="345"/>
      <c r="N247" s="345"/>
      <c r="O247" s="345"/>
      <c r="P247" s="300"/>
    </row>
    <row r="248" spans="1:18" s="301" customFormat="1" x14ac:dyDescent="0.2">
      <c r="A248" s="324"/>
      <c r="B248" s="335"/>
      <c r="C248" s="338"/>
      <c r="D248" s="325"/>
      <c r="E248" s="326"/>
      <c r="F248" s="327"/>
      <c r="G248" s="328"/>
      <c r="H248" s="328"/>
      <c r="I248" s="328"/>
      <c r="J248" s="328"/>
      <c r="K248" s="328"/>
      <c r="L248" s="329"/>
      <c r="M248" s="330"/>
      <c r="N248" s="330"/>
      <c r="O248" s="331"/>
      <c r="P248" s="300"/>
    </row>
    <row r="249" spans="1:18" s="282" customFormat="1" x14ac:dyDescent="0.2">
      <c r="A249" s="302"/>
      <c r="B249" s="306"/>
      <c r="C249" s="305" t="s">
        <v>250</v>
      </c>
      <c r="D249" s="303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4"/>
      <c r="R249" s="432"/>
    </row>
    <row r="250" spans="1:18" s="282" customFormat="1" x14ac:dyDescent="0.2">
      <c r="A250" s="302"/>
      <c r="B250" s="307"/>
      <c r="C250" s="305" t="s">
        <v>251</v>
      </c>
      <c r="D250" s="303"/>
      <c r="E250" s="15"/>
      <c r="F250" s="236" t="s">
        <v>24</v>
      </c>
      <c r="G250" s="302"/>
      <c r="H250" s="302"/>
      <c r="I250" s="302"/>
      <c r="J250" s="302"/>
      <c r="K250" s="302"/>
      <c r="L250" s="302"/>
      <c r="M250" s="302"/>
      <c r="N250" s="302"/>
      <c r="O250" s="304"/>
      <c r="R250" s="432"/>
    </row>
    <row r="251" spans="1:18" s="282" customFormat="1" x14ac:dyDescent="0.2">
      <c r="A251" s="302"/>
      <c r="B251" s="308"/>
      <c r="C251" s="305" t="s">
        <v>252</v>
      </c>
      <c r="D251" s="303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O251" s="304"/>
      <c r="R251" s="432"/>
    </row>
    <row r="252" spans="1:18" s="282" customFormat="1" x14ac:dyDescent="0.2">
      <c r="A252" s="302"/>
      <c r="B252" s="309"/>
      <c r="C252" s="305" t="s">
        <v>253</v>
      </c>
      <c r="D252" s="303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4"/>
      <c r="R252" s="432"/>
    </row>
    <row r="253" spans="1:18" s="282" customFormat="1" x14ac:dyDescent="0.2">
      <c r="A253" s="302"/>
      <c r="B253" s="310"/>
      <c r="C253" s="305" t="s">
        <v>254</v>
      </c>
      <c r="D253" s="303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4"/>
      <c r="R253" s="432"/>
    </row>
    <row r="254" spans="1:18" s="282" customFormat="1" x14ac:dyDescent="0.2">
      <c r="A254" s="302"/>
      <c r="B254" s="311"/>
      <c r="C254" s="305" t="s">
        <v>255</v>
      </c>
      <c r="D254" s="303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4"/>
      <c r="R254" s="432"/>
    </row>
    <row r="255" spans="1:18" s="282" customFormat="1" x14ac:dyDescent="0.2">
      <c r="A255" s="302"/>
      <c r="B255" s="377"/>
      <c r="C255" s="378" t="s">
        <v>256</v>
      </c>
      <c r="D255" s="303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O255" s="304"/>
      <c r="R255" s="432"/>
    </row>
    <row r="256" spans="1:18" s="282" customFormat="1" x14ac:dyDescent="0.2">
      <c r="A256" s="302"/>
      <c r="B256" s="374"/>
      <c r="C256" s="375" t="s">
        <v>364</v>
      </c>
      <c r="D256" s="303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4"/>
      <c r="R256" s="432"/>
    </row>
    <row r="257" spans="1:18" s="282" customFormat="1" x14ac:dyDescent="0.2">
      <c r="A257" s="302"/>
      <c r="B257" s="376"/>
      <c r="C257" s="375" t="s">
        <v>365</v>
      </c>
      <c r="D257" s="303"/>
      <c r="E257" s="302"/>
      <c r="F257" s="302"/>
      <c r="G257" s="302"/>
      <c r="H257" s="302"/>
      <c r="I257" s="302"/>
      <c r="J257" s="302"/>
      <c r="K257" s="302"/>
      <c r="L257" s="302"/>
      <c r="M257" s="302"/>
      <c r="N257" s="302"/>
      <c r="O257" s="304"/>
      <c r="R257" s="432"/>
    </row>
    <row r="258" spans="1:18" s="282" customFormat="1" x14ac:dyDescent="0.2">
      <c r="A258" s="302"/>
      <c r="B258" s="302"/>
      <c r="C258" s="302"/>
      <c r="D258" s="303"/>
      <c r="E258" s="302"/>
      <c r="F258" s="302"/>
      <c r="G258" s="302"/>
      <c r="H258" s="302"/>
      <c r="I258" s="302"/>
      <c r="J258" s="302"/>
      <c r="K258" s="302"/>
      <c r="L258" s="302"/>
      <c r="M258" s="302"/>
      <c r="N258" s="302"/>
      <c r="O258" s="304"/>
      <c r="R258" s="432"/>
    </row>
    <row r="259" spans="1:18" s="282" customFormat="1" x14ac:dyDescent="0.2">
      <c r="A259" s="302"/>
      <c r="B259" s="302"/>
      <c r="C259" s="302"/>
      <c r="D259" s="303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4"/>
      <c r="R259" s="432"/>
    </row>
    <row r="260" spans="1:18" s="282" customFormat="1" x14ac:dyDescent="0.2">
      <c r="A260" s="302"/>
      <c r="B260" s="302"/>
      <c r="C260" s="302"/>
      <c r="D260" s="303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4"/>
      <c r="R260" s="432"/>
    </row>
    <row r="261" spans="1:18" s="282" customFormat="1" x14ac:dyDescent="0.2">
      <c r="A261" s="302"/>
      <c r="B261" s="302"/>
      <c r="C261" s="302"/>
      <c r="D261" s="303"/>
      <c r="E261" s="302"/>
      <c r="F261" s="302"/>
      <c r="G261" s="302"/>
      <c r="H261" s="302"/>
      <c r="I261" s="302"/>
      <c r="J261" s="302"/>
      <c r="K261" s="302"/>
      <c r="L261" s="302"/>
      <c r="M261" s="302"/>
      <c r="N261" s="302"/>
      <c r="O261" s="304"/>
      <c r="R261" s="432"/>
    </row>
    <row r="262" spans="1:18" s="282" customFormat="1" x14ac:dyDescent="0.2">
      <c r="A262" s="302"/>
      <c r="B262" s="302"/>
      <c r="C262" s="302"/>
      <c r="D262" s="303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4"/>
      <c r="R262" s="432"/>
    </row>
    <row r="263" spans="1:18" s="282" customFormat="1" x14ac:dyDescent="0.2">
      <c r="A263" s="302"/>
      <c r="B263" s="302"/>
      <c r="C263" s="302"/>
      <c r="D263" s="303"/>
      <c r="E263" s="302"/>
      <c r="F263" s="302"/>
      <c r="G263" s="302"/>
      <c r="H263" s="302"/>
      <c r="I263" s="302"/>
      <c r="J263" s="302"/>
      <c r="K263" s="302"/>
      <c r="L263" s="302"/>
      <c r="M263" s="302"/>
      <c r="N263" s="302"/>
      <c r="O263" s="304"/>
      <c r="R263" s="432"/>
    </row>
    <row r="264" spans="1:18" s="282" customFormat="1" x14ac:dyDescent="0.2">
      <c r="A264" s="302"/>
      <c r="B264" s="302"/>
      <c r="C264" s="302"/>
      <c r="D264" s="303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O264" s="304"/>
      <c r="R264" s="432"/>
    </row>
    <row r="265" spans="1:18" s="282" customFormat="1" x14ac:dyDescent="0.2">
      <c r="A265" s="302"/>
      <c r="B265" s="302"/>
      <c r="C265" s="302"/>
      <c r="D265" s="303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4"/>
      <c r="R265" s="432"/>
    </row>
    <row r="266" spans="1:18" s="282" customFormat="1" x14ac:dyDescent="0.2">
      <c r="A266" s="302"/>
      <c r="B266" s="302"/>
      <c r="C266" s="302"/>
      <c r="D266" s="303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4"/>
      <c r="R266" s="432"/>
    </row>
    <row r="267" spans="1:18" s="282" customFormat="1" x14ac:dyDescent="0.2">
      <c r="A267" s="302"/>
      <c r="B267" s="302"/>
      <c r="C267" s="302"/>
      <c r="D267" s="303"/>
      <c r="E267" s="302"/>
      <c r="F267" s="302"/>
      <c r="G267" s="302"/>
      <c r="H267" s="302"/>
      <c r="I267" s="302"/>
      <c r="J267" s="302"/>
      <c r="K267" s="302"/>
      <c r="L267" s="302"/>
      <c r="M267" s="302"/>
      <c r="N267" s="302"/>
      <c r="O267" s="304"/>
      <c r="R267" s="432"/>
    </row>
    <row r="268" spans="1:18" s="282" customFormat="1" x14ac:dyDescent="0.2">
      <c r="A268" s="302"/>
      <c r="B268" s="302"/>
      <c r="C268" s="302"/>
      <c r="D268" s="303"/>
      <c r="E268" s="302"/>
      <c r="F268" s="302"/>
      <c r="G268" s="302"/>
      <c r="H268" s="302"/>
      <c r="I268" s="302"/>
      <c r="J268" s="302"/>
      <c r="K268" s="302"/>
      <c r="L268" s="302"/>
      <c r="M268" s="302"/>
      <c r="N268" s="302"/>
      <c r="O268" s="304"/>
      <c r="R268" s="432"/>
    </row>
    <row r="269" spans="1:18" s="282" customFormat="1" x14ac:dyDescent="0.2">
      <c r="A269" s="302"/>
      <c r="B269" s="302"/>
      <c r="C269" s="302"/>
      <c r="D269" s="303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R269" s="432"/>
    </row>
    <row r="270" spans="1:18" s="282" customFormat="1" x14ac:dyDescent="0.2">
      <c r="A270" s="302"/>
      <c r="B270" s="302"/>
      <c r="C270" s="302"/>
      <c r="D270" s="303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R270" s="432"/>
    </row>
    <row r="271" spans="1:18" s="282" customFormat="1" x14ac:dyDescent="0.2">
      <c r="A271" s="302"/>
      <c r="B271" s="302"/>
      <c r="C271" s="302"/>
      <c r="D271" s="303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R271" s="432"/>
    </row>
    <row r="272" spans="1:18" s="282" customFormat="1" x14ac:dyDescent="0.2">
      <c r="A272" s="302"/>
      <c r="B272" s="302"/>
      <c r="C272" s="302"/>
      <c r="D272" s="303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R272" s="432"/>
    </row>
    <row r="273" spans="1:18" s="282" customFormat="1" x14ac:dyDescent="0.2">
      <c r="A273" s="302"/>
      <c r="B273" s="302"/>
      <c r="C273" s="302"/>
      <c r="D273" s="303"/>
      <c r="E273" s="302"/>
      <c r="F273" s="302"/>
      <c r="G273" s="302"/>
      <c r="H273" s="302"/>
      <c r="I273" s="302"/>
      <c r="J273" s="302"/>
      <c r="K273" s="302"/>
      <c r="L273" s="302"/>
      <c r="M273" s="302"/>
      <c r="N273" s="302"/>
      <c r="R273" s="432"/>
    </row>
    <row r="274" spans="1:18" s="282" customFormat="1" x14ac:dyDescent="0.2">
      <c r="A274" s="302"/>
      <c r="B274" s="302"/>
      <c r="C274" s="302"/>
      <c r="D274" s="303"/>
      <c r="E274" s="302"/>
      <c r="F274" s="302"/>
      <c r="G274" s="302"/>
      <c r="H274" s="302"/>
      <c r="I274" s="302"/>
      <c r="J274" s="302"/>
      <c r="K274" s="302"/>
      <c r="L274" s="302"/>
      <c r="M274" s="302"/>
      <c r="N274" s="302"/>
      <c r="R274" s="432"/>
    </row>
    <row r="275" spans="1:18" s="282" customFormat="1" x14ac:dyDescent="0.2">
      <c r="A275" s="302"/>
      <c r="B275" s="302"/>
      <c r="C275" s="302"/>
      <c r="D275" s="303"/>
      <c r="E275" s="302"/>
      <c r="F275" s="302"/>
      <c r="G275" s="302"/>
      <c r="H275" s="302"/>
      <c r="I275" s="302"/>
      <c r="J275" s="302"/>
      <c r="K275" s="302"/>
      <c r="L275" s="302"/>
      <c r="M275" s="302"/>
      <c r="N275" s="302"/>
      <c r="R275" s="432"/>
    </row>
    <row r="276" spans="1:18" s="282" customFormat="1" x14ac:dyDescent="0.2">
      <c r="A276" s="302"/>
      <c r="B276" s="302"/>
      <c r="C276" s="302"/>
      <c r="D276" s="303"/>
      <c r="E276" s="302"/>
      <c r="F276" s="302"/>
      <c r="G276" s="302"/>
      <c r="H276" s="302"/>
      <c r="I276" s="302"/>
      <c r="J276" s="302"/>
      <c r="K276" s="302"/>
      <c r="L276" s="302"/>
      <c r="M276" s="302"/>
      <c r="N276" s="302"/>
      <c r="R276" s="432"/>
    </row>
    <row r="277" spans="1:18" s="282" customFormat="1" x14ac:dyDescent="0.2">
      <c r="A277" s="302"/>
      <c r="B277" s="302"/>
      <c r="C277" s="302"/>
      <c r="D277" s="303"/>
      <c r="E277" s="302"/>
      <c r="F277" s="302"/>
      <c r="G277" s="302"/>
      <c r="H277" s="302"/>
      <c r="I277" s="302"/>
      <c r="J277" s="302"/>
      <c r="K277" s="302"/>
      <c r="L277" s="302"/>
      <c r="M277" s="302"/>
      <c r="N277" s="302"/>
      <c r="R277" s="432"/>
    </row>
    <row r="278" spans="1:18" s="282" customFormat="1" x14ac:dyDescent="0.2">
      <c r="A278" s="302"/>
      <c r="B278" s="302"/>
      <c r="C278" s="302"/>
      <c r="D278" s="303"/>
      <c r="E278" s="302"/>
      <c r="F278" s="302"/>
      <c r="G278" s="302"/>
      <c r="H278" s="302"/>
      <c r="I278" s="302"/>
      <c r="J278" s="302"/>
      <c r="K278" s="302"/>
      <c r="L278" s="302"/>
      <c r="M278" s="302"/>
      <c r="N278" s="302"/>
      <c r="R278" s="432"/>
    </row>
    <row r="279" spans="1:18" s="282" customFormat="1" x14ac:dyDescent="0.2">
      <c r="A279" s="302"/>
      <c r="B279" s="302"/>
      <c r="C279" s="302"/>
      <c r="D279" s="303"/>
      <c r="E279" s="302"/>
      <c r="F279" s="302"/>
      <c r="G279" s="302"/>
      <c r="H279" s="302"/>
      <c r="I279" s="302"/>
      <c r="J279" s="302"/>
      <c r="K279" s="302"/>
      <c r="L279" s="302"/>
      <c r="M279" s="302"/>
      <c r="N279" s="302"/>
      <c r="R279" s="432"/>
    </row>
    <row r="280" spans="1:18" s="282" customFormat="1" x14ac:dyDescent="0.2">
      <c r="A280" s="302"/>
      <c r="B280" s="302"/>
      <c r="C280" s="302"/>
      <c r="D280" s="303"/>
      <c r="E280" s="302"/>
      <c r="F280" s="302"/>
      <c r="G280" s="302"/>
      <c r="H280" s="302"/>
      <c r="I280" s="302"/>
      <c r="J280" s="302"/>
      <c r="K280" s="302"/>
      <c r="L280" s="302"/>
      <c r="M280" s="302"/>
      <c r="N280" s="302"/>
      <c r="R280" s="432"/>
    </row>
    <row r="281" spans="1:18" s="282" customFormat="1" x14ac:dyDescent="0.2">
      <c r="A281" s="302"/>
      <c r="B281" s="302"/>
      <c r="C281" s="302"/>
      <c r="D281" s="303"/>
      <c r="E281" s="302"/>
      <c r="F281" s="302"/>
      <c r="G281" s="302"/>
      <c r="H281" s="302"/>
      <c r="I281" s="302"/>
      <c r="J281" s="302"/>
      <c r="K281" s="302"/>
      <c r="L281" s="302"/>
      <c r="M281" s="302"/>
      <c r="N281" s="302"/>
      <c r="R281" s="432"/>
    </row>
    <row r="282" spans="1:18" s="282" customFormat="1" x14ac:dyDescent="0.2">
      <c r="A282" s="302"/>
      <c r="B282" s="302"/>
      <c r="C282" s="302"/>
      <c r="D282" s="303"/>
      <c r="E282" s="302"/>
      <c r="F282" s="302"/>
      <c r="G282" s="302"/>
      <c r="H282" s="302"/>
      <c r="I282" s="302"/>
      <c r="J282" s="302"/>
      <c r="K282" s="302"/>
      <c r="L282" s="302"/>
      <c r="M282" s="302"/>
      <c r="N282" s="302"/>
      <c r="R282" s="432"/>
    </row>
    <row r="283" spans="1:18" s="282" customFormat="1" x14ac:dyDescent="0.2">
      <c r="A283" s="302"/>
      <c r="B283" s="302"/>
      <c r="C283" s="302"/>
      <c r="D283" s="303"/>
      <c r="E283" s="302"/>
      <c r="F283" s="302"/>
      <c r="G283" s="302"/>
      <c r="H283" s="302"/>
      <c r="I283" s="302"/>
      <c r="J283" s="302"/>
      <c r="K283" s="302"/>
      <c r="L283" s="302"/>
      <c r="M283" s="302"/>
      <c r="N283" s="302"/>
      <c r="R283" s="432"/>
    </row>
    <row r="284" spans="1:18" s="282" customFormat="1" x14ac:dyDescent="0.2">
      <c r="A284" s="302"/>
      <c r="B284" s="302"/>
      <c r="C284" s="302"/>
      <c r="D284" s="303"/>
      <c r="E284" s="302"/>
      <c r="F284" s="302"/>
      <c r="G284" s="302"/>
      <c r="H284" s="302"/>
      <c r="I284" s="302"/>
      <c r="J284" s="302"/>
      <c r="K284" s="302"/>
      <c r="L284" s="302"/>
      <c r="M284" s="302"/>
      <c r="N284" s="302"/>
      <c r="R284" s="432"/>
    </row>
    <row r="285" spans="1:18" s="282" customFormat="1" x14ac:dyDescent="0.2">
      <c r="A285" s="302"/>
      <c r="B285" s="302"/>
      <c r="C285" s="302"/>
      <c r="D285" s="303"/>
      <c r="E285" s="302"/>
      <c r="F285" s="302"/>
      <c r="G285" s="302"/>
      <c r="H285" s="302"/>
      <c r="I285" s="302"/>
      <c r="J285" s="302"/>
      <c r="K285" s="302"/>
      <c r="L285" s="302"/>
      <c r="M285" s="302"/>
      <c r="N285" s="302"/>
      <c r="R285" s="432"/>
    </row>
    <row r="286" spans="1:18" s="282" customFormat="1" x14ac:dyDescent="0.2">
      <c r="A286" s="302"/>
      <c r="B286" s="302"/>
      <c r="C286" s="302"/>
      <c r="D286" s="303"/>
      <c r="E286" s="302"/>
      <c r="F286" s="302"/>
      <c r="G286" s="302"/>
      <c r="H286" s="302"/>
      <c r="I286" s="302"/>
      <c r="J286" s="302"/>
      <c r="K286" s="302"/>
      <c r="L286" s="302"/>
      <c r="M286" s="302"/>
      <c r="N286" s="302"/>
      <c r="R286" s="432"/>
    </row>
    <row r="287" spans="1:18" s="282" customFormat="1" x14ac:dyDescent="0.2">
      <c r="A287" s="302"/>
      <c r="B287" s="302"/>
      <c r="C287" s="302"/>
      <c r="D287" s="303"/>
      <c r="E287" s="302"/>
      <c r="F287" s="302"/>
      <c r="G287" s="302"/>
      <c r="H287" s="302"/>
      <c r="I287" s="302"/>
      <c r="J287" s="302"/>
      <c r="K287" s="302"/>
      <c r="L287" s="302"/>
      <c r="M287" s="302"/>
      <c r="N287" s="302"/>
      <c r="R287" s="432"/>
    </row>
    <row r="288" spans="1:18" s="282" customFormat="1" x14ac:dyDescent="0.2">
      <c r="A288" s="302"/>
      <c r="B288" s="302"/>
      <c r="C288" s="302"/>
      <c r="D288" s="303"/>
      <c r="E288" s="302"/>
      <c r="F288" s="302"/>
      <c r="G288" s="302"/>
      <c r="H288" s="302"/>
      <c r="I288" s="302"/>
      <c r="J288" s="302"/>
      <c r="K288" s="302"/>
      <c r="L288" s="302"/>
      <c r="M288" s="302"/>
      <c r="N288" s="302"/>
      <c r="R288" s="432"/>
    </row>
    <row r="289" spans="1:18" s="282" customFormat="1" x14ac:dyDescent="0.2">
      <c r="A289" s="302"/>
      <c r="B289" s="302"/>
      <c r="C289" s="302"/>
      <c r="D289" s="303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R289" s="432"/>
    </row>
    <row r="290" spans="1:18" s="282" customFormat="1" x14ac:dyDescent="0.2">
      <c r="A290" s="302"/>
      <c r="B290" s="302"/>
      <c r="C290" s="302"/>
      <c r="D290" s="303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R290" s="432"/>
    </row>
    <row r="291" spans="1:18" s="282" customFormat="1" x14ac:dyDescent="0.2">
      <c r="A291" s="302"/>
      <c r="B291" s="302"/>
      <c r="C291" s="302"/>
      <c r="D291" s="303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R291" s="432"/>
    </row>
    <row r="292" spans="1:18" s="282" customFormat="1" x14ac:dyDescent="0.2">
      <c r="A292" s="302"/>
      <c r="B292" s="302"/>
      <c r="C292" s="302"/>
      <c r="D292" s="303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R292" s="432"/>
    </row>
    <row r="293" spans="1:18" s="282" customFormat="1" x14ac:dyDescent="0.2">
      <c r="A293" s="302"/>
      <c r="B293" s="302"/>
      <c r="C293" s="302"/>
      <c r="D293" s="303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R293" s="432"/>
    </row>
    <row r="294" spans="1:18" s="282" customFormat="1" x14ac:dyDescent="0.2">
      <c r="A294" s="302"/>
      <c r="B294" s="302"/>
      <c r="C294" s="302"/>
      <c r="D294" s="303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R294" s="432"/>
    </row>
    <row r="295" spans="1:18" s="282" customFormat="1" x14ac:dyDescent="0.2">
      <c r="A295" s="302"/>
      <c r="B295" s="302"/>
      <c r="C295" s="302"/>
      <c r="D295" s="303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R295" s="432"/>
    </row>
    <row r="296" spans="1:18" s="282" customFormat="1" x14ac:dyDescent="0.2">
      <c r="A296" s="302"/>
      <c r="B296" s="302"/>
      <c r="C296" s="302"/>
      <c r="D296" s="303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R296" s="432"/>
    </row>
    <row r="297" spans="1:18" s="282" customFormat="1" x14ac:dyDescent="0.2">
      <c r="A297" s="302"/>
      <c r="B297" s="302"/>
      <c r="C297" s="302"/>
      <c r="D297" s="303"/>
      <c r="E297" s="302"/>
      <c r="F297" s="302"/>
      <c r="G297" s="302"/>
      <c r="H297" s="302"/>
      <c r="I297" s="302"/>
      <c r="J297" s="302"/>
      <c r="K297" s="302"/>
      <c r="L297" s="302"/>
      <c r="M297" s="302"/>
      <c r="N297" s="302"/>
      <c r="R297" s="432"/>
    </row>
    <row r="298" spans="1:18" s="282" customFormat="1" x14ac:dyDescent="0.2">
      <c r="A298" s="302"/>
      <c r="B298" s="302"/>
      <c r="C298" s="302"/>
      <c r="D298" s="303"/>
      <c r="E298" s="302"/>
      <c r="F298" s="302"/>
      <c r="G298" s="302"/>
      <c r="H298" s="302"/>
      <c r="I298" s="302"/>
      <c r="J298" s="302"/>
      <c r="K298" s="302"/>
      <c r="L298" s="302"/>
      <c r="M298" s="302"/>
      <c r="N298" s="302"/>
      <c r="R298" s="432"/>
    </row>
    <row r="299" spans="1:18" s="282" customFormat="1" x14ac:dyDescent="0.2">
      <c r="A299" s="302"/>
      <c r="B299" s="302"/>
      <c r="C299" s="302"/>
      <c r="D299" s="303"/>
      <c r="E299" s="302"/>
      <c r="F299" s="302"/>
      <c r="G299" s="302"/>
      <c r="H299" s="302"/>
      <c r="I299" s="302"/>
      <c r="J299" s="302"/>
      <c r="K299" s="302"/>
      <c r="L299" s="302"/>
      <c r="M299" s="302"/>
      <c r="N299" s="302"/>
      <c r="R299" s="432"/>
    </row>
    <row r="300" spans="1:18" s="282" customFormat="1" x14ac:dyDescent="0.2">
      <c r="A300" s="302"/>
      <c r="B300" s="302"/>
      <c r="C300" s="302"/>
      <c r="D300" s="303"/>
      <c r="E300" s="302"/>
      <c r="F300" s="302"/>
      <c r="G300" s="302"/>
      <c r="H300" s="302"/>
      <c r="I300" s="302"/>
      <c r="J300" s="302"/>
      <c r="K300" s="302"/>
      <c r="L300" s="302"/>
      <c r="M300" s="302"/>
      <c r="N300" s="302"/>
      <c r="R300" s="432"/>
    </row>
    <row r="301" spans="1:18" s="282" customFormat="1" x14ac:dyDescent="0.2">
      <c r="A301" s="302"/>
      <c r="B301" s="302"/>
      <c r="C301" s="302"/>
      <c r="D301" s="303"/>
      <c r="E301" s="302"/>
      <c r="F301" s="302"/>
      <c r="G301" s="302"/>
      <c r="H301" s="302"/>
      <c r="I301" s="302"/>
      <c r="J301" s="302"/>
      <c r="K301" s="302"/>
      <c r="L301" s="302"/>
      <c r="M301" s="302"/>
      <c r="N301" s="302"/>
      <c r="R301" s="432"/>
    </row>
    <row r="302" spans="1:18" s="282" customFormat="1" x14ac:dyDescent="0.2">
      <c r="A302" s="302"/>
      <c r="B302" s="302"/>
      <c r="C302" s="302"/>
      <c r="D302" s="303"/>
      <c r="E302" s="302"/>
      <c r="F302" s="302"/>
      <c r="G302" s="302"/>
      <c r="H302" s="302"/>
      <c r="I302" s="302"/>
      <c r="J302" s="302"/>
      <c r="K302" s="302"/>
      <c r="L302" s="302"/>
      <c r="M302" s="302"/>
      <c r="N302" s="302"/>
      <c r="R302" s="432"/>
    </row>
    <row r="303" spans="1:18" s="282" customFormat="1" x14ac:dyDescent="0.2">
      <c r="A303" s="302"/>
      <c r="B303" s="302"/>
      <c r="C303" s="302"/>
      <c r="D303" s="303"/>
      <c r="E303" s="302"/>
      <c r="F303" s="302"/>
      <c r="G303" s="302"/>
      <c r="H303" s="302"/>
      <c r="I303" s="302"/>
      <c r="J303" s="302"/>
      <c r="K303" s="302"/>
      <c r="L303" s="302"/>
      <c r="M303" s="302"/>
      <c r="N303" s="302"/>
      <c r="R303" s="432"/>
    </row>
    <row r="304" spans="1:18" s="282" customFormat="1" x14ac:dyDescent="0.2">
      <c r="A304" s="302"/>
      <c r="B304" s="302"/>
      <c r="C304" s="302"/>
      <c r="D304" s="303"/>
      <c r="E304" s="302"/>
      <c r="F304" s="302"/>
      <c r="G304" s="302"/>
      <c r="H304" s="302"/>
      <c r="I304" s="302"/>
      <c r="J304" s="302"/>
      <c r="K304" s="302"/>
      <c r="L304" s="302"/>
      <c r="M304" s="302"/>
      <c r="N304" s="302"/>
      <c r="R304" s="432"/>
    </row>
    <row r="305" spans="1:18" s="282" customFormat="1" x14ac:dyDescent="0.2">
      <c r="A305" s="302"/>
      <c r="B305" s="302"/>
      <c r="C305" s="302"/>
      <c r="D305" s="303"/>
      <c r="E305" s="302"/>
      <c r="F305" s="302"/>
      <c r="G305" s="302"/>
      <c r="H305" s="302"/>
      <c r="I305" s="302"/>
      <c r="J305" s="302"/>
      <c r="K305" s="302"/>
      <c r="L305" s="302"/>
      <c r="M305" s="302"/>
      <c r="N305" s="302"/>
      <c r="R305" s="432"/>
    </row>
    <row r="306" spans="1:18" s="282" customFormat="1" x14ac:dyDescent="0.2">
      <c r="A306" s="302"/>
      <c r="B306" s="302"/>
      <c r="C306" s="302"/>
      <c r="D306" s="303"/>
      <c r="E306" s="302"/>
      <c r="F306" s="302"/>
      <c r="G306" s="302"/>
      <c r="H306" s="302"/>
      <c r="I306" s="302"/>
      <c r="J306" s="302"/>
      <c r="K306" s="302"/>
      <c r="L306" s="302"/>
      <c r="M306" s="302"/>
      <c r="N306" s="302"/>
      <c r="R306" s="432"/>
    </row>
    <row r="307" spans="1:18" s="282" customFormat="1" x14ac:dyDescent="0.2">
      <c r="A307" s="302"/>
      <c r="B307" s="302"/>
      <c r="C307" s="302"/>
      <c r="D307" s="303"/>
      <c r="E307" s="302"/>
      <c r="F307" s="302"/>
      <c r="G307" s="302"/>
      <c r="H307" s="302"/>
      <c r="I307" s="302"/>
      <c r="J307" s="302"/>
      <c r="K307" s="302"/>
      <c r="L307" s="302"/>
      <c r="M307" s="302"/>
      <c r="N307" s="302"/>
      <c r="R307" s="432"/>
    </row>
    <row r="308" spans="1:18" s="282" customFormat="1" x14ac:dyDescent="0.2">
      <c r="A308" s="302"/>
      <c r="B308" s="302"/>
      <c r="C308" s="302"/>
      <c r="D308" s="303"/>
      <c r="E308" s="302"/>
      <c r="F308" s="302"/>
      <c r="G308" s="302"/>
      <c r="H308" s="302"/>
      <c r="I308" s="302"/>
      <c r="J308" s="302"/>
      <c r="K308" s="302"/>
      <c r="L308" s="302"/>
      <c r="M308" s="302"/>
      <c r="N308" s="302"/>
      <c r="R308" s="432"/>
    </row>
    <row r="309" spans="1:18" s="282" customFormat="1" x14ac:dyDescent="0.2">
      <c r="A309" s="302"/>
      <c r="B309" s="302"/>
      <c r="C309" s="302"/>
      <c r="D309" s="303"/>
      <c r="E309" s="302"/>
      <c r="F309" s="302"/>
      <c r="G309" s="302"/>
      <c r="H309" s="302"/>
      <c r="I309" s="302"/>
      <c r="J309" s="302"/>
      <c r="K309" s="302"/>
      <c r="L309" s="302"/>
      <c r="M309" s="302"/>
      <c r="N309" s="302"/>
      <c r="R309" s="432"/>
    </row>
    <row r="310" spans="1:18" s="282" customFormat="1" x14ac:dyDescent="0.2">
      <c r="A310" s="302"/>
      <c r="B310" s="302"/>
      <c r="C310" s="302"/>
      <c r="D310" s="303"/>
      <c r="E310" s="302"/>
      <c r="F310" s="302"/>
      <c r="G310" s="302"/>
      <c r="H310" s="302"/>
      <c r="I310" s="302"/>
      <c r="J310" s="302"/>
      <c r="K310" s="302"/>
      <c r="L310" s="302"/>
      <c r="M310" s="302"/>
      <c r="N310" s="302"/>
      <c r="R310" s="432"/>
    </row>
    <row r="311" spans="1:18" s="282" customFormat="1" x14ac:dyDescent="0.2">
      <c r="A311" s="302"/>
      <c r="B311" s="302"/>
      <c r="C311" s="302"/>
      <c r="D311" s="303"/>
      <c r="E311" s="302"/>
      <c r="F311" s="302"/>
      <c r="G311" s="302"/>
      <c r="H311" s="302"/>
      <c r="I311" s="302"/>
      <c r="J311" s="302"/>
      <c r="K311" s="302"/>
      <c r="L311" s="302"/>
      <c r="M311" s="302"/>
      <c r="N311" s="302"/>
      <c r="R311" s="432"/>
    </row>
    <row r="312" spans="1:18" s="282" customFormat="1" x14ac:dyDescent="0.2">
      <c r="A312" s="302"/>
      <c r="B312" s="302"/>
      <c r="C312" s="302"/>
      <c r="D312" s="303"/>
      <c r="E312" s="302"/>
      <c r="F312" s="302"/>
      <c r="G312" s="302"/>
      <c r="H312" s="302"/>
      <c r="I312" s="302"/>
      <c r="J312" s="302"/>
      <c r="K312" s="302"/>
      <c r="L312" s="302"/>
      <c r="M312" s="302"/>
      <c r="N312" s="302"/>
      <c r="R312" s="432"/>
    </row>
    <row r="313" spans="1:18" s="282" customFormat="1" x14ac:dyDescent="0.2">
      <c r="A313" s="302"/>
      <c r="B313" s="302"/>
      <c r="C313" s="302"/>
      <c r="D313" s="303"/>
      <c r="E313" s="302"/>
      <c r="F313" s="302"/>
      <c r="G313" s="302"/>
      <c r="H313" s="302"/>
      <c r="I313" s="302"/>
      <c r="J313" s="302"/>
      <c r="K313" s="302"/>
      <c r="L313" s="302"/>
      <c r="M313" s="302"/>
      <c r="N313" s="302"/>
      <c r="R313" s="432"/>
    </row>
    <row r="314" spans="1:18" s="282" customFormat="1" x14ac:dyDescent="0.2">
      <c r="A314" s="302"/>
      <c r="B314" s="302"/>
      <c r="C314" s="302"/>
      <c r="D314" s="303"/>
      <c r="E314" s="302"/>
      <c r="F314" s="302"/>
      <c r="G314" s="302"/>
      <c r="H314" s="302"/>
      <c r="I314" s="302"/>
      <c r="J314" s="302"/>
      <c r="K314" s="302"/>
      <c r="L314" s="302"/>
      <c r="M314" s="302"/>
      <c r="N314" s="302"/>
      <c r="R314" s="432"/>
    </row>
    <row r="315" spans="1:18" s="282" customFormat="1" x14ac:dyDescent="0.2">
      <c r="A315" s="302"/>
      <c r="B315" s="302"/>
      <c r="C315" s="302"/>
      <c r="D315" s="303"/>
      <c r="E315" s="302"/>
      <c r="F315" s="302"/>
      <c r="G315" s="302"/>
      <c r="H315" s="302"/>
      <c r="I315" s="302"/>
      <c r="J315" s="302"/>
      <c r="K315" s="302"/>
      <c r="L315" s="302"/>
      <c r="M315" s="302"/>
      <c r="N315" s="302"/>
      <c r="R315" s="432"/>
    </row>
    <row r="316" spans="1:18" s="282" customFormat="1" x14ac:dyDescent="0.2">
      <c r="A316" s="302"/>
      <c r="B316" s="302"/>
      <c r="C316" s="302"/>
      <c r="D316" s="303"/>
      <c r="E316" s="302"/>
      <c r="F316" s="302"/>
      <c r="G316" s="302"/>
      <c r="H316" s="302"/>
      <c r="I316" s="302"/>
      <c r="J316" s="302"/>
      <c r="K316" s="302"/>
      <c r="L316" s="302"/>
      <c r="M316" s="302"/>
      <c r="N316" s="302"/>
      <c r="R316" s="432"/>
    </row>
    <row r="317" spans="1:18" s="282" customFormat="1" x14ac:dyDescent="0.2">
      <c r="A317" s="302"/>
      <c r="B317" s="302"/>
      <c r="C317" s="302"/>
      <c r="D317" s="303"/>
      <c r="E317" s="302"/>
      <c r="F317" s="302"/>
      <c r="G317" s="302"/>
      <c r="H317" s="302"/>
      <c r="I317" s="302"/>
      <c r="J317" s="302"/>
      <c r="K317" s="302"/>
      <c r="L317" s="302"/>
      <c r="M317" s="302"/>
      <c r="N317" s="302"/>
      <c r="R317" s="432"/>
    </row>
    <row r="318" spans="1:18" s="282" customFormat="1" x14ac:dyDescent="0.2">
      <c r="A318" s="302"/>
      <c r="B318" s="302"/>
      <c r="C318" s="302"/>
      <c r="D318" s="303"/>
      <c r="E318" s="302"/>
      <c r="F318" s="302"/>
      <c r="G318" s="302"/>
      <c r="H318" s="302"/>
      <c r="I318" s="302"/>
      <c r="J318" s="302"/>
      <c r="K318" s="302"/>
      <c r="L318" s="302"/>
      <c r="M318" s="302"/>
      <c r="N318" s="302"/>
      <c r="R318" s="432"/>
    </row>
    <row r="319" spans="1:18" s="282" customFormat="1" x14ac:dyDescent="0.2">
      <c r="A319" s="302"/>
      <c r="B319" s="302"/>
      <c r="C319" s="302"/>
      <c r="D319" s="303"/>
      <c r="E319" s="302"/>
      <c r="F319" s="302"/>
      <c r="G319" s="302"/>
      <c r="H319" s="302"/>
      <c r="I319" s="302"/>
      <c r="J319" s="302"/>
      <c r="K319" s="302"/>
      <c r="L319" s="302"/>
      <c r="M319" s="302"/>
      <c r="N319" s="302"/>
      <c r="R319" s="432"/>
    </row>
    <row r="320" spans="1:18" s="282" customFormat="1" x14ac:dyDescent="0.2">
      <c r="A320" s="302"/>
      <c r="B320" s="302"/>
      <c r="C320" s="302"/>
      <c r="D320" s="303"/>
      <c r="E320" s="302"/>
      <c r="F320" s="302"/>
      <c r="G320" s="302"/>
      <c r="H320" s="302"/>
      <c r="I320" s="302"/>
      <c r="J320" s="302"/>
      <c r="K320" s="302"/>
      <c r="L320" s="302"/>
      <c r="M320" s="302"/>
      <c r="N320" s="302"/>
      <c r="R320" s="432"/>
    </row>
    <row r="321" spans="1:18" s="282" customFormat="1" x14ac:dyDescent="0.2">
      <c r="A321" s="302"/>
      <c r="B321" s="302"/>
      <c r="C321" s="302"/>
      <c r="D321" s="303"/>
      <c r="E321" s="302"/>
      <c r="F321" s="302"/>
      <c r="G321" s="302"/>
      <c r="H321" s="302"/>
      <c r="I321" s="302"/>
      <c r="J321" s="302"/>
      <c r="K321" s="302"/>
      <c r="L321" s="302"/>
      <c r="M321" s="302"/>
      <c r="N321" s="302"/>
      <c r="R321" s="432"/>
    </row>
    <row r="322" spans="1:18" s="282" customFormat="1" x14ac:dyDescent="0.2">
      <c r="A322" s="302"/>
      <c r="B322" s="302"/>
      <c r="C322" s="302"/>
      <c r="D322" s="303"/>
      <c r="E322" s="302"/>
      <c r="F322" s="302"/>
      <c r="G322" s="302"/>
      <c r="H322" s="302"/>
      <c r="I322" s="302"/>
      <c r="J322" s="302"/>
      <c r="K322" s="302"/>
      <c r="L322" s="302"/>
      <c r="M322" s="302"/>
      <c r="N322" s="302"/>
      <c r="R322" s="432"/>
    </row>
    <row r="323" spans="1:18" s="282" customFormat="1" x14ac:dyDescent="0.2">
      <c r="A323" s="302"/>
      <c r="B323" s="302"/>
      <c r="C323" s="302"/>
      <c r="D323" s="303"/>
      <c r="E323" s="302"/>
      <c r="F323" s="302"/>
      <c r="G323" s="302"/>
      <c r="H323" s="302"/>
      <c r="I323" s="302"/>
      <c r="J323" s="302"/>
      <c r="K323" s="302"/>
      <c r="L323" s="302"/>
      <c r="M323" s="302"/>
      <c r="N323" s="302"/>
      <c r="R323" s="432"/>
    </row>
    <row r="324" spans="1:18" s="282" customFormat="1" x14ac:dyDescent="0.2">
      <c r="A324" s="302"/>
      <c r="B324" s="302"/>
      <c r="C324" s="302"/>
      <c r="D324" s="303"/>
      <c r="E324" s="302"/>
      <c r="F324" s="302"/>
      <c r="G324" s="302"/>
      <c r="H324" s="302"/>
      <c r="I324" s="302"/>
      <c r="J324" s="302"/>
      <c r="K324" s="302"/>
      <c r="L324" s="302"/>
      <c r="M324" s="302"/>
      <c r="N324" s="302"/>
      <c r="R324" s="432"/>
    </row>
    <row r="325" spans="1:18" s="282" customFormat="1" x14ac:dyDescent="0.2">
      <c r="A325" s="302"/>
      <c r="B325" s="302"/>
      <c r="C325" s="302"/>
      <c r="D325" s="303"/>
      <c r="E325" s="302"/>
      <c r="F325" s="302"/>
      <c r="G325" s="302"/>
      <c r="H325" s="302"/>
      <c r="I325" s="302"/>
      <c r="J325" s="302"/>
      <c r="K325" s="302"/>
      <c r="L325" s="302"/>
      <c r="M325" s="302"/>
      <c r="N325" s="302"/>
      <c r="R325" s="432"/>
    </row>
    <row r="326" spans="1:18" s="282" customFormat="1" x14ac:dyDescent="0.2">
      <c r="A326" s="302"/>
      <c r="B326" s="302"/>
      <c r="C326" s="302"/>
      <c r="D326" s="303"/>
      <c r="E326" s="302"/>
      <c r="F326" s="302"/>
      <c r="G326" s="302"/>
      <c r="H326" s="302"/>
      <c r="I326" s="302"/>
      <c r="J326" s="302"/>
      <c r="K326" s="302"/>
      <c r="L326" s="302"/>
      <c r="M326" s="302"/>
      <c r="N326" s="302"/>
      <c r="R326" s="432"/>
    </row>
    <row r="327" spans="1:18" s="282" customFormat="1" x14ac:dyDescent="0.2">
      <c r="A327" s="302"/>
      <c r="B327" s="302"/>
      <c r="C327" s="302"/>
      <c r="D327" s="303"/>
      <c r="E327" s="302"/>
      <c r="F327" s="302"/>
      <c r="G327" s="302"/>
      <c r="H327" s="302"/>
      <c r="I327" s="302"/>
      <c r="J327" s="302"/>
      <c r="K327" s="302"/>
      <c r="L327" s="302"/>
      <c r="M327" s="302"/>
      <c r="N327" s="302"/>
      <c r="R327" s="432"/>
    </row>
    <row r="328" spans="1:18" s="282" customFormat="1" x14ac:dyDescent="0.2">
      <c r="A328" s="302"/>
      <c r="B328" s="302"/>
      <c r="C328" s="302"/>
      <c r="D328" s="303"/>
      <c r="E328" s="302"/>
      <c r="F328" s="302"/>
      <c r="G328" s="302"/>
      <c r="H328" s="302"/>
      <c r="I328" s="302"/>
      <c r="J328" s="302"/>
      <c r="K328" s="302"/>
      <c r="L328" s="302"/>
      <c r="M328" s="302"/>
      <c r="N328" s="302"/>
      <c r="R328" s="432"/>
    </row>
    <row r="329" spans="1:18" s="282" customFormat="1" x14ac:dyDescent="0.2">
      <c r="A329" s="302"/>
      <c r="B329" s="302"/>
      <c r="C329" s="302"/>
      <c r="D329" s="303"/>
      <c r="E329" s="302"/>
      <c r="F329" s="302"/>
      <c r="G329" s="302"/>
      <c r="H329" s="302"/>
      <c r="I329" s="302"/>
      <c r="J329" s="302"/>
      <c r="K329" s="302"/>
      <c r="L329" s="302"/>
      <c r="M329" s="302"/>
      <c r="N329" s="302"/>
      <c r="R329" s="432"/>
    </row>
    <row r="330" spans="1:18" s="282" customFormat="1" x14ac:dyDescent="0.2">
      <c r="A330" s="302"/>
      <c r="B330" s="302"/>
      <c r="C330" s="302"/>
      <c r="D330" s="303"/>
      <c r="E330" s="302"/>
      <c r="F330" s="302"/>
      <c r="G330" s="302"/>
      <c r="H330" s="302"/>
      <c r="I330" s="302"/>
      <c r="J330" s="302"/>
      <c r="K330" s="302"/>
      <c r="L330" s="302"/>
      <c r="M330" s="302"/>
      <c r="N330" s="302"/>
      <c r="R330" s="432"/>
    </row>
    <row r="331" spans="1:18" s="282" customFormat="1" x14ac:dyDescent="0.2">
      <c r="A331" s="302"/>
      <c r="B331" s="302"/>
      <c r="C331" s="302"/>
      <c r="D331" s="303"/>
      <c r="E331" s="302"/>
      <c r="F331" s="302"/>
      <c r="G331" s="302"/>
      <c r="H331" s="302"/>
      <c r="I331" s="302"/>
      <c r="J331" s="302"/>
      <c r="K331" s="302"/>
      <c r="L331" s="302"/>
      <c r="M331" s="302"/>
      <c r="N331" s="302"/>
      <c r="R331" s="432"/>
    </row>
    <row r="332" spans="1:18" s="282" customFormat="1" x14ac:dyDescent="0.2">
      <c r="A332" s="302"/>
      <c r="B332" s="302"/>
      <c r="C332" s="302"/>
      <c r="D332" s="303"/>
      <c r="E332" s="302"/>
      <c r="F332" s="302"/>
      <c r="G332" s="302"/>
      <c r="H332" s="302"/>
      <c r="I332" s="302"/>
      <c r="J332" s="302"/>
      <c r="K332" s="302"/>
      <c r="L332" s="302"/>
      <c r="M332" s="302"/>
      <c r="N332" s="302"/>
      <c r="R332" s="432"/>
    </row>
    <row r="333" spans="1:18" s="282" customFormat="1" x14ac:dyDescent="0.2">
      <c r="A333" s="302"/>
      <c r="B333" s="302"/>
      <c r="C333" s="302"/>
      <c r="D333" s="303"/>
      <c r="E333" s="302"/>
      <c r="F333" s="302"/>
      <c r="G333" s="302"/>
      <c r="H333" s="302"/>
      <c r="I333" s="302"/>
      <c r="J333" s="302"/>
      <c r="K333" s="302"/>
      <c r="L333" s="302"/>
      <c r="M333" s="302"/>
      <c r="N333" s="302"/>
      <c r="R333" s="432"/>
    </row>
    <row r="334" spans="1:18" s="282" customFormat="1" x14ac:dyDescent="0.2">
      <c r="A334" s="302"/>
      <c r="B334" s="302"/>
      <c r="C334" s="302"/>
      <c r="D334" s="303"/>
      <c r="E334" s="302"/>
      <c r="F334" s="302"/>
      <c r="G334" s="302"/>
      <c r="H334" s="302"/>
      <c r="I334" s="302"/>
      <c r="J334" s="302"/>
      <c r="K334" s="302"/>
      <c r="L334" s="302"/>
      <c r="M334" s="302"/>
      <c r="N334" s="302"/>
      <c r="R334" s="432"/>
    </row>
    <row r="335" spans="1:18" s="282" customFormat="1" x14ac:dyDescent="0.2">
      <c r="A335" s="302"/>
      <c r="B335" s="302"/>
      <c r="C335" s="302"/>
      <c r="D335" s="303"/>
      <c r="E335" s="302"/>
      <c r="F335" s="302"/>
      <c r="G335" s="302"/>
      <c r="H335" s="302"/>
      <c r="I335" s="302"/>
      <c r="J335" s="302"/>
      <c r="K335" s="302"/>
      <c r="L335" s="302"/>
      <c r="M335" s="302"/>
      <c r="N335" s="302"/>
      <c r="R335" s="432"/>
    </row>
    <row r="336" spans="1:18" s="282" customFormat="1" x14ac:dyDescent="0.2">
      <c r="A336" s="302"/>
      <c r="B336" s="302"/>
      <c r="C336" s="302"/>
      <c r="D336" s="303"/>
      <c r="E336" s="302"/>
      <c r="F336" s="302"/>
      <c r="G336" s="302"/>
      <c r="H336" s="302"/>
      <c r="I336" s="302"/>
      <c r="J336" s="302"/>
      <c r="K336" s="302"/>
      <c r="L336" s="302"/>
      <c r="M336" s="302"/>
      <c r="N336" s="302"/>
      <c r="R336" s="432"/>
    </row>
    <row r="337" spans="1:18" s="282" customFormat="1" x14ac:dyDescent="0.2">
      <c r="A337" s="302"/>
      <c r="B337" s="302"/>
      <c r="C337" s="302"/>
      <c r="D337" s="303"/>
      <c r="E337" s="302"/>
      <c r="F337" s="302"/>
      <c r="G337" s="302"/>
      <c r="H337" s="302"/>
      <c r="I337" s="302"/>
      <c r="J337" s="302"/>
      <c r="K337" s="302"/>
      <c r="L337" s="302"/>
      <c r="M337" s="302"/>
      <c r="N337" s="302"/>
      <c r="R337" s="432"/>
    </row>
    <row r="338" spans="1:18" s="282" customFormat="1" x14ac:dyDescent="0.2">
      <c r="A338" s="302"/>
      <c r="B338" s="302"/>
      <c r="C338" s="302"/>
      <c r="D338" s="303"/>
      <c r="E338" s="302"/>
      <c r="F338" s="302"/>
      <c r="G338" s="302"/>
      <c r="H338" s="302"/>
      <c r="I338" s="302"/>
      <c r="J338" s="302"/>
      <c r="K338" s="302"/>
      <c r="L338" s="302"/>
      <c r="M338" s="302"/>
      <c r="N338" s="302"/>
      <c r="R338" s="432"/>
    </row>
    <row r="339" spans="1:18" s="282" customFormat="1" x14ac:dyDescent="0.2">
      <c r="A339" s="302"/>
      <c r="B339" s="302"/>
      <c r="C339" s="302"/>
      <c r="D339" s="303"/>
      <c r="E339" s="302"/>
      <c r="F339" s="302"/>
      <c r="G339" s="302"/>
      <c r="H339" s="302"/>
      <c r="I339" s="302"/>
      <c r="J339" s="302"/>
      <c r="K339" s="302"/>
      <c r="L339" s="302"/>
      <c r="M339" s="302"/>
      <c r="N339" s="302"/>
      <c r="R339" s="432"/>
    </row>
    <row r="340" spans="1:18" s="282" customFormat="1" x14ac:dyDescent="0.2">
      <c r="A340" s="302"/>
      <c r="B340" s="302"/>
      <c r="C340" s="302"/>
      <c r="D340" s="303"/>
      <c r="E340" s="302"/>
      <c r="F340" s="302"/>
      <c r="G340" s="302"/>
      <c r="H340" s="302"/>
      <c r="I340" s="302"/>
      <c r="J340" s="302"/>
      <c r="K340" s="302"/>
      <c r="L340" s="302"/>
      <c r="M340" s="302"/>
      <c r="N340" s="302"/>
      <c r="R340" s="432"/>
    </row>
    <row r="341" spans="1:18" s="282" customFormat="1" x14ac:dyDescent="0.2">
      <c r="A341" s="432"/>
      <c r="B341" s="432"/>
      <c r="C341" s="432"/>
      <c r="D341" s="279"/>
      <c r="E341" s="432"/>
      <c r="F341" s="432"/>
      <c r="G341" s="302"/>
      <c r="H341" s="302"/>
      <c r="I341" s="302"/>
      <c r="J341" s="302"/>
      <c r="K341" s="302"/>
      <c r="L341" s="302"/>
      <c r="M341" s="302"/>
      <c r="N341" s="302"/>
      <c r="R341" s="432"/>
    </row>
    <row r="342" spans="1:18" s="282" customFormat="1" x14ac:dyDescent="0.2">
      <c r="A342" s="432"/>
      <c r="B342" s="432"/>
      <c r="C342" s="432"/>
      <c r="D342" s="279"/>
      <c r="E342" s="432"/>
      <c r="F342" s="432"/>
      <c r="G342" s="302"/>
      <c r="H342" s="302"/>
      <c r="I342" s="302"/>
      <c r="J342" s="302"/>
      <c r="K342" s="302"/>
      <c r="L342" s="302"/>
      <c r="M342" s="302"/>
      <c r="N342" s="302"/>
      <c r="R342" s="432"/>
    </row>
    <row r="343" spans="1:18" s="282" customFormat="1" x14ac:dyDescent="0.2">
      <c r="A343" s="432"/>
      <c r="B343" s="432"/>
      <c r="C343" s="432"/>
      <c r="D343" s="279"/>
      <c r="E343" s="432"/>
      <c r="F343" s="432"/>
      <c r="G343" s="302"/>
      <c r="H343" s="302"/>
      <c r="I343" s="302"/>
      <c r="J343" s="302"/>
      <c r="K343" s="302"/>
      <c r="L343" s="302"/>
      <c r="M343" s="302"/>
      <c r="N343" s="302"/>
      <c r="R343" s="432"/>
    </row>
    <row r="344" spans="1:18" s="282" customFormat="1" x14ac:dyDescent="0.2">
      <c r="A344" s="432"/>
      <c r="B344" s="432"/>
      <c r="C344" s="432"/>
      <c r="D344" s="279"/>
      <c r="E344" s="432"/>
      <c r="F344" s="432"/>
      <c r="G344" s="302"/>
      <c r="H344" s="302"/>
      <c r="I344" s="302"/>
      <c r="J344" s="302"/>
      <c r="K344" s="302"/>
      <c r="L344" s="302"/>
      <c r="M344" s="302"/>
      <c r="N344" s="302"/>
      <c r="R344" s="432"/>
    </row>
    <row r="345" spans="1:18" s="282" customFormat="1" x14ac:dyDescent="0.2">
      <c r="A345" s="432"/>
      <c r="B345" s="432"/>
      <c r="C345" s="432"/>
      <c r="D345" s="279"/>
      <c r="E345" s="432"/>
      <c r="F345" s="432"/>
      <c r="G345" s="302"/>
      <c r="H345" s="302"/>
      <c r="I345" s="302"/>
      <c r="J345" s="302"/>
      <c r="K345" s="302"/>
      <c r="L345" s="302"/>
      <c r="M345" s="302"/>
      <c r="N345" s="302"/>
      <c r="R345" s="432"/>
    </row>
    <row r="346" spans="1:18" s="282" customFormat="1" x14ac:dyDescent="0.2">
      <c r="A346" s="432"/>
      <c r="B346" s="432"/>
      <c r="C346" s="432"/>
      <c r="D346" s="279"/>
      <c r="E346" s="432"/>
      <c r="F346" s="432"/>
      <c r="G346" s="302"/>
      <c r="H346" s="302"/>
      <c r="I346" s="302"/>
      <c r="J346" s="302"/>
      <c r="K346" s="302"/>
      <c r="L346" s="302"/>
      <c r="M346" s="302"/>
      <c r="N346" s="302"/>
      <c r="R346" s="432"/>
    </row>
    <row r="347" spans="1:18" s="282" customFormat="1" x14ac:dyDescent="0.2">
      <c r="A347" s="432"/>
      <c r="B347" s="432"/>
      <c r="C347" s="432"/>
      <c r="D347" s="279"/>
      <c r="E347" s="432"/>
      <c r="F347" s="432"/>
      <c r="G347" s="302"/>
      <c r="H347" s="302"/>
      <c r="I347" s="302"/>
      <c r="J347" s="302"/>
      <c r="K347" s="302"/>
      <c r="L347" s="302"/>
      <c r="M347" s="302"/>
      <c r="N347" s="302"/>
      <c r="R347" s="432"/>
    </row>
    <row r="348" spans="1:18" s="282" customFormat="1" x14ac:dyDescent="0.2">
      <c r="A348" s="432"/>
      <c r="B348" s="432"/>
      <c r="C348" s="432"/>
      <c r="D348" s="279"/>
      <c r="E348" s="432"/>
      <c r="F348" s="432"/>
      <c r="G348" s="302"/>
      <c r="H348" s="302"/>
      <c r="I348" s="302"/>
      <c r="J348" s="302"/>
      <c r="K348" s="302"/>
      <c r="L348" s="302"/>
      <c r="M348" s="302"/>
      <c r="N348" s="302"/>
      <c r="R348" s="432"/>
    </row>
    <row r="349" spans="1:18" s="282" customFormat="1" x14ac:dyDescent="0.2">
      <c r="A349" s="432"/>
      <c r="B349" s="432"/>
      <c r="C349" s="432"/>
      <c r="D349" s="279"/>
      <c r="E349" s="432"/>
      <c r="F349" s="432"/>
      <c r="G349" s="302"/>
      <c r="H349" s="302"/>
      <c r="I349" s="302"/>
      <c r="J349" s="302"/>
      <c r="K349" s="302"/>
      <c r="L349" s="302"/>
      <c r="M349" s="302"/>
      <c r="N349" s="302"/>
      <c r="R349" s="432"/>
    </row>
    <row r="350" spans="1:18" s="282" customFormat="1" x14ac:dyDescent="0.2">
      <c r="A350" s="432"/>
      <c r="B350" s="432"/>
      <c r="C350" s="432"/>
      <c r="D350" s="279"/>
      <c r="E350" s="432"/>
      <c r="F350" s="432"/>
      <c r="G350" s="302"/>
      <c r="H350" s="302"/>
      <c r="I350" s="302"/>
      <c r="J350" s="302"/>
      <c r="K350" s="302"/>
      <c r="L350" s="302"/>
      <c r="M350" s="302"/>
      <c r="N350" s="302"/>
      <c r="R350" s="432"/>
    </row>
    <row r="351" spans="1:18" s="282" customFormat="1" x14ac:dyDescent="0.2">
      <c r="A351" s="432"/>
      <c r="B351" s="432"/>
      <c r="C351" s="432"/>
      <c r="D351" s="279"/>
      <c r="E351" s="432"/>
      <c r="F351" s="432"/>
      <c r="G351" s="302"/>
      <c r="H351" s="432"/>
      <c r="I351" s="432"/>
      <c r="J351" s="432"/>
      <c r="K351" s="432"/>
      <c r="L351" s="302"/>
      <c r="M351" s="302"/>
      <c r="N351" s="302"/>
      <c r="R351" s="432"/>
    </row>
    <row r="352" spans="1:18" s="282" customFormat="1" x14ac:dyDescent="0.2">
      <c r="A352" s="432"/>
      <c r="B352" s="432"/>
      <c r="C352" s="432"/>
      <c r="D352" s="279"/>
      <c r="E352" s="432"/>
      <c r="F352" s="432"/>
      <c r="G352" s="302"/>
      <c r="H352" s="432"/>
      <c r="I352" s="432"/>
      <c r="J352" s="432"/>
      <c r="K352" s="432"/>
      <c r="L352" s="302"/>
      <c r="M352" s="302"/>
      <c r="N352" s="302"/>
      <c r="R352" s="432"/>
    </row>
    <row r="353" spans="1:18" s="282" customFormat="1" x14ac:dyDescent="0.2">
      <c r="A353" s="432"/>
      <c r="B353" s="432"/>
      <c r="C353" s="432"/>
      <c r="D353" s="279"/>
      <c r="E353" s="432"/>
      <c r="F353" s="432"/>
      <c r="G353" s="432"/>
      <c r="H353" s="432"/>
      <c r="I353" s="432"/>
      <c r="J353" s="432"/>
      <c r="K353" s="432"/>
      <c r="L353" s="432"/>
      <c r="M353" s="302"/>
      <c r="N353" s="302"/>
      <c r="R353" s="432"/>
    </row>
    <row r="354" spans="1:18" s="282" customFormat="1" x14ac:dyDescent="0.2">
      <c r="A354" s="432"/>
      <c r="B354" s="432"/>
      <c r="C354" s="432"/>
      <c r="D354" s="279"/>
      <c r="E354" s="432"/>
      <c r="F354" s="432"/>
      <c r="G354" s="432"/>
      <c r="H354" s="432"/>
      <c r="I354" s="432"/>
      <c r="J354" s="432"/>
      <c r="K354" s="432"/>
      <c r="L354" s="432"/>
      <c r="M354" s="302"/>
      <c r="N354" s="302"/>
      <c r="R354" s="432"/>
    </row>
    <row r="355" spans="1:18" s="282" customFormat="1" x14ac:dyDescent="0.2">
      <c r="A355" s="432"/>
      <c r="B355" s="432"/>
      <c r="C355" s="432"/>
      <c r="D355" s="279"/>
      <c r="E355" s="432"/>
      <c r="F355" s="432"/>
      <c r="G355" s="432"/>
      <c r="H355" s="432"/>
      <c r="I355" s="432"/>
      <c r="J355" s="432"/>
      <c r="K355" s="432"/>
      <c r="L355" s="432"/>
      <c r="M355" s="302"/>
      <c r="N355" s="302"/>
      <c r="R355" s="432"/>
    </row>
    <row r="356" spans="1:18" s="282" customFormat="1" x14ac:dyDescent="0.2">
      <c r="A356" s="432"/>
      <c r="B356" s="432"/>
      <c r="C356" s="432"/>
      <c r="D356" s="279"/>
      <c r="E356" s="432"/>
      <c r="F356" s="432"/>
      <c r="G356" s="432"/>
      <c r="H356" s="432"/>
      <c r="I356" s="432"/>
      <c r="J356" s="432"/>
      <c r="K356" s="432"/>
      <c r="L356" s="432"/>
      <c r="M356" s="302"/>
      <c r="N356" s="302"/>
      <c r="R356" s="432"/>
    </row>
    <row r="357" spans="1:18" s="282" customFormat="1" x14ac:dyDescent="0.2">
      <c r="A357" s="432"/>
      <c r="B357" s="432"/>
      <c r="C357" s="432"/>
      <c r="D357" s="279"/>
      <c r="E357" s="432"/>
      <c r="F357" s="432"/>
      <c r="G357" s="432"/>
      <c r="H357" s="432"/>
      <c r="I357" s="432"/>
      <c r="J357" s="432"/>
      <c r="K357" s="432"/>
      <c r="L357" s="432"/>
      <c r="M357" s="302"/>
      <c r="N357" s="302"/>
      <c r="R357" s="432"/>
    </row>
    <row r="358" spans="1:18" s="282" customFormat="1" x14ac:dyDescent="0.2">
      <c r="A358" s="432"/>
      <c r="B358" s="432"/>
      <c r="C358" s="432"/>
      <c r="D358" s="279"/>
      <c r="E358" s="432"/>
      <c r="F358" s="432"/>
      <c r="G358" s="432"/>
      <c r="H358" s="432"/>
      <c r="I358" s="432"/>
      <c r="J358" s="432"/>
      <c r="K358" s="432"/>
      <c r="L358" s="432"/>
      <c r="M358" s="302"/>
      <c r="N358" s="302"/>
      <c r="R358" s="432"/>
    </row>
    <row r="359" spans="1:18" s="282" customFormat="1" x14ac:dyDescent="0.2">
      <c r="A359" s="432"/>
      <c r="B359" s="432"/>
      <c r="C359" s="432"/>
      <c r="D359" s="279"/>
      <c r="E359" s="432"/>
      <c r="F359" s="432"/>
      <c r="G359" s="432"/>
      <c r="H359" s="432"/>
      <c r="I359" s="432"/>
      <c r="J359" s="432"/>
      <c r="K359" s="432"/>
      <c r="L359" s="432"/>
      <c r="M359" s="302"/>
      <c r="N359" s="302"/>
      <c r="R359" s="432"/>
    </row>
    <row r="360" spans="1:18" s="282" customFormat="1" x14ac:dyDescent="0.2">
      <c r="A360" s="432"/>
      <c r="B360" s="432"/>
      <c r="C360" s="432"/>
      <c r="D360" s="279"/>
      <c r="E360" s="432"/>
      <c r="F360" s="432"/>
      <c r="G360" s="432"/>
      <c r="H360" s="432"/>
      <c r="I360" s="432"/>
      <c r="J360" s="432"/>
      <c r="K360" s="432"/>
      <c r="L360" s="432"/>
      <c r="M360" s="302"/>
      <c r="N360" s="302"/>
      <c r="R360" s="432"/>
    </row>
    <row r="361" spans="1:18" s="282" customFormat="1" x14ac:dyDescent="0.2">
      <c r="A361" s="432"/>
      <c r="B361" s="432"/>
      <c r="C361" s="432"/>
      <c r="D361" s="279"/>
      <c r="E361" s="432"/>
      <c r="F361" s="432"/>
      <c r="G361" s="432"/>
      <c r="H361" s="432"/>
      <c r="I361" s="432"/>
      <c r="J361" s="432"/>
      <c r="K361" s="432"/>
      <c r="L361" s="432"/>
      <c r="M361" s="302"/>
      <c r="N361" s="302"/>
      <c r="R361" s="432"/>
    </row>
    <row r="362" spans="1:18" s="282" customFormat="1" x14ac:dyDescent="0.2">
      <c r="A362" s="432"/>
      <c r="B362" s="432"/>
      <c r="C362" s="432"/>
      <c r="D362" s="279"/>
      <c r="E362" s="432"/>
      <c r="F362" s="432"/>
      <c r="G362" s="432"/>
      <c r="H362" s="432"/>
      <c r="I362" s="432"/>
      <c r="J362" s="432"/>
      <c r="K362" s="432"/>
      <c r="L362" s="432"/>
      <c r="M362" s="302"/>
      <c r="N362" s="302"/>
      <c r="R362" s="432"/>
    </row>
  </sheetData>
  <customSheetViews>
    <customSheetView guid="{06317133-151B-4DBC-8EB3-9345BA061F91}" scale="80" showPageBreaks="1" fitToPage="1">
      <pane ySplit="7" topLeftCell="A29" activePane="bottomLeft" state="frozen"/>
      <selection pane="bottomLeft" activeCell="C34" sqref="C34"/>
      <pageMargins left="0.11811023622047245" right="0" top="1.0629921259842521" bottom="0.11811023622047245" header="0.31496062992125984" footer="0.11811023622047245"/>
      <pageSetup paperSize="8" scale="59" fitToHeight="0" orientation="portrait" r:id="rId1"/>
      <headerFooter>
        <oddFooter>&amp;L&amp;A&amp;Rлист &amp;P    листов &amp;N</oddFooter>
      </headerFooter>
    </customSheetView>
    <customSheetView guid="{375BA386-B398-4A0E-AF86-4319F1FDDF11}" showPageBreaks="1" fitToPage="1">
      <pane ySplit="7" topLeftCell="A108" activePane="bottomLeft" state="frozen"/>
      <selection pane="bottomLeft" activeCell="F237" sqref="F237"/>
      <pageMargins left="0.11811023622047245" right="0" top="1.0629921259842521" bottom="0.11811023622047245" header="0.31496062992125984" footer="0.11811023622047245"/>
      <pageSetup paperSize="8" scale="41" fitToHeight="0" orientation="portrait" r:id="rId2"/>
      <headerFooter>
        <oddFooter>&amp;L&amp;A&amp;Rлист &amp;P    листов &amp;N</oddFooter>
      </headerFooter>
    </customSheetView>
    <customSheetView guid="{45C31AC1-6FB2-488C-94EA-BCF9E79D0043}" showPageBreaks="1" fitToPage="1">
      <pane ySplit="7" topLeftCell="A30" activePane="bottomLeft" state="frozen"/>
      <selection pane="bottomLeft" activeCell="L89" sqref="L34:L89"/>
      <pageMargins left="0.11811023622047245" right="0" top="1.0629921259842521" bottom="0.11811023622047245" header="0.31496062992125984" footer="0.11811023622047245"/>
      <pageSetup paperSize="8" scale="59" fitToHeight="0" orientation="portrait" r:id="rId3"/>
      <headerFooter>
        <oddFooter>&amp;L&amp;A&amp;Rлист &amp;P    листов &amp;N</oddFooter>
      </headerFooter>
    </customSheetView>
    <customSheetView guid="{368B64E8-7AD6-4BC7-A731-9903B52ABB0C}" fitToPage="1">
      <pane ySplit="7" topLeftCell="A222" activePane="bottomLeft" state="frozen"/>
      <selection pane="bottomLeft" activeCell="L236" sqref="L236"/>
      <pageMargins left="0.11811023622047245" right="0" top="1.0629921259842521" bottom="0.11811023622047245" header="0.31496062992125984" footer="0.11811023622047245"/>
      <pageSetup paperSize="8" fitToHeight="0" orientation="portrait" r:id="rId4"/>
      <headerFooter>
        <oddFooter>&amp;L&amp;A&amp;Rлист &amp;P    листов &amp;N</oddFooter>
      </headerFooter>
    </customSheetView>
    <customSheetView guid="{845EA106-2CB5-4F86-BBCF-D0DE18153B1C}" scale="115" showPageBreaks="1" fitToPage="1" printArea="1">
      <pane ySplit="7" topLeftCell="A41" activePane="bottomLeft" state="frozen"/>
      <selection pane="bottomLeft" activeCell="G73" sqref="G73"/>
      <pageMargins left="0.11811023622047245" right="0" top="1.0629921259842521" bottom="0.11811023622047245" header="0.31496062992125984" footer="0.11811023622047245"/>
      <pageSetup paperSize="8" scale="75" fitToHeight="0" orientation="portrait" r:id="rId5"/>
      <headerFooter>
        <oddFooter>&amp;L&amp;A&amp;Rлист &amp;P    листов &amp;N</oddFooter>
      </headerFooter>
    </customSheetView>
    <customSheetView guid="{C29DA669-F4F9-44CD-9569-E796ADF74A86}" scale="80" showPageBreaks="1" fitToPage="1">
      <pane ySplit="7" topLeftCell="A87" activePane="bottomLeft" state="frozen"/>
      <selection pane="bottomLeft" activeCell="A113" sqref="A113"/>
      <pageMargins left="0.11811023622047245" right="0" top="1.0629921259842521" bottom="0.11811023622047245" header="0.31496062992125984" footer="0.11811023622047245"/>
      <pageSetup paperSize="8" scale="59" fitToHeight="0" orientation="portrait" r:id="rId6"/>
      <headerFooter>
        <oddFooter>&amp;L&amp;A&amp;Rлист &amp;P    листов &amp;N</oddFooter>
      </headerFooter>
    </customSheetView>
    <customSheetView guid="{A1BD6C0C-B1B9-4F48-A6B1-3BFD273F4CD7}" showPageBreaks="1" fitToPage="1">
      <pane ySplit="7" topLeftCell="A30" activePane="bottomLeft" state="frozen"/>
      <selection pane="bottomLeft" activeCell="L89" sqref="L34:L89"/>
      <pageMargins left="0.11811023622047245" right="0" top="1.0629921259842521" bottom="0.11811023622047245" header="0.31496062992125984" footer="0.11811023622047245"/>
      <pageSetup paperSize="8" scale="41" fitToHeight="0" orientation="portrait" r:id="rId7"/>
      <headerFooter>
        <oddFooter>&amp;L&amp;A&amp;Rлист &amp;P    листов &amp;N</oddFooter>
      </headerFooter>
    </customSheetView>
    <customSheetView guid="{D42288F7-1871-4EF6-BC87-1B9EF747C744}" scale="80" fitToPage="1">
      <pane ySplit="7" topLeftCell="A92" activePane="bottomLeft" state="frozen"/>
      <selection pane="bottomLeft" activeCell="A114" sqref="A114:E114"/>
      <pageMargins left="0.11811023622047245" right="0" top="1.0629921259842521" bottom="0.11811023622047245" header="0.31496062992125984" footer="0.11811023622047245"/>
      <pageSetup paperSize="8" scale="59" fitToHeight="0" orientation="portrait" r:id="rId8"/>
      <headerFooter>
        <oddFooter>&amp;L&amp;A&amp;Rлист &amp;P    листов &amp;N</oddFooter>
      </headerFooter>
    </customSheetView>
    <customSheetView guid="{8C638750-2D78-446E-B8DA-A6202AF1ED31}" scale="90" showPageBreaks="1" fitToPage="1" printArea="1">
      <pane ySplit="7" topLeftCell="A11" activePane="bottomLeft" state="frozen"/>
      <selection pane="bottomLeft" activeCell="M18" sqref="M18"/>
      <pageMargins left="0.11811023622047245" right="0" top="1.0629921259842521" bottom="0.11811023622047245" header="0.31496062992125984" footer="0.11811023622047245"/>
      <pageSetup paperSize="8" fitToHeight="0" orientation="portrait" r:id="rId9"/>
      <headerFooter>
        <oddFooter>&amp;L&amp;A&amp;Rлист &amp;P    листов &amp;N</oddFooter>
      </headerFooter>
    </customSheetView>
  </customSheetViews>
  <mergeCells count="18">
    <mergeCell ref="H6:K6"/>
    <mergeCell ref="L6:L7"/>
    <mergeCell ref="M6:M7"/>
    <mergeCell ref="C4:D4"/>
    <mergeCell ref="E4:G4"/>
    <mergeCell ref="F6:F7"/>
    <mergeCell ref="G6:G7"/>
    <mergeCell ref="A6:A7"/>
    <mergeCell ref="B6:B7"/>
    <mergeCell ref="C6:C7"/>
    <mergeCell ref="D6:D7"/>
    <mergeCell ref="E6:E7"/>
    <mergeCell ref="A1:B1"/>
    <mergeCell ref="J1:M1"/>
    <mergeCell ref="A2:B2"/>
    <mergeCell ref="J2:M2"/>
    <mergeCell ref="A3:B3"/>
    <mergeCell ref="J3:M3"/>
  </mergeCells>
  <pageMargins left="0.11811023622047245" right="0" top="1.0629921259842521" bottom="0.11811023622047245" header="0.31496062992125984" footer="0.11811023622047245"/>
  <pageSetup paperSize="8" scale="59" fitToHeight="0" orientation="portrait" r:id="rId10"/>
  <headerFooter>
    <oddFooter>&amp;L&amp;A&amp;Rлист &amp;P    листов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069"/>
  <sheetViews>
    <sheetView zoomScale="60" zoomScaleNormal="64" zoomScaleSheetLayoutView="90" workbookViewId="0">
      <pane ySplit="6" topLeftCell="A70" activePane="bottomLeft" state="frozen"/>
      <selection pane="bottomLeft" activeCell="F42" sqref="F42"/>
    </sheetView>
  </sheetViews>
  <sheetFormatPr defaultColWidth="9.140625" defaultRowHeight="15" x14ac:dyDescent="0.25"/>
  <cols>
    <col min="1" max="1" width="8.7109375" style="9" customWidth="1"/>
    <col min="2" max="2" width="80.7109375" style="9" customWidth="1"/>
    <col min="3" max="3" width="13" style="9" customWidth="1"/>
    <col min="4" max="4" width="17" style="9" customWidth="1"/>
    <col min="5" max="5" width="24.85546875" style="9" customWidth="1"/>
    <col min="6" max="6" width="12.28515625" style="9" customWidth="1"/>
    <col min="7" max="10" width="10.7109375" style="9" customWidth="1"/>
    <col min="11" max="11" width="11.7109375" style="9" customWidth="1"/>
    <col min="12" max="12" width="25.140625" style="9" customWidth="1"/>
    <col min="13" max="13" width="12.28515625" style="4" customWidth="1"/>
    <col min="14" max="14" width="11.28515625" style="4" customWidth="1"/>
    <col min="15" max="16" width="14" style="5" customWidth="1"/>
    <col min="17" max="27" width="14" style="4" customWidth="1"/>
    <col min="28" max="16384" width="9.140625" style="4"/>
  </cols>
  <sheetData>
    <row r="1" spans="1:22" ht="15" customHeight="1" x14ac:dyDescent="0.25">
      <c r="A1" s="577" t="s">
        <v>0</v>
      </c>
      <c r="B1" s="577"/>
      <c r="H1" s="1"/>
      <c r="I1" s="578" t="s">
        <v>1</v>
      </c>
      <c r="J1" s="578"/>
      <c r="K1" s="578"/>
    </row>
    <row r="2" spans="1:22" ht="15" customHeight="1" x14ac:dyDescent="0.25">
      <c r="A2" s="577" t="s">
        <v>2</v>
      </c>
      <c r="B2" s="577"/>
      <c r="E2" s="9" t="s">
        <v>508</v>
      </c>
      <c r="H2" s="22"/>
      <c r="I2" s="579" t="s">
        <v>3</v>
      </c>
      <c r="J2" s="579"/>
      <c r="K2" s="579"/>
    </row>
    <row r="3" spans="1:22" ht="23.25" x14ac:dyDescent="0.35">
      <c r="A3" s="577" t="s">
        <v>4</v>
      </c>
      <c r="B3" s="577"/>
      <c r="C3" s="580" t="s">
        <v>634</v>
      </c>
      <c r="D3" s="580"/>
      <c r="E3" s="580"/>
      <c r="F3" s="99" t="s">
        <v>158</v>
      </c>
      <c r="H3" s="22"/>
      <c r="I3" s="579" t="s">
        <v>127</v>
      </c>
      <c r="J3" s="579"/>
      <c r="K3" s="579"/>
    </row>
    <row r="4" spans="1:22" ht="9" customHeight="1" thickBot="1" x14ac:dyDescent="0.3"/>
    <row r="5" spans="1:22" s="6" customFormat="1" ht="23.25" customHeight="1" thickBot="1" x14ac:dyDescent="0.25">
      <c r="A5" s="571" t="s">
        <v>5</v>
      </c>
      <c r="B5" s="571" t="s">
        <v>6</v>
      </c>
      <c r="C5" s="569" t="s">
        <v>7</v>
      </c>
      <c r="D5" s="571" t="s">
        <v>8</v>
      </c>
      <c r="E5" s="571" t="s">
        <v>9</v>
      </c>
      <c r="F5" s="569" t="s">
        <v>34</v>
      </c>
      <c r="G5" s="568" t="s">
        <v>11</v>
      </c>
      <c r="H5" s="568"/>
      <c r="I5" s="568"/>
      <c r="J5" s="568"/>
      <c r="K5" s="569" t="s">
        <v>10</v>
      </c>
      <c r="L5" s="571" t="s">
        <v>12</v>
      </c>
      <c r="M5" s="571" t="s">
        <v>30</v>
      </c>
      <c r="N5" s="573" t="s">
        <v>13</v>
      </c>
    </row>
    <row r="6" spans="1:22" s="6" customFormat="1" ht="32.25" customHeight="1" thickBot="1" x14ac:dyDescent="0.25">
      <c r="A6" s="572"/>
      <c r="B6" s="572"/>
      <c r="C6" s="570"/>
      <c r="D6" s="572"/>
      <c r="E6" s="572"/>
      <c r="F6" s="570"/>
      <c r="G6" s="2" t="s">
        <v>14</v>
      </c>
      <c r="H6" s="2" t="s">
        <v>15</v>
      </c>
      <c r="I6" s="2" t="s">
        <v>16</v>
      </c>
      <c r="J6" s="2" t="s">
        <v>17</v>
      </c>
      <c r="K6" s="570"/>
      <c r="L6" s="572"/>
      <c r="M6" s="572"/>
      <c r="N6" s="573"/>
    </row>
    <row r="7" spans="1:22" s="6" customFormat="1" ht="30" customHeight="1" x14ac:dyDescent="0.3">
      <c r="A7" s="259">
        <v>4316</v>
      </c>
      <c r="B7" s="425" t="s">
        <v>22</v>
      </c>
      <c r="C7" s="102">
        <v>8000</v>
      </c>
      <c r="D7" s="91">
        <v>200.54</v>
      </c>
      <c r="E7" s="55">
        <f>D7*C7</f>
        <v>1604320</v>
      </c>
      <c r="F7" s="41">
        <v>7120</v>
      </c>
      <c r="G7" s="40">
        <f>500+400+300</f>
        <v>1200</v>
      </c>
      <c r="H7" s="41">
        <f>300+300+420+420</f>
        <v>1440</v>
      </c>
      <c r="I7" s="41">
        <f>420+420+420+420+420</f>
        <v>2100</v>
      </c>
      <c r="J7" s="58">
        <f>420+420+420+420+400+300</f>
        <v>2380</v>
      </c>
      <c r="K7" s="456">
        <f>G7+H7+I7+J7</f>
        <v>7120</v>
      </c>
      <c r="L7" s="482">
        <f>D7*K7</f>
        <v>1427844.8</v>
      </c>
      <c r="M7" s="64">
        <f>F7-K7</f>
        <v>0</v>
      </c>
      <c r="N7" s="242">
        <f>K7/C7</f>
        <v>0.89</v>
      </c>
      <c r="O7" s="32"/>
      <c r="S7" s="468">
        <f>G7*D7</f>
        <v>240648</v>
      </c>
      <c r="T7" s="468">
        <f>H7*D7</f>
        <v>288777.59999999998</v>
      </c>
      <c r="U7" s="468">
        <f>I7*D7</f>
        <v>421134</v>
      </c>
      <c r="V7" s="468">
        <f>J7*D7</f>
        <v>477285.19999999995</v>
      </c>
    </row>
    <row r="8" spans="1:22" s="6" customFormat="1" ht="5.0999999999999996" customHeight="1" x14ac:dyDescent="0.2">
      <c r="A8" s="68"/>
      <c r="B8" s="44"/>
      <c r="C8" s="102"/>
      <c r="D8" s="92"/>
      <c r="E8" s="34"/>
      <c r="F8" s="41"/>
      <c r="G8" s="40"/>
      <c r="H8" s="41"/>
      <c r="I8" s="41"/>
      <c r="J8" s="58"/>
      <c r="K8" s="62"/>
      <c r="L8" s="483"/>
      <c r="M8" s="3"/>
      <c r="N8" s="243"/>
      <c r="S8" s="468">
        <f t="shared" ref="S8:S71" si="0">G8*D8</f>
        <v>0</v>
      </c>
      <c r="T8" s="468">
        <f t="shared" ref="T8:T71" si="1">H8*D8</f>
        <v>0</v>
      </c>
      <c r="U8" s="468">
        <f t="shared" ref="U8:U71" si="2">I8*D8</f>
        <v>0</v>
      </c>
      <c r="V8" s="468">
        <f t="shared" ref="V8:V71" si="3">J8*D8</f>
        <v>0</v>
      </c>
    </row>
    <row r="9" spans="1:22" s="6" customFormat="1" ht="20.100000000000001" customHeight="1" x14ac:dyDescent="0.2">
      <c r="A9" s="68"/>
      <c r="B9" s="35" t="s">
        <v>23</v>
      </c>
      <c r="C9" s="102"/>
      <c r="D9" s="91"/>
      <c r="E9" s="34"/>
      <c r="F9" s="41"/>
      <c r="G9" s="40"/>
      <c r="H9" s="41"/>
      <c r="I9" s="41"/>
      <c r="J9" s="58"/>
      <c r="K9" s="62"/>
      <c r="L9" s="482"/>
      <c r="M9" s="64"/>
      <c r="N9" s="243"/>
      <c r="P9" s="30"/>
      <c r="S9" s="468">
        <f t="shared" si="0"/>
        <v>0</v>
      </c>
      <c r="T9" s="468">
        <f t="shared" si="1"/>
        <v>0</v>
      </c>
      <c r="U9" s="468">
        <f t="shared" si="2"/>
        <v>0</v>
      </c>
      <c r="V9" s="468">
        <f t="shared" si="3"/>
        <v>0</v>
      </c>
    </row>
    <row r="10" spans="1:22" s="6" customFormat="1" ht="5.0999999999999996" customHeight="1" x14ac:dyDescent="0.2">
      <c r="A10" s="68"/>
      <c r="B10" s="35"/>
      <c r="C10" s="102"/>
      <c r="D10" s="91"/>
      <c r="E10" s="56"/>
      <c r="F10" s="41"/>
      <c r="G10" s="40"/>
      <c r="H10" s="41"/>
      <c r="I10" s="41"/>
      <c r="J10" s="58"/>
      <c r="K10" s="62"/>
      <c r="L10" s="483"/>
      <c r="M10" s="3"/>
      <c r="N10" s="243"/>
      <c r="P10" s="30"/>
      <c r="S10" s="468">
        <f t="shared" si="0"/>
        <v>0</v>
      </c>
      <c r="T10" s="468">
        <f t="shared" si="1"/>
        <v>0</v>
      </c>
      <c r="U10" s="468">
        <f t="shared" si="2"/>
        <v>0</v>
      </c>
      <c r="V10" s="468">
        <f t="shared" si="3"/>
        <v>0</v>
      </c>
    </row>
    <row r="11" spans="1:22" s="6" customFormat="1" ht="20.100000000000001" customHeight="1" x14ac:dyDescent="0.2">
      <c r="A11" s="68">
        <v>4317</v>
      </c>
      <c r="B11" s="35" t="s">
        <v>86</v>
      </c>
      <c r="C11" s="102">
        <f t="shared" ref="C11:C20" si="4">300+200</f>
        <v>500</v>
      </c>
      <c r="D11" s="91">
        <v>105.58</v>
      </c>
      <c r="E11" s="56">
        <f t="shared" ref="E11:E20" si="5">D11*C11</f>
        <v>52790</v>
      </c>
      <c r="F11" s="41">
        <v>514</v>
      </c>
      <c r="G11" s="40"/>
      <c r="H11" s="41">
        <v>200</v>
      </c>
      <c r="I11" s="41">
        <v>114</v>
      </c>
      <c r="J11" s="58">
        <v>200</v>
      </c>
      <c r="K11" s="456">
        <f t="shared" ref="K11:K20" si="6">G11+H11+I11+J11</f>
        <v>514</v>
      </c>
      <c r="L11" s="482">
        <f t="shared" ref="L11:L20" si="7">D11*K11</f>
        <v>54268.12</v>
      </c>
      <c r="M11" s="64">
        <f t="shared" ref="M11:M20" si="8">F11-K11</f>
        <v>0</v>
      </c>
      <c r="N11" s="243">
        <f t="shared" ref="N11:N20" si="9">K11/C11</f>
        <v>1.028</v>
      </c>
      <c r="S11" s="468">
        <f t="shared" si="0"/>
        <v>0</v>
      </c>
      <c r="T11" s="468">
        <f t="shared" si="1"/>
        <v>21116</v>
      </c>
      <c r="U11" s="468">
        <f t="shared" si="2"/>
        <v>12036.119999999999</v>
      </c>
      <c r="V11" s="468">
        <f t="shared" si="3"/>
        <v>21116</v>
      </c>
    </row>
    <row r="12" spans="1:22" s="6" customFormat="1" ht="19.5" customHeight="1" x14ac:dyDescent="0.2">
      <c r="A12" s="68">
        <v>4318</v>
      </c>
      <c r="B12" s="35" t="s">
        <v>40</v>
      </c>
      <c r="C12" s="102">
        <f t="shared" si="4"/>
        <v>500</v>
      </c>
      <c r="D12" s="91">
        <v>79.31</v>
      </c>
      <c r="E12" s="56">
        <f t="shared" si="5"/>
        <v>39655</v>
      </c>
      <c r="F12" s="41">
        <v>514</v>
      </c>
      <c r="G12" s="40"/>
      <c r="H12" s="41">
        <v>200</v>
      </c>
      <c r="I12" s="41">
        <v>114</v>
      </c>
      <c r="J12" s="58">
        <v>200</v>
      </c>
      <c r="K12" s="456">
        <f t="shared" si="6"/>
        <v>514</v>
      </c>
      <c r="L12" s="482">
        <f t="shared" si="7"/>
        <v>40765.340000000004</v>
      </c>
      <c r="M12" s="64">
        <f t="shared" si="8"/>
        <v>0</v>
      </c>
      <c r="N12" s="243">
        <f t="shared" si="9"/>
        <v>1.028</v>
      </c>
      <c r="S12" s="468">
        <f t="shared" si="0"/>
        <v>0</v>
      </c>
      <c r="T12" s="468">
        <f t="shared" si="1"/>
        <v>15862</v>
      </c>
      <c r="U12" s="468">
        <f t="shared" si="2"/>
        <v>9041.34</v>
      </c>
      <c r="V12" s="468">
        <f t="shared" si="3"/>
        <v>15862</v>
      </c>
    </row>
    <row r="13" spans="1:22" s="6" customFormat="1" ht="19.5" customHeight="1" x14ac:dyDescent="0.2">
      <c r="A13" s="68">
        <v>4319</v>
      </c>
      <c r="B13" s="35" t="s">
        <v>41</v>
      </c>
      <c r="C13" s="102">
        <f t="shared" si="4"/>
        <v>500</v>
      </c>
      <c r="D13" s="91">
        <v>83.64</v>
      </c>
      <c r="E13" s="56">
        <f t="shared" si="5"/>
        <v>41820</v>
      </c>
      <c r="F13" s="41">
        <v>514</v>
      </c>
      <c r="G13" s="40"/>
      <c r="H13" s="268">
        <v>200</v>
      </c>
      <c r="I13" s="41">
        <v>114</v>
      </c>
      <c r="J13" s="58">
        <v>200</v>
      </c>
      <c r="K13" s="456">
        <f t="shared" si="6"/>
        <v>514</v>
      </c>
      <c r="L13" s="482">
        <f t="shared" si="7"/>
        <v>42990.96</v>
      </c>
      <c r="M13" s="64">
        <f t="shared" si="8"/>
        <v>0</v>
      </c>
      <c r="N13" s="243">
        <f t="shared" si="9"/>
        <v>1.028</v>
      </c>
      <c r="S13" s="468">
        <f t="shared" si="0"/>
        <v>0</v>
      </c>
      <c r="T13" s="468">
        <f t="shared" si="1"/>
        <v>16728</v>
      </c>
      <c r="U13" s="468">
        <f t="shared" si="2"/>
        <v>9534.9600000000009</v>
      </c>
      <c r="V13" s="468">
        <f t="shared" si="3"/>
        <v>16728</v>
      </c>
    </row>
    <row r="14" spans="1:22" s="6" customFormat="1" ht="19.5" customHeight="1" x14ac:dyDescent="0.2">
      <c r="A14" s="68">
        <v>4320</v>
      </c>
      <c r="B14" s="47" t="s">
        <v>85</v>
      </c>
      <c r="C14" s="102">
        <f t="shared" si="4"/>
        <v>500</v>
      </c>
      <c r="D14" s="91">
        <v>70.56</v>
      </c>
      <c r="E14" s="56">
        <f t="shared" si="5"/>
        <v>35280</v>
      </c>
      <c r="F14" s="41">
        <v>514</v>
      </c>
      <c r="G14" s="40"/>
      <c r="H14" s="41">
        <v>200</v>
      </c>
      <c r="I14" s="41">
        <v>114</v>
      </c>
      <c r="J14" s="58">
        <v>200</v>
      </c>
      <c r="K14" s="456">
        <f t="shared" si="6"/>
        <v>514</v>
      </c>
      <c r="L14" s="482">
        <f t="shared" si="7"/>
        <v>36267.840000000004</v>
      </c>
      <c r="M14" s="64">
        <f t="shared" si="8"/>
        <v>0</v>
      </c>
      <c r="N14" s="243">
        <f t="shared" si="9"/>
        <v>1.028</v>
      </c>
      <c r="S14" s="468">
        <f t="shared" si="0"/>
        <v>0</v>
      </c>
      <c r="T14" s="468">
        <f t="shared" si="1"/>
        <v>14112</v>
      </c>
      <c r="U14" s="468">
        <f t="shared" si="2"/>
        <v>8043.84</v>
      </c>
      <c r="V14" s="468">
        <f t="shared" si="3"/>
        <v>14112</v>
      </c>
    </row>
    <row r="15" spans="1:22" s="6" customFormat="1" ht="19.5" customHeight="1" x14ac:dyDescent="0.25">
      <c r="A15" s="68" t="s">
        <v>491</v>
      </c>
      <c r="B15" s="47" t="s">
        <v>84</v>
      </c>
      <c r="C15" s="102">
        <f t="shared" si="4"/>
        <v>500</v>
      </c>
      <c r="D15" s="91">
        <v>349</v>
      </c>
      <c r="E15" s="56">
        <f t="shared" si="5"/>
        <v>174500</v>
      </c>
      <c r="F15" s="41">
        <v>120</v>
      </c>
      <c r="G15" s="40"/>
      <c r="H15" s="41"/>
      <c r="I15" s="41"/>
      <c r="J15" s="58">
        <v>120</v>
      </c>
      <c r="K15" s="456">
        <f t="shared" si="6"/>
        <v>120</v>
      </c>
      <c r="L15" s="482">
        <f t="shared" si="7"/>
        <v>41880</v>
      </c>
      <c r="M15" s="64">
        <f t="shared" si="8"/>
        <v>0</v>
      </c>
      <c r="N15" s="243">
        <f t="shared" si="9"/>
        <v>0.24</v>
      </c>
      <c r="O15" s="5"/>
      <c r="S15" s="468">
        <f t="shared" si="0"/>
        <v>0</v>
      </c>
      <c r="T15" s="468">
        <f t="shared" si="1"/>
        <v>0</v>
      </c>
      <c r="U15" s="468">
        <f t="shared" si="2"/>
        <v>0</v>
      </c>
      <c r="V15" s="468">
        <f t="shared" si="3"/>
        <v>41880</v>
      </c>
    </row>
    <row r="16" spans="1:22" s="6" customFormat="1" ht="19.5" customHeight="1" x14ac:dyDescent="0.2">
      <c r="A16" s="68">
        <v>4322</v>
      </c>
      <c r="B16" s="36" t="s">
        <v>83</v>
      </c>
      <c r="C16" s="102">
        <f t="shared" si="4"/>
        <v>500</v>
      </c>
      <c r="D16" s="91">
        <v>104.03</v>
      </c>
      <c r="E16" s="56">
        <f t="shared" si="5"/>
        <v>52015</v>
      </c>
      <c r="F16" s="41">
        <v>120</v>
      </c>
      <c r="G16" s="40"/>
      <c r="H16" s="41"/>
      <c r="I16" s="41"/>
      <c r="J16" s="58">
        <v>120</v>
      </c>
      <c r="K16" s="456">
        <f t="shared" si="6"/>
        <v>120</v>
      </c>
      <c r="L16" s="482">
        <f t="shared" si="7"/>
        <v>12483.6</v>
      </c>
      <c r="M16" s="64">
        <f t="shared" si="8"/>
        <v>0</v>
      </c>
      <c r="N16" s="243">
        <f t="shared" si="9"/>
        <v>0.24</v>
      </c>
      <c r="S16" s="468">
        <f t="shared" si="0"/>
        <v>0</v>
      </c>
      <c r="T16" s="468">
        <f t="shared" si="1"/>
        <v>0</v>
      </c>
      <c r="U16" s="468">
        <f t="shared" si="2"/>
        <v>0</v>
      </c>
      <c r="V16" s="468">
        <f t="shared" si="3"/>
        <v>12483.6</v>
      </c>
    </row>
    <row r="17" spans="1:22" s="6" customFormat="1" ht="19.5" customHeight="1" x14ac:dyDescent="0.2">
      <c r="A17" s="68">
        <v>4323</v>
      </c>
      <c r="B17" s="35" t="s">
        <v>42</v>
      </c>
      <c r="C17" s="102">
        <f t="shared" si="4"/>
        <v>500</v>
      </c>
      <c r="D17" s="91">
        <v>26.78</v>
      </c>
      <c r="E17" s="56">
        <f>D17*C17</f>
        <v>13390</v>
      </c>
      <c r="F17" s="41">
        <v>120</v>
      </c>
      <c r="G17" s="40"/>
      <c r="H17" s="41"/>
      <c r="I17" s="41"/>
      <c r="J17" s="58">
        <v>120</v>
      </c>
      <c r="K17" s="456">
        <f t="shared" si="6"/>
        <v>120</v>
      </c>
      <c r="L17" s="482">
        <f t="shared" si="7"/>
        <v>3213.6000000000004</v>
      </c>
      <c r="M17" s="64">
        <f t="shared" si="8"/>
        <v>0</v>
      </c>
      <c r="N17" s="243">
        <f t="shared" si="9"/>
        <v>0.24</v>
      </c>
      <c r="P17" s="30"/>
      <c r="S17" s="468">
        <f t="shared" si="0"/>
        <v>0</v>
      </c>
      <c r="T17" s="468">
        <f t="shared" si="1"/>
        <v>0</v>
      </c>
      <c r="U17" s="468">
        <f t="shared" si="2"/>
        <v>0</v>
      </c>
      <c r="V17" s="468">
        <f t="shared" si="3"/>
        <v>3213.6000000000004</v>
      </c>
    </row>
    <row r="18" spans="1:22" s="6" customFormat="1" ht="19.5" customHeight="1" x14ac:dyDescent="0.2">
      <c r="A18" s="68">
        <v>4325</v>
      </c>
      <c r="B18" s="35" t="s">
        <v>138</v>
      </c>
      <c r="C18" s="102">
        <f t="shared" si="4"/>
        <v>500</v>
      </c>
      <c r="D18" s="91">
        <v>2.37</v>
      </c>
      <c r="E18" s="56">
        <f t="shared" si="5"/>
        <v>1185</v>
      </c>
      <c r="F18" s="41">
        <v>120</v>
      </c>
      <c r="G18" s="40"/>
      <c r="H18" s="41"/>
      <c r="I18" s="41"/>
      <c r="J18" s="58">
        <v>120</v>
      </c>
      <c r="K18" s="456">
        <f t="shared" si="6"/>
        <v>120</v>
      </c>
      <c r="L18" s="482">
        <f t="shared" si="7"/>
        <v>284.40000000000003</v>
      </c>
      <c r="M18" s="64">
        <f t="shared" si="8"/>
        <v>0</v>
      </c>
      <c r="N18" s="243">
        <f t="shared" si="9"/>
        <v>0.24</v>
      </c>
      <c r="S18" s="468">
        <f t="shared" si="0"/>
        <v>0</v>
      </c>
      <c r="T18" s="468">
        <f t="shared" si="1"/>
        <v>0</v>
      </c>
      <c r="U18" s="468">
        <f t="shared" si="2"/>
        <v>0</v>
      </c>
      <c r="V18" s="468">
        <f t="shared" si="3"/>
        <v>284.40000000000003</v>
      </c>
    </row>
    <row r="19" spans="1:22" s="6" customFormat="1" ht="19.5" customHeight="1" x14ac:dyDescent="0.2">
      <c r="A19" s="68">
        <v>4326</v>
      </c>
      <c r="B19" s="35" t="s">
        <v>139</v>
      </c>
      <c r="C19" s="102">
        <f t="shared" si="4"/>
        <v>500</v>
      </c>
      <c r="D19" s="91">
        <v>5.25</v>
      </c>
      <c r="E19" s="56">
        <f t="shared" si="5"/>
        <v>2625</v>
      </c>
      <c r="F19" s="41">
        <v>120</v>
      </c>
      <c r="G19" s="40"/>
      <c r="H19" s="41"/>
      <c r="I19" s="41"/>
      <c r="J19" s="58">
        <v>120</v>
      </c>
      <c r="K19" s="456">
        <f t="shared" si="6"/>
        <v>120</v>
      </c>
      <c r="L19" s="482">
        <f t="shared" si="7"/>
        <v>630</v>
      </c>
      <c r="M19" s="64">
        <f t="shared" si="8"/>
        <v>0</v>
      </c>
      <c r="N19" s="243">
        <f t="shared" si="9"/>
        <v>0.24</v>
      </c>
      <c r="S19" s="468">
        <f t="shared" si="0"/>
        <v>0</v>
      </c>
      <c r="T19" s="468">
        <f t="shared" si="1"/>
        <v>0</v>
      </c>
      <c r="U19" s="468">
        <f t="shared" si="2"/>
        <v>0</v>
      </c>
      <c r="V19" s="468">
        <f t="shared" si="3"/>
        <v>630</v>
      </c>
    </row>
    <row r="20" spans="1:22" s="6" customFormat="1" ht="19.5" customHeight="1" x14ac:dyDescent="0.2">
      <c r="A20" s="68">
        <v>4327</v>
      </c>
      <c r="B20" s="35" t="s">
        <v>43</v>
      </c>
      <c r="C20" s="102">
        <f t="shared" si="4"/>
        <v>500</v>
      </c>
      <c r="D20" s="91">
        <v>5.25</v>
      </c>
      <c r="E20" s="56">
        <f t="shared" si="5"/>
        <v>2625</v>
      </c>
      <c r="F20" s="41">
        <v>120</v>
      </c>
      <c r="G20" s="40"/>
      <c r="H20" s="41"/>
      <c r="I20" s="41"/>
      <c r="J20" s="58">
        <v>120</v>
      </c>
      <c r="K20" s="456">
        <f t="shared" si="6"/>
        <v>120</v>
      </c>
      <c r="L20" s="482">
        <f t="shared" si="7"/>
        <v>630</v>
      </c>
      <c r="M20" s="64">
        <f t="shared" si="8"/>
        <v>0</v>
      </c>
      <c r="N20" s="243">
        <f t="shared" si="9"/>
        <v>0.24</v>
      </c>
      <c r="S20" s="468">
        <f t="shared" si="0"/>
        <v>0</v>
      </c>
      <c r="T20" s="468">
        <f t="shared" si="1"/>
        <v>0</v>
      </c>
      <c r="U20" s="468">
        <f t="shared" si="2"/>
        <v>0</v>
      </c>
      <c r="V20" s="468">
        <f t="shared" si="3"/>
        <v>630</v>
      </c>
    </row>
    <row r="21" spans="1:22" s="6" customFormat="1" ht="5.0999999999999996" customHeight="1" x14ac:dyDescent="0.2">
      <c r="A21" s="69"/>
      <c r="B21" s="48"/>
      <c r="C21" s="102"/>
      <c r="D21" s="91"/>
      <c r="E21" s="34"/>
      <c r="F21" s="41"/>
      <c r="G21" s="40"/>
      <c r="H21" s="41"/>
      <c r="I21" s="41"/>
      <c r="J21" s="58"/>
      <c r="K21" s="62"/>
      <c r="L21" s="483"/>
      <c r="M21" s="3"/>
      <c r="N21" s="243"/>
      <c r="S21" s="468">
        <f t="shared" si="0"/>
        <v>0</v>
      </c>
      <c r="T21" s="468">
        <f t="shared" si="1"/>
        <v>0</v>
      </c>
      <c r="U21" s="468">
        <f t="shared" si="2"/>
        <v>0</v>
      </c>
      <c r="V21" s="468">
        <f t="shared" si="3"/>
        <v>0</v>
      </c>
    </row>
    <row r="22" spans="1:22" s="6" customFormat="1" ht="19.5" customHeight="1" x14ac:dyDescent="0.2">
      <c r="A22" s="68">
        <v>4352</v>
      </c>
      <c r="B22" s="47" t="s">
        <v>44</v>
      </c>
      <c r="C22" s="33">
        <f>52+5+78+20+32+32</f>
        <v>219</v>
      </c>
      <c r="D22" s="91">
        <v>374.41</v>
      </c>
      <c r="E22" s="56">
        <f t="shared" ref="E22:E29" si="10">D22*C22</f>
        <v>81995.790000000008</v>
      </c>
      <c r="F22" s="41">
        <v>344</v>
      </c>
      <c r="G22" s="40">
        <v>84</v>
      </c>
      <c r="H22" s="41">
        <v>84</v>
      </c>
      <c r="I22" s="41">
        <f>84+42+22</f>
        <v>148</v>
      </c>
      <c r="J22" s="58">
        <v>28</v>
      </c>
      <c r="K22" s="456">
        <f t="shared" ref="K22:K29" si="11">G22+H22+I22+J22</f>
        <v>344</v>
      </c>
      <c r="L22" s="482">
        <f t="shared" ref="L22:L29" si="12">D22*K22</f>
        <v>128797.04000000001</v>
      </c>
      <c r="M22" s="64">
        <f t="shared" ref="M22:M29" si="13">F22-K22</f>
        <v>0</v>
      </c>
      <c r="N22" s="243">
        <f t="shared" ref="N22:N29" si="14">K22/C22</f>
        <v>1.5707762557077625</v>
      </c>
      <c r="S22" s="468">
        <f t="shared" si="0"/>
        <v>31450.440000000002</v>
      </c>
      <c r="T22" s="468">
        <f t="shared" si="1"/>
        <v>31450.440000000002</v>
      </c>
      <c r="U22" s="468">
        <f t="shared" si="2"/>
        <v>55412.68</v>
      </c>
      <c r="V22" s="468">
        <f t="shared" si="3"/>
        <v>10483.480000000001</v>
      </c>
    </row>
    <row r="23" spans="1:22" s="6" customFormat="1" ht="19.5" customHeight="1" x14ac:dyDescent="0.2">
      <c r="A23" s="68">
        <v>4351</v>
      </c>
      <c r="B23" s="35" t="s">
        <v>45</v>
      </c>
      <c r="C23" s="33">
        <f>6+186+8+6+32</f>
        <v>238</v>
      </c>
      <c r="D23" s="91">
        <v>343.51</v>
      </c>
      <c r="E23" s="56">
        <f t="shared" si="10"/>
        <v>81755.38</v>
      </c>
      <c r="F23" s="41">
        <v>272</v>
      </c>
      <c r="G23" s="40">
        <v>78</v>
      </c>
      <c r="H23" s="41">
        <v>41</v>
      </c>
      <c r="I23" s="41">
        <f>32+36</f>
        <v>68</v>
      </c>
      <c r="J23" s="58">
        <v>85</v>
      </c>
      <c r="K23" s="456">
        <f t="shared" si="11"/>
        <v>272</v>
      </c>
      <c r="L23" s="482">
        <f t="shared" si="12"/>
        <v>93434.72</v>
      </c>
      <c r="M23" s="64">
        <f t="shared" si="13"/>
        <v>0</v>
      </c>
      <c r="N23" s="243">
        <f t="shared" si="14"/>
        <v>1.1428571428571428</v>
      </c>
      <c r="S23" s="468">
        <f t="shared" si="0"/>
        <v>26793.78</v>
      </c>
      <c r="T23" s="468">
        <f t="shared" si="1"/>
        <v>14083.91</v>
      </c>
      <c r="U23" s="468">
        <f t="shared" si="2"/>
        <v>23358.68</v>
      </c>
      <c r="V23" s="468">
        <f t="shared" si="3"/>
        <v>29198.35</v>
      </c>
    </row>
    <row r="24" spans="1:22" s="6" customFormat="1" ht="19.5" customHeight="1" x14ac:dyDescent="0.2">
      <c r="A24" s="68">
        <v>4355</v>
      </c>
      <c r="B24" s="36" t="s">
        <v>46</v>
      </c>
      <c r="C24" s="33">
        <f>52</f>
        <v>52</v>
      </c>
      <c r="D24" s="91">
        <v>28.33</v>
      </c>
      <c r="E24" s="56">
        <f t="shared" si="10"/>
        <v>1473.1599999999999</v>
      </c>
      <c r="F24" s="41"/>
      <c r="G24" s="40"/>
      <c r="H24" s="41"/>
      <c r="I24" s="41"/>
      <c r="J24" s="58"/>
      <c r="K24" s="62">
        <f t="shared" si="11"/>
        <v>0</v>
      </c>
      <c r="L24" s="482">
        <f t="shared" si="12"/>
        <v>0</v>
      </c>
      <c r="M24" s="64">
        <f t="shared" si="13"/>
        <v>0</v>
      </c>
      <c r="N24" s="243">
        <f t="shared" si="14"/>
        <v>0</v>
      </c>
      <c r="S24" s="468">
        <f t="shared" si="0"/>
        <v>0</v>
      </c>
      <c r="T24" s="468">
        <f t="shared" si="1"/>
        <v>0</v>
      </c>
      <c r="U24" s="468">
        <f t="shared" si="2"/>
        <v>0</v>
      </c>
      <c r="V24" s="468">
        <f t="shared" si="3"/>
        <v>0</v>
      </c>
    </row>
    <row r="25" spans="1:22" s="6" customFormat="1" ht="19.5" customHeight="1" x14ac:dyDescent="0.2">
      <c r="A25" s="68">
        <v>4353</v>
      </c>
      <c r="B25" s="47" t="s">
        <v>47</v>
      </c>
      <c r="C25" s="33">
        <f>5+6+8+6</f>
        <v>25</v>
      </c>
      <c r="D25" s="91">
        <v>28.33</v>
      </c>
      <c r="E25" s="56">
        <f t="shared" si="10"/>
        <v>708.25</v>
      </c>
      <c r="F25" s="41">
        <v>15</v>
      </c>
      <c r="G25" s="40"/>
      <c r="H25" s="41"/>
      <c r="I25" s="41">
        <v>15</v>
      </c>
      <c r="J25" s="58"/>
      <c r="K25" s="456">
        <f t="shared" si="11"/>
        <v>15</v>
      </c>
      <c r="L25" s="482">
        <f t="shared" si="12"/>
        <v>424.95</v>
      </c>
      <c r="M25" s="64">
        <f t="shared" si="13"/>
        <v>0</v>
      </c>
      <c r="N25" s="243">
        <f t="shared" si="14"/>
        <v>0.6</v>
      </c>
      <c r="S25" s="468">
        <f t="shared" si="0"/>
        <v>0</v>
      </c>
      <c r="T25" s="468">
        <f t="shared" si="1"/>
        <v>0</v>
      </c>
      <c r="U25" s="468">
        <f t="shared" si="2"/>
        <v>424.95</v>
      </c>
      <c r="V25" s="468">
        <f t="shared" si="3"/>
        <v>0</v>
      </c>
    </row>
    <row r="26" spans="1:22" s="6" customFormat="1" ht="19.5" customHeight="1" x14ac:dyDescent="0.2">
      <c r="A26" s="68">
        <v>4354</v>
      </c>
      <c r="B26" s="35" t="s">
        <v>48</v>
      </c>
      <c r="C26" s="33">
        <f>52+5+6+186+78+8+6+20+32+32+32</f>
        <v>457</v>
      </c>
      <c r="D26" s="91">
        <v>24.21</v>
      </c>
      <c r="E26" s="56">
        <f t="shared" si="10"/>
        <v>11063.970000000001</v>
      </c>
      <c r="F26" s="41">
        <v>616</v>
      </c>
      <c r="G26" s="40">
        <f>78+84</f>
        <v>162</v>
      </c>
      <c r="H26" s="41">
        <v>125</v>
      </c>
      <c r="I26" s="41">
        <f>32+120+42+22</f>
        <v>216</v>
      </c>
      <c r="J26" s="58">
        <v>113</v>
      </c>
      <c r="K26" s="456">
        <f t="shared" si="11"/>
        <v>616</v>
      </c>
      <c r="L26" s="482">
        <f t="shared" si="12"/>
        <v>14913.36</v>
      </c>
      <c r="M26" s="64">
        <f t="shared" si="13"/>
        <v>0</v>
      </c>
      <c r="N26" s="243">
        <f t="shared" si="14"/>
        <v>1.3479212253829322</v>
      </c>
      <c r="S26" s="468">
        <f t="shared" si="0"/>
        <v>3922.02</v>
      </c>
      <c r="T26" s="468">
        <f t="shared" si="1"/>
        <v>3026.25</v>
      </c>
      <c r="U26" s="468">
        <f t="shared" si="2"/>
        <v>5229.3600000000006</v>
      </c>
      <c r="V26" s="468">
        <f t="shared" si="3"/>
        <v>2735.73</v>
      </c>
    </row>
    <row r="27" spans="1:22" s="6" customFormat="1" ht="19.5" customHeight="1" x14ac:dyDescent="0.2">
      <c r="A27" s="68">
        <v>4356</v>
      </c>
      <c r="B27" s="45" t="s">
        <v>49</v>
      </c>
      <c r="C27" s="33"/>
      <c r="D27" s="91">
        <v>48.93</v>
      </c>
      <c r="E27" s="56">
        <f t="shared" si="10"/>
        <v>0</v>
      </c>
      <c r="F27" s="41"/>
      <c r="G27" s="40"/>
      <c r="H27" s="41"/>
      <c r="I27" s="41"/>
      <c r="J27" s="58"/>
      <c r="K27" s="62">
        <f t="shared" si="11"/>
        <v>0</v>
      </c>
      <c r="L27" s="482">
        <f t="shared" si="12"/>
        <v>0</v>
      </c>
      <c r="M27" s="64">
        <f t="shared" si="13"/>
        <v>0</v>
      </c>
      <c r="N27" s="243" t="e">
        <f t="shared" si="14"/>
        <v>#DIV/0!</v>
      </c>
      <c r="S27" s="468">
        <f t="shared" si="0"/>
        <v>0</v>
      </c>
      <c r="T27" s="468">
        <f t="shared" si="1"/>
        <v>0</v>
      </c>
      <c r="U27" s="468">
        <f t="shared" si="2"/>
        <v>0</v>
      </c>
      <c r="V27" s="468">
        <f t="shared" si="3"/>
        <v>0</v>
      </c>
    </row>
    <row r="28" spans="1:22" s="6" customFormat="1" ht="19.5" customHeight="1" x14ac:dyDescent="0.2">
      <c r="A28" s="68">
        <v>4357</v>
      </c>
      <c r="B28" s="35" t="s">
        <v>82</v>
      </c>
      <c r="C28" s="33"/>
      <c r="D28" s="91">
        <v>29.87</v>
      </c>
      <c r="E28" s="56">
        <f t="shared" si="10"/>
        <v>0</v>
      </c>
      <c r="F28" s="41"/>
      <c r="G28" s="40"/>
      <c r="H28" s="41"/>
      <c r="I28" s="41"/>
      <c r="J28" s="58"/>
      <c r="K28" s="62">
        <f t="shared" si="11"/>
        <v>0</v>
      </c>
      <c r="L28" s="482">
        <f t="shared" si="12"/>
        <v>0</v>
      </c>
      <c r="M28" s="64">
        <f t="shared" si="13"/>
        <v>0</v>
      </c>
      <c r="N28" s="243" t="e">
        <f t="shared" si="14"/>
        <v>#DIV/0!</v>
      </c>
      <c r="S28" s="468">
        <f t="shared" si="0"/>
        <v>0</v>
      </c>
      <c r="T28" s="468">
        <f t="shared" si="1"/>
        <v>0</v>
      </c>
      <c r="U28" s="468">
        <f t="shared" si="2"/>
        <v>0</v>
      </c>
      <c r="V28" s="468">
        <f t="shared" si="3"/>
        <v>0</v>
      </c>
    </row>
    <row r="29" spans="1:22" s="6" customFormat="1" ht="19.5" customHeight="1" x14ac:dyDescent="0.2">
      <c r="A29" s="68" t="s">
        <v>747</v>
      </c>
      <c r="B29" s="36" t="s">
        <v>50</v>
      </c>
      <c r="C29" s="33">
        <f>6*2+186*2+8*2+6*2+32*2</f>
        <v>476</v>
      </c>
      <c r="D29" s="93">
        <v>2.06</v>
      </c>
      <c r="E29" s="56">
        <f t="shared" si="10"/>
        <v>980.56000000000006</v>
      </c>
      <c r="F29" s="41">
        <v>544</v>
      </c>
      <c r="G29" s="40">
        <v>156</v>
      </c>
      <c r="H29" s="41">
        <v>82</v>
      </c>
      <c r="I29" s="241">
        <f>64+72</f>
        <v>136</v>
      </c>
      <c r="J29" s="263">
        <v>170</v>
      </c>
      <c r="K29" s="62">
        <f t="shared" si="11"/>
        <v>544</v>
      </c>
      <c r="L29" s="482">
        <f t="shared" si="12"/>
        <v>1120.6400000000001</v>
      </c>
      <c r="M29" s="64">
        <f t="shared" si="13"/>
        <v>0</v>
      </c>
      <c r="N29" s="243">
        <f t="shared" si="14"/>
        <v>1.1428571428571428</v>
      </c>
      <c r="S29" s="468">
        <f t="shared" si="0"/>
        <v>321.36</v>
      </c>
      <c r="T29" s="468">
        <f t="shared" si="1"/>
        <v>168.92000000000002</v>
      </c>
      <c r="U29" s="468">
        <f t="shared" si="2"/>
        <v>280.16000000000003</v>
      </c>
      <c r="V29" s="468">
        <f t="shared" si="3"/>
        <v>350.2</v>
      </c>
    </row>
    <row r="30" spans="1:22" s="6" customFormat="1" ht="5.0999999999999996" customHeight="1" x14ac:dyDescent="0.2">
      <c r="A30" s="69"/>
      <c r="B30" s="49"/>
      <c r="C30" s="33"/>
      <c r="D30" s="93"/>
      <c r="E30" s="34"/>
      <c r="F30" s="41"/>
      <c r="G30" s="40"/>
      <c r="H30" s="41"/>
      <c r="I30" s="41"/>
      <c r="J30" s="58"/>
      <c r="K30" s="62"/>
      <c r="L30" s="483"/>
      <c r="M30" s="3"/>
      <c r="N30" s="243"/>
      <c r="S30" s="468">
        <f t="shared" si="0"/>
        <v>0</v>
      </c>
      <c r="T30" s="468">
        <f t="shared" si="1"/>
        <v>0</v>
      </c>
      <c r="U30" s="468">
        <f t="shared" si="2"/>
        <v>0</v>
      </c>
      <c r="V30" s="468">
        <f t="shared" si="3"/>
        <v>0</v>
      </c>
    </row>
    <row r="31" spans="1:22" s="6" customFormat="1" ht="19.5" customHeight="1" x14ac:dyDescent="0.2">
      <c r="A31" s="68">
        <v>4344</v>
      </c>
      <c r="B31" s="35" t="s">
        <v>51</v>
      </c>
      <c r="C31" s="33"/>
      <c r="D31" s="91">
        <v>447.54</v>
      </c>
      <c r="E31" s="56">
        <f>D31*C31</f>
        <v>0</v>
      </c>
      <c r="F31" s="41"/>
      <c r="G31" s="40"/>
      <c r="H31" s="41"/>
      <c r="I31" s="41"/>
      <c r="J31" s="58"/>
      <c r="K31" s="62">
        <f>G31+H31+I31+J31</f>
        <v>0</v>
      </c>
      <c r="L31" s="482">
        <f>D31*K31</f>
        <v>0</v>
      </c>
      <c r="M31" s="64">
        <f>F31-K31</f>
        <v>0</v>
      </c>
      <c r="N31" s="243" t="e">
        <f>K31/C31</f>
        <v>#DIV/0!</v>
      </c>
      <c r="S31" s="468">
        <f t="shared" si="0"/>
        <v>0</v>
      </c>
      <c r="T31" s="468">
        <f t="shared" si="1"/>
        <v>0</v>
      </c>
      <c r="U31" s="468">
        <f t="shared" si="2"/>
        <v>0</v>
      </c>
      <c r="V31" s="468">
        <f t="shared" si="3"/>
        <v>0</v>
      </c>
    </row>
    <row r="32" spans="1:22" s="6" customFormat="1" ht="19.5" customHeight="1" x14ac:dyDescent="0.2">
      <c r="A32" s="68">
        <v>4345</v>
      </c>
      <c r="B32" s="35" t="s">
        <v>52</v>
      </c>
      <c r="C32" s="33"/>
      <c r="D32" s="91">
        <v>20.09</v>
      </c>
      <c r="E32" s="56">
        <f>D32*C32</f>
        <v>0</v>
      </c>
      <c r="F32" s="41"/>
      <c r="G32" s="40"/>
      <c r="H32" s="41"/>
      <c r="I32" s="41"/>
      <c r="J32" s="58"/>
      <c r="K32" s="62">
        <f>G32+H32+I32+J32</f>
        <v>0</v>
      </c>
      <c r="L32" s="482">
        <f>D32*K32</f>
        <v>0</v>
      </c>
      <c r="M32" s="64">
        <f>F32-K32</f>
        <v>0</v>
      </c>
      <c r="N32" s="243" t="e">
        <f>K32/C32</f>
        <v>#DIV/0!</v>
      </c>
      <c r="S32" s="468">
        <f t="shared" si="0"/>
        <v>0</v>
      </c>
      <c r="T32" s="468">
        <f t="shared" si="1"/>
        <v>0</v>
      </c>
      <c r="U32" s="468">
        <f t="shared" si="2"/>
        <v>0</v>
      </c>
      <c r="V32" s="468">
        <f t="shared" si="3"/>
        <v>0</v>
      </c>
    </row>
    <row r="33" spans="1:22" s="6" customFormat="1" ht="19.5" customHeight="1" x14ac:dyDescent="0.2">
      <c r="A33" s="68">
        <v>4346</v>
      </c>
      <c r="B33" s="35" t="s">
        <v>53</v>
      </c>
      <c r="C33" s="33"/>
      <c r="D33" s="91">
        <v>20.09</v>
      </c>
      <c r="E33" s="56">
        <f>D33*C33</f>
        <v>0</v>
      </c>
      <c r="F33" s="41"/>
      <c r="G33" s="40"/>
      <c r="H33" s="41"/>
      <c r="I33" s="41"/>
      <c r="J33" s="58"/>
      <c r="K33" s="62">
        <f>G33+H33+I33+J33</f>
        <v>0</v>
      </c>
      <c r="L33" s="482">
        <f>D33*K33</f>
        <v>0</v>
      </c>
      <c r="M33" s="64">
        <f>F33-K33</f>
        <v>0</v>
      </c>
      <c r="N33" s="243" t="e">
        <f>K33/C33</f>
        <v>#DIV/0!</v>
      </c>
      <c r="S33" s="468">
        <f t="shared" si="0"/>
        <v>0</v>
      </c>
      <c r="T33" s="468">
        <f t="shared" si="1"/>
        <v>0</v>
      </c>
      <c r="U33" s="468">
        <f t="shared" si="2"/>
        <v>0</v>
      </c>
      <c r="V33" s="468">
        <f t="shared" si="3"/>
        <v>0</v>
      </c>
    </row>
    <row r="34" spans="1:22" s="6" customFormat="1" ht="19.5" customHeight="1" x14ac:dyDescent="0.2">
      <c r="A34" s="68">
        <v>4347</v>
      </c>
      <c r="B34" s="35" t="s">
        <v>81</v>
      </c>
      <c r="C34" s="33"/>
      <c r="D34" s="91">
        <v>51.5</v>
      </c>
      <c r="E34" s="56">
        <f>D34*C34</f>
        <v>0</v>
      </c>
      <c r="F34" s="40"/>
      <c r="G34" s="40"/>
      <c r="H34" s="41"/>
      <c r="I34" s="41"/>
      <c r="J34" s="58"/>
      <c r="K34" s="62">
        <f>G34+H34+I34+J34</f>
        <v>0</v>
      </c>
      <c r="L34" s="482">
        <f>D34*K34</f>
        <v>0</v>
      </c>
      <c r="M34" s="64">
        <f>F34-K34</f>
        <v>0</v>
      </c>
      <c r="N34" s="243" t="e">
        <f>K34/C34</f>
        <v>#DIV/0!</v>
      </c>
      <c r="S34" s="468">
        <f t="shared" si="0"/>
        <v>0</v>
      </c>
      <c r="T34" s="468">
        <f t="shared" si="1"/>
        <v>0</v>
      </c>
      <c r="U34" s="468">
        <f t="shared" si="2"/>
        <v>0</v>
      </c>
      <c r="V34" s="468">
        <f t="shared" si="3"/>
        <v>0</v>
      </c>
    </row>
    <row r="35" spans="1:22" s="6" customFormat="1" ht="19.5" customHeight="1" x14ac:dyDescent="0.2">
      <c r="A35" s="68">
        <v>4348</v>
      </c>
      <c r="B35" s="35" t="s">
        <v>54</v>
      </c>
      <c r="C35" s="33"/>
      <c r="D35" s="91">
        <v>59.74</v>
      </c>
      <c r="E35" s="56">
        <f>D35*C35</f>
        <v>0</v>
      </c>
      <c r="F35" s="40"/>
      <c r="G35" s="40"/>
      <c r="H35" s="41"/>
      <c r="I35" s="41"/>
      <c r="J35" s="58"/>
      <c r="K35" s="62">
        <f>G35+H35+I35+J35</f>
        <v>0</v>
      </c>
      <c r="L35" s="482">
        <f>D35*K35</f>
        <v>0</v>
      </c>
      <c r="M35" s="64">
        <f>F35-K35</f>
        <v>0</v>
      </c>
      <c r="N35" s="243" t="e">
        <f>K35/C35</f>
        <v>#DIV/0!</v>
      </c>
      <c r="S35" s="468">
        <f t="shared" si="0"/>
        <v>0</v>
      </c>
      <c r="T35" s="468">
        <f t="shared" si="1"/>
        <v>0</v>
      </c>
      <c r="U35" s="468">
        <f t="shared" si="2"/>
        <v>0</v>
      </c>
      <c r="V35" s="468">
        <f t="shared" si="3"/>
        <v>0</v>
      </c>
    </row>
    <row r="36" spans="1:22" s="6" customFormat="1" ht="0.75" customHeight="1" x14ac:dyDescent="0.2">
      <c r="A36" s="485"/>
      <c r="B36" s="486"/>
      <c r="C36" s="33"/>
      <c r="D36" s="91"/>
      <c r="E36" s="34"/>
      <c r="F36" s="41"/>
      <c r="G36" s="40"/>
      <c r="H36" s="41"/>
      <c r="I36" s="41"/>
      <c r="J36" s="58"/>
      <c r="K36" s="62"/>
      <c r="L36" s="487"/>
      <c r="M36" s="488"/>
      <c r="N36" s="243"/>
      <c r="S36" s="468">
        <f>G36*D36</f>
        <v>0</v>
      </c>
      <c r="T36" s="468">
        <f>H36*D36</f>
        <v>0</v>
      </c>
      <c r="U36" s="468">
        <f>I36*D36</f>
        <v>0</v>
      </c>
      <c r="V36" s="468">
        <f>J36*D36</f>
        <v>0</v>
      </c>
    </row>
    <row r="37" spans="1:22" s="6" customFormat="1" ht="20.100000000000001" customHeight="1" x14ac:dyDescent="0.2">
      <c r="A37" s="68">
        <v>4350</v>
      </c>
      <c r="B37" s="35" t="s">
        <v>80</v>
      </c>
      <c r="C37" s="33">
        <f>103+46+52+21+127+84+74</f>
        <v>507</v>
      </c>
      <c r="D37" s="91">
        <v>301.79000000000002</v>
      </c>
      <c r="E37" s="56">
        <f>D37*C37</f>
        <v>153007.53</v>
      </c>
      <c r="F37" s="40">
        <v>543</v>
      </c>
      <c r="G37" s="50">
        <v>125</v>
      </c>
      <c r="H37" s="41">
        <v>103</v>
      </c>
      <c r="I37" s="41">
        <f>101+51</f>
        <v>152</v>
      </c>
      <c r="J37" s="58">
        <f>79+84</f>
        <v>163</v>
      </c>
      <c r="K37" s="456">
        <f>G37+H37+I37+J37</f>
        <v>543</v>
      </c>
      <c r="L37" s="482">
        <f>D37*K37</f>
        <v>163871.97</v>
      </c>
      <c r="M37" s="64">
        <f>F37-K37</f>
        <v>0</v>
      </c>
      <c r="N37" s="243">
        <f>K37/C37</f>
        <v>1.0710059171597632</v>
      </c>
      <c r="S37" s="468">
        <f t="shared" si="0"/>
        <v>37723.75</v>
      </c>
      <c r="T37" s="468">
        <f t="shared" si="1"/>
        <v>31084.370000000003</v>
      </c>
      <c r="U37" s="468">
        <f t="shared" si="2"/>
        <v>45872.08</v>
      </c>
      <c r="V37" s="468">
        <f t="shared" si="3"/>
        <v>49191.770000000004</v>
      </c>
    </row>
    <row r="38" spans="1:22" s="6" customFormat="1" ht="5.0999999999999996" customHeight="1" x14ac:dyDescent="0.2">
      <c r="A38" s="69"/>
      <c r="B38" s="48"/>
      <c r="C38" s="33"/>
      <c r="D38" s="91"/>
      <c r="E38" s="34"/>
      <c r="F38" s="41"/>
      <c r="G38" s="40"/>
      <c r="H38" s="41"/>
      <c r="I38" s="41"/>
      <c r="J38" s="58"/>
      <c r="K38" s="62"/>
      <c r="L38" s="483"/>
      <c r="M38" s="3"/>
      <c r="N38" s="243"/>
      <c r="S38" s="468">
        <f t="shared" si="0"/>
        <v>0</v>
      </c>
      <c r="T38" s="468">
        <f t="shared" si="1"/>
        <v>0</v>
      </c>
      <c r="U38" s="468">
        <f t="shared" si="2"/>
        <v>0</v>
      </c>
      <c r="V38" s="468">
        <f t="shared" si="3"/>
        <v>0</v>
      </c>
    </row>
    <row r="39" spans="1:22" s="6" customFormat="1" ht="20.100000000000001" customHeight="1" x14ac:dyDescent="0.2">
      <c r="A39" s="68">
        <v>4328</v>
      </c>
      <c r="B39" s="35" t="s">
        <v>33</v>
      </c>
      <c r="C39" s="260"/>
      <c r="D39" s="91">
        <v>67.47</v>
      </c>
      <c r="E39" s="56">
        <f t="shared" ref="E39:E45" si="15">D39*C39</f>
        <v>0</v>
      </c>
      <c r="F39" s="41">
        <v>202</v>
      </c>
      <c r="G39" s="40"/>
      <c r="H39" s="41">
        <v>52</v>
      </c>
      <c r="I39" s="41">
        <v>100</v>
      </c>
      <c r="J39" s="6">
        <v>50</v>
      </c>
      <c r="K39" s="456">
        <f t="shared" ref="K39:K45" si="16">G39+H39+I39+J39</f>
        <v>202</v>
      </c>
      <c r="L39" s="482">
        <f t="shared" ref="L39:L45" si="17">D39*K39</f>
        <v>13628.94</v>
      </c>
      <c r="M39" s="64">
        <f t="shared" ref="M39:M45" si="18">F39-K39</f>
        <v>0</v>
      </c>
      <c r="N39" s="243" t="e">
        <f t="shared" ref="N39:N45" si="19">K39/C39</f>
        <v>#DIV/0!</v>
      </c>
      <c r="S39" s="468">
        <f t="shared" si="0"/>
        <v>0</v>
      </c>
      <c r="T39" s="468">
        <f t="shared" si="1"/>
        <v>3508.44</v>
      </c>
      <c r="U39" s="468">
        <f t="shared" si="2"/>
        <v>6747</v>
      </c>
      <c r="V39" s="468">
        <f t="shared" si="3"/>
        <v>3373.5</v>
      </c>
    </row>
    <row r="40" spans="1:22" s="6" customFormat="1" ht="20.100000000000001" customHeight="1" x14ac:dyDescent="0.2">
      <c r="A40" s="68">
        <v>4329</v>
      </c>
      <c r="B40" s="35" t="s">
        <v>32</v>
      </c>
      <c r="C40" s="33"/>
      <c r="D40" s="91">
        <v>32.96</v>
      </c>
      <c r="E40" s="56">
        <f t="shared" si="15"/>
        <v>0</v>
      </c>
      <c r="F40" s="41"/>
      <c r="G40" s="40"/>
      <c r="H40" s="41"/>
      <c r="I40" s="41"/>
      <c r="J40" s="58"/>
      <c r="K40" s="62">
        <f t="shared" si="16"/>
        <v>0</v>
      </c>
      <c r="L40" s="482">
        <f t="shared" si="17"/>
        <v>0</v>
      </c>
      <c r="M40" s="64">
        <f t="shared" si="18"/>
        <v>0</v>
      </c>
      <c r="N40" s="243" t="e">
        <f t="shared" si="19"/>
        <v>#DIV/0!</v>
      </c>
      <c r="S40" s="468">
        <f t="shared" si="0"/>
        <v>0</v>
      </c>
      <c r="T40" s="468">
        <f t="shared" si="1"/>
        <v>0</v>
      </c>
      <c r="U40" s="468">
        <f t="shared" si="2"/>
        <v>0</v>
      </c>
      <c r="V40" s="468">
        <f t="shared" si="3"/>
        <v>0</v>
      </c>
    </row>
    <row r="41" spans="1:22" s="6" customFormat="1" ht="20.100000000000001" customHeight="1" x14ac:dyDescent="0.2">
      <c r="A41" s="68">
        <v>4330</v>
      </c>
      <c r="B41" s="45" t="s">
        <v>79</v>
      </c>
      <c r="C41" s="37">
        <v>1020</v>
      </c>
      <c r="D41" s="91">
        <v>61.8</v>
      </c>
      <c r="E41" s="56">
        <f t="shared" si="15"/>
        <v>63036</v>
      </c>
      <c r="F41" s="41">
        <v>1200</v>
      </c>
      <c r="G41" s="42"/>
      <c r="H41" s="43">
        <f>400+400</f>
        <v>800</v>
      </c>
      <c r="I41" s="43">
        <v>400</v>
      </c>
      <c r="J41" s="59"/>
      <c r="K41" s="456">
        <f t="shared" si="16"/>
        <v>1200</v>
      </c>
      <c r="L41" s="482">
        <f t="shared" si="17"/>
        <v>74160</v>
      </c>
      <c r="M41" s="64">
        <f t="shared" si="18"/>
        <v>0</v>
      </c>
      <c r="N41" s="243">
        <f t="shared" si="19"/>
        <v>1.1764705882352942</v>
      </c>
      <c r="S41" s="468">
        <f t="shared" si="0"/>
        <v>0</v>
      </c>
      <c r="T41" s="468">
        <f t="shared" si="1"/>
        <v>49440</v>
      </c>
      <c r="U41" s="468">
        <f t="shared" si="2"/>
        <v>24720</v>
      </c>
      <c r="V41" s="468">
        <f t="shared" si="3"/>
        <v>0</v>
      </c>
    </row>
    <row r="42" spans="1:22" s="6" customFormat="1" ht="20.100000000000001" customHeight="1" x14ac:dyDescent="0.2">
      <c r="A42" s="68">
        <v>4331</v>
      </c>
      <c r="B42" s="35" t="s">
        <v>78</v>
      </c>
      <c r="C42" s="102"/>
      <c r="D42" s="91">
        <v>122.06</v>
      </c>
      <c r="E42" s="56">
        <f t="shared" si="15"/>
        <v>0</v>
      </c>
      <c r="F42" s="41"/>
      <c r="G42" s="40"/>
      <c r="H42" s="41"/>
      <c r="I42" s="41"/>
      <c r="J42" s="58"/>
      <c r="K42" s="62">
        <f t="shared" si="16"/>
        <v>0</v>
      </c>
      <c r="L42" s="482">
        <f t="shared" si="17"/>
        <v>0</v>
      </c>
      <c r="M42" s="64">
        <f t="shared" si="18"/>
        <v>0</v>
      </c>
      <c r="N42" s="243" t="e">
        <f t="shared" si="19"/>
        <v>#DIV/0!</v>
      </c>
      <c r="S42" s="468">
        <f t="shared" si="0"/>
        <v>0</v>
      </c>
      <c r="T42" s="468">
        <f t="shared" si="1"/>
        <v>0</v>
      </c>
      <c r="U42" s="468">
        <f t="shared" si="2"/>
        <v>0</v>
      </c>
      <c r="V42" s="468">
        <f t="shared" si="3"/>
        <v>0</v>
      </c>
    </row>
    <row r="43" spans="1:22" s="6" customFormat="1" ht="20.100000000000001" customHeight="1" x14ac:dyDescent="0.2">
      <c r="A43" s="68" t="s">
        <v>136</v>
      </c>
      <c r="B43" s="101" t="s">
        <v>128</v>
      </c>
      <c r="C43" s="252"/>
      <c r="D43" s="90">
        <v>114.85</v>
      </c>
      <c r="E43" s="56">
        <f t="shared" si="15"/>
        <v>0</v>
      </c>
      <c r="F43" s="267"/>
      <c r="G43" s="42"/>
      <c r="H43" s="43"/>
      <c r="I43" s="43"/>
      <c r="J43" s="59"/>
      <c r="K43" s="62">
        <f t="shared" si="16"/>
        <v>0</v>
      </c>
      <c r="L43" s="482">
        <f t="shared" si="17"/>
        <v>0</v>
      </c>
      <c r="M43" s="64">
        <f t="shared" si="18"/>
        <v>0</v>
      </c>
      <c r="N43" s="243" t="e">
        <f t="shared" si="19"/>
        <v>#DIV/0!</v>
      </c>
      <c r="S43" s="468">
        <f t="shared" si="0"/>
        <v>0</v>
      </c>
      <c r="T43" s="468">
        <f t="shared" si="1"/>
        <v>0</v>
      </c>
      <c r="U43" s="468">
        <f t="shared" si="2"/>
        <v>0</v>
      </c>
      <c r="V43" s="468">
        <f t="shared" si="3"/>
        <v>0</v>
      </c>
    </row>
    <row r="44" spans="1:22" s="6" customFormat="1" ht="20.100000000000001" customHeight="1" x14ac:dyDescent="0.2">
      <c r="A44" s="68">
        <v>4358</v>
      </c>
      <c r="B44" s="38" t="s">
        <v>77</v>
      </c>
      <c r="C44" s="253"/>
      <c r="D44" s="118">
        <v>13.39</v>
      </c>
      <c r="E44" s="56">
        <f t="shared" si="15"/>
        <v>0</v>
      </c>
      <c r="F44" s="267"/>
      <c r="G44" s="42"/>
      <c r="H44" s="43"/>
      <c r="I44" s="43"/>
      <c r="J44" s="59"/>
      <c r="K44" s="62">
        <f t="shared" si="16"/>
        <v>0</v>
      </c>
      <c r="L44" s="482">
        <f t="shared" si="17"/>
        <v>0</v>
      </c>
      <c r="M44" s="64">
        <f t="shared" si="18"/>
        <v>0</v>
      </c>
      <c r="N44" s="243" t="e">
        <f t="shared" si="19"/>
        <v>#DIV/0!</v>
      </c>
      <c r="S44" s="468">
        <f t="shared" si="0"/>
        <v>0</v>
      </c>
      <c r="T44" s="468">
        <f t="shared" si="1"/>
        <v>0</v>
      </c>
      <c r="U44" s="468">
        <f t="shared" si="2"/>
        <v>0</v>
      </c>
      <c r="V44" s="468">
        <f t="shared" si="3"/>
        <v>0</v>
      </c>
    </row>
    <row r="45" spans="1:22" s="6" customFormat="1" ht="20.100000000000001" customHeight="1" x14ac:dyDescent="0.2">
      <c r="A45" s="68">
        <v>4359</v>
      </c>
      <c r="B45" s="45" t="s">
        <v>76</v>
      </c>
      <c r="C45" s="46"/>
      <c r="D45" s="65">
        <v>23.69</v>
      </c>
      <c r="E45" s="56">
        <f t="shared" si="15"/>
        <v>0</v>
      </c>
      <c r="F45" s="41">
        <v>1064</v>
      </c>
      <c r="G45" s="42"/>
      <c r="H45" s="43"/>
      <c r="I45" s="43">
        <v>1064</v>
      </c>
      <c r="J45" s="59"/>
      <c r="K45" s="62">
        <f t="shared" si="16"/>
        <v>1064</v>
      </c>
      <c r="L45" s="482">
        <f t="shared" si="17"/>
        <v>25206.16</v>
      </c>
      <c r="M45" s="64">
        <f t="shared" si="18"/>
        <v>0</v>
      </c>
      <c r="N45" s="243" t="e">
        <f t="shared" si="19"/>
        <v>#DIV/0!</v>
      </c>
      <c r="S45" s="468">
        <f t="shared" si="0"/>
        <v>0</v>
      </c>
      <c r="T45" s="468">
        <f t="shared" si="1"/>
        <v>0</v>
      </c>
      <c r="U45" s="468">
        <f t="shared" si="2"/>
        <v>25206.16</v>
      </c>
      <c r="V45" s="468">
        <f t="shared" si="3"/>
        <v>0</v>
      </c>
    </row>
    <row r="46" spans="1:22" s="6" customFormat="1" ht="5.0999999999999996" customHeight="1" x14ac:dyDescent="0.2">
      <c r="A46" s="68"/>
      <c r="B46" s="100"/>
      <c r="C46" s="103"/>
      <c r="D46" s="94"/>
      <c r="E46" s="56"/>
      <c r="F46" s="41"/>
      <c r="G46" s="42"/>
      <c r="H46" s="43"/>
      <c r="I46" s="43"/>
      <c r="J46" s="59"/>
      <c r="K46" s="62"/>
      <c r="L46" s="482"/>
      <c r="M46" s="64"/>
      <c r="N46" s="243"/>
      <c r="S46" s="468">
        <f t="shared" si="0"/>
        <v>0</v>
      </c>
      <c r="T46" s="468">
        <f t="shared" si="1"/>
        <v>0</v>
      </c>
      <c r="U46" s="468">
        <f t="shared" si="2"/>
        <v>0</v>
      </c>
      <c r="V46" s="468">
        <f t="shared" si="3"/>
        <v>0</v>
      </c>
    </row>
    <row r="47" spans="1:22" s="6" customFormat="1" ht="19.5" customHeight="1" x14ac:dyDescent="0.2">
      <c r="A47" s="68">
        <v>4332</v>
      </c>
      <c r="B47" s="54" t="s">
        <v>144</v>
      </c>
      <c r="C47" s="103"/>
      <c r="D47" s="94">
        <v>3.81</v>
      </c>
      <c r="E47" s="56">
        <f t="shared" ref="E47:E54" si="20">D47*C47</f>
        <v>0</v>
      </c>
      <c r="F47" s="41">
        <v>1000</v>
      </c>
      <c r="G47" s="42"/>
      <c r="H47" s="43"/>
      <c r="I47" s="43">
        <v>1000</v>
      </c>
      <c r="J47" s="59"/>
      <c r="K47" s="456">
        <f t="shared" ref="K47:K54" si="21">G47+H47+I47+J47</f>
        <v>1000</v>
      </c>
      <c r="L47" s="482">
        <f t="shared" ref="L47:L54" si="22">D47*K47</f>
        <v>3810</v>
      </c>
      <c r="M47" s="64">
        <f t="shared" ref="M47:M54" si="23">F47-K47</f>
        <v>0</v>
      </c>
      <c r="N47" s="243" t="e">
        <f t="shared" ref="N47:N54" si="24">K47/C47</f>
        <v>#DIV/0!</v>
      </c>
      <c r="S47" s="468">
        <f t="shared" si="0"/>
        <v>0</v>
      </c>
      <c r="T47" s="468">
        <f t="shared" si="1"/>
        <v>0</v>
      </c>
      <c r="U47" s="468">
        <f t="shared" si="2"/>
        <v>3810</v>
      </c>
      <c r="V47" s="468">
        <f t="shared" si="3"/>
        <v>0</v>
      </c>
    </row>
    <row r="48" spans="1:22" s="6" customFormat="1" ht="19.149999999999999" customHeight="1" x14ac:dyDescent="0.2">
      <c r="A48" s="250">
        <v>4567</v>
      </c>
      <c r="B48" s="54" t="s">
        <v>143</v>
      </c>
      <c r="C48" s="103">
        <v>400</v>
      </c>
      <c r="D48" s="245">
        <v>19.78</v>
      </c>
      <c r="E48" s="56">
        <f t="shared" si="20"/>
        <v>7912</v>
      </c>
      <c r="F48" s="41">
        <v>400</v>
      </c>
      <c r="G48" s="42"/>
      <c r="H48" s="43">
        <v>400</v>
      </c>
      <c r="I48" s="43"/>
      <c r="J48" s="59"/>
      <c r="K48" s="456">
        <f t="shared" si="21"/>
        <v>400</v>
      </c>
      <c r="L48" s="482">
        <f t="shared" si="22"/>
        <v>7912</v>
      </c>
      <c r="M48" s="64">
        <f t="shared" si="23"/>
        <v>0</v>
      </c>
      <c r="N48" s="243">
        <f t="shared" si="24"/>
        <v>1</v>
      </c>
      <c r="S48" s="468">
        <f t="shared" si="0"/>
        <v>0</v>
      </c>
      <c r="T48" s="468">
        <f t="shared" si="1"/>
        <v>7912</v>
      </c>
      <c r="U48" s="468">
        <f t="shared" si="2"/>
        <v>0</v>
      </c>
      <c r="V48" s="468">
        <f t="shared" si="3"/>
        <v>0</v>
      </c>
    </row>
    <row r="49" spans="1:22" s="6" customFormat="1" ht="19.149999999999999" customHeight="1" x14ac:dyDescent="0.2">
      <c r="A49" s="250">
        <v>4563</v>
      </c>
      <c r="B49" s="54" t="s">
        <v>142</v>
      </c>
      <c r="C49" s="103">
        <v>400</v>
      </c>
      <c r="D49" s="245">
        <v>57.63</v>
      </c>
      <c r="E49" s="56">
        <f t="shared" si="20"/>
        <v>23052</v>
      </c>
      <c r="F49" s="41">
        <v>400</v>
      </c>
      <c r="G49" s="42"/>
      <c r="H49" s="43"/>
      <c r="I49" s="43">
        <v>400</v>
      </c>
      <c r="J49" s="59"/>
      <c r="K49" s="456">
        <f>J49+I49+H49+G49</f>
        <v>400</v>
      </c>
      <c r="L49" s="482">
        <f t="shared" si="22"/>
        <v>23052</v>
      </c>
      <c r="M49" s="64">
        <f t="shared" si="23"/>
        <v>0</v>
      </c>
      <c r="N49" s="243">
        <f t="shared" si="24"/>
        <v>1</v>
      </c>
      <c r="S49" s="468">
        <f t="shared" si="0"/>
        <v>0</v>
      </c>
      <c r="T49" s="468">
        <f t="shared" si="1"/>
        <v>0</v>
      </c>
      <c r="U49" s="468">
        <f t="shared" si="2"/>
        <v>23052</v>
      </c>
      <c r="V49" s="468">
        <f t="shared" si="3"/>
        <v>0</v>
      </c>
    </row>
    <row r="50" spans="1:22" s="6" customFormat="1" ht="19.149999999999999" customHeight="1" x14ac:dyDescent="0.2">
      <c r="A50" s="250">
        <v>4525</v>
      </c>
      <c r="B50" s="54" t="s">
        <v>141</v>
      </c>
      <c r="C50" s="103">
        <v>400</v>
      </c>
      <c r="D50" s="245">
        <v>116.95</v>
      </c>
      <c r="E50" s="56">
        <f t="shared" si="20"/>
        <v>46780</v>
      </c>
      <c r="F50" s="42">
        <v>400</v>
      </c>
      <c r="G50" s="42"/>
      <c r="H50" s="43">
        <v>400</v>
      </c>
      <c r="I50" s="43"/>
      <c r="J50" s="59"/>
      <c r="K50" s="456">
        <f t="shared" si="21"/>
        <v>400</v>
      </c>
      <c r="L50" s="482">
        <f t="shared" si="22"/>
        <v>46780</v>
      </c>
      <c r="M50" s="64">
        <f t="shared" si="23"/>
        <v>0</v>
      </c>
      <c r="N50" s="243">
        <f t="shared" si="24"/>
        <v>1</v>
      </c>
      <c r="S50" s="468">
        <f t="shared" si="0"/>
        <v>0</v>
      </c>
      <c r="T50" s="468">
        <f t="shared" si="1"/>
        <v>46780</v>
      </c>
      <c r="U50" s="468">
        <f t="shared" si="2"/>
        <v>0</v>
      </c>
      <c r="V50" s="468">
        <f t="shared" si="3"/>
        <v>0</v>
      </c>
    </row>
    <row r="51" spans="1:22" s="6" customFormat="1" ht="19.149999999999999" customHeight="1" x14ac:dyDescent="0.2">
      <c r="A51" s="250">
        <v>4526</v>
      </c>
      <c r="B51" s="54" t="s">
        <v>75</v>
      </c>
      <c r="C51" s="103">
        <v>200</v>
      </c>
      <c r="D51" s="245">
        <v>57.63</v>
      </c>
      <c r="E51" s="56">
        <f t="shared" si="20"/>
        <v>11526</v>
      </c>
      <c r="F51" s="42">
        <v>200</v>
      </c>
      <c r="G51" s="42"/>
      <c r="H51" s="43">
        <v>200</v>
      </c>
      <c r="I51" s="43"/>
      <c r="J51" s="264"/>
      <c r="K51" s="456">
        <f>G51+H51+I51+J51</f>
        <v>200</v>
      </c>
      <c r="L51" s="482">
        <f t="shared" si="22"/>
        <v>11526</v>
      </c>
      <c r="M51" s="64">
        <f t="shared" si="23"/>
        <v>0</v>
      </c>
      <c r="N51" s="243">
        <f t="shared" si="24"/>
        <v>1</v>
      </c>
      <c r="S51" s="468">
        <f t="shared" si="0"/>
        <v>0</v>
      </c>
      <c r="T51" s="468">
        <f t="shared" si="1"/>
        <v>11526</v>
      </c>
      <c r="U51" s="468">
        <f t="shared" si="2"/>
        <v>0</v>
      </c>
      <c r="V51" s="468">
        <f t="shared" si="3"/>
        <v>0</v>
      </c>
    </row>
    <row r="52" spans="1:22" s="6" customFormat="1" ht="19.149999999999999" customHeight="1" x14ac:dyDescent="0.2">
      <c r="A52" s="250">
        <v>4564</v>
      </c>
      <c r="B52" s="54" t="s">
        <v>145</v>
      </c>
      <c r="C52" s="103">
        <v>400</v>
      </c>
      <c r="D52" s="245">
        <v>55.93</v>
      </c>
      <c r="E52" s="56">
        <f t="shared" si="20"/>
        <v>22372</v>
      </c>
      <c r="F52" s="41">
        <v>400</v>
      </c>
      <c r="G52" s="42"/>
      <c r="H52" s="43"/>
      <c r="I52" s="43">
        <v>400</v>
      </c>
      <c r="J52" s="59"/>
      <c r="K52" s="456">
        <f t="shared" si="21"/>
        <v>400</v>
      </c>
      <c r="L52" s="482">
        <f t="shared" si="22"/>
        <v>22372</v>
      </c>
      <c r="M52" s="64">
        <f t="shared" si="23"/>
        <v>0</v>
      </c>
      <c r="N52" s="243">
        <f t="shared" si="24"/>
        <v>1</v>
      </c>
      <c r="S52" s="468">
        <f t="shared" si="0"/>
        <v>0</v>
      </c>
      <c r="T52" s="468">
        <f t="shared" si="1"/>
        <v>0</v>
      </c>
      <c r="U52" s="468">
        <f t="shared" si="2"/>
        <v>22372</v>
      </c>
      <c r="V52" s="468">
        <f t="shared" si="3"/>
        <v>0</v>
      </c>
    </row>
    <row r="53" spans="1:22" s="6" customFormat="1" ht="19.149999999999999" customHeight="1" x14ac:dyDescent="0.2">
      <c r="A53" s="250">
        <v>4566</v>
      </c>
      <c r="B53" s="54" t="s">
        <v>146</v>
      </c>
      <c r="C53" s="103">
        <v>400</v>
      </c>
      <c r="D53" s="245">
        <v>58.48</v>
      </c>
      <c r="E53" s="56">
        <f t="shared" si="20"/>
        <v>23392</v>
      </c>
      <c r="F53" s="41">
        <v>400</v>
      </c>
      <c r="G53" s="42"/>
      <c r="H53" s="43">
        <v>400</v>
      </c>
      <c r="I53" s="43"/>
      <c r="J53" s="59"/>
      <c r="K53" s="456">
        <f t="shared" si="21"/>
        <v>400</v>
      </c>
      <c r="L53" s="482">
        <f t="shared" si="22"/>
        <v>23392</v>
      </c>
      <c r="M53" s="64">
        <f t="shared" si="23"/>
        <v>0</v>
      </c>
      <c r="N53" s="243">
        <f t="shared" si="24"/>
        <v>1</v>
      </c>
      <c r="S53" s="468">
        <f t="shared" si="0"/>
        <v>0</v>
      </c>
      <c r="T53" s="468">
        <f t="shared" si="1"/>
        <v>23392</v>
      </c>
      <c r="U53" s="468">
        <f t="shared" si="2"/>
        <v>0</v>
      </c>
      <c r="V53" s="468">
        <f t="shared" si="3"/>
        <v>0</v>
      </c>
    </row>
    <row r="54" spans="1:22" s="6" customFormat="1" ht="19.149999999999999" customHeight="1" x14ac:dyDescent="0.2">
      <c r="A54" s="250">
        <v>4565</v>
      </c>
      <c r="B54" s="54" t="s">
        <v>74</v>
      </c>
      <c r="C54" s="103">
        <v>400</v>
      </c>
      <c r="D54" s="245">
        <v>116.39</v>
      </c>
      <c r="E54" s="266">
        <f t="shared" si="20"/>
        <v>46556</v>
      </c>
      <c r="F54" s="41">
        <v>400</v>
      </c>
      <c r="G54" s="42"/>
      <c r="H54" s="43">
        <v>400</v>
      </c>
      <c r="I54" s="43"/>
      <c r="J54" s="59"/>
      <c r="K54" s="456">
        <f t="shared" si="21"/>
        <v>400</v>
      </c>
      <c r="L54" s="482">
        <f t="shared" si="22"/>
        <v>46556</v>
      </c>
      <c r="M54" s="64">
        <f t="shared" si="23"/>
        <v>0</v>
      </c>
      <c r="N54" s="243">
        <f t="shared" si="24"/>
        <v>1</v>
      </c>
      <c r="S54" s="468">
        <f t="shared" si="0"/>
        <v>0</v>
      </c>
      <c r="T54" s="468">
        <f t="shared" si="1"/>
        <v>46556</v>
      </c>
      <c r="U54" s="468">
        <f t="shared" si="2"/>
        <v>0</v>
      </c>
      <c r="V54" s="468">
        <f t="shared" si="3"/>
        <v>0</v>
      </c>
    </row>
    <row r="55" spans="1:22" s="6" customFormat="1" ht="19.149999999999999" customHeight="1" x14ac:dyDescent="0.2">
      <c r="A55" s="250">
        <v>4561</v>
      </c>
      <c r="B55" s="54" t="s">
        <v>147</v>
      </c>
      <c r="C55" s="103"/>
      <c r="D55" s="245">
        <v>140.68</v>
      </c>
      <c r="E55" s="56">
        <f>D55*C55</f>
        <v>0</v>
      </c>
      <c r="F55" s="41"/>
      <c r="G55" s="42"/>
      <c r="H55" s="43"/>
      <c r="I55" s="43"/>
      <c r="J55" s="59"/>
      <c r="K55" s="62">
        <f>G55+H55+I55+J55</f>
        <v>0</v>
      </c>
      <c r="L55" s="482">
        <f>D55*K55</f>
        <v>0</v>
      </c>
      <c r="M55" s="64">
        <f>F55-K55</f>
        <v>0</v>
      </c>
      <c r="N55" s="243" t="e">
        <f>K55/C55</f>
        <v>#DIV/0!</v>
      </c>
      <c r="S55" s="468">
        <f t="shared" si="0"/>
        <v>0</v>
      </c>
      <c r="T55" s="468">
        <f t="shared" si="1"/>
        <v>0</v>
      </c>
      <c r="U55" s="468">
        <f t="shared" si="2"/>
        <v>0</v>
      </c>
      <c r="V55" s="468">
        <f t="shared" si="3"/>
        <v>0</v>
      </c>
    </row>
    <row r="56" spans="1:22" s="6" customFormat="1" ht="19.149999999999999" customHeight="1" x14ac:dyDescent="0.2">
      <c r="A56" s="250">
        <v>4562</v>
      </c>
      <c r="B56" s="54" t="s">
        <v>148</v>
      </c>
      <c r="C56" s="103"/>
      <c r="D56" s="245">
        <v>81.36</v>
      </c>
      <c r="E56" s="56">
        <f>D56*C56</f>
        <v>0</v>
      </c>
      <c r="F56" s="41"/>
      <c r="G56" s="42"/>
      <c r="H56" s="43"/>
      <c r="I56" s="43"/>
      <c r="J56" s="59"/>
      <c r="K56" s="62">
        <f>G56+H56+I56+J56</f>
        <v>0</v>
      </c>
      <c r="L56" s="482">
        <f>D56*K56</f>
        <v>0</v>
      </c>
      <c r="M56" s="64">
        <f>F56-K56</f>
        <v>0</v>
      </c>
      <c r="N56" s="243" t="e">
        <f>K56/C56</f>
        <v>#DIV/0!</v>
      </c>
      <c r="S56" s="468">
        <f t="shared" si="0"/>
        <v>0</v>
      </c>
      <c r="T56" s="468">
        <f t="shared" si="1"/>
        <v>0</v>
      </c>
      <c r="U56" s="468">
        <f t="shared" si="2"/>
        <v>0</v>
      </c>
      <c r="V56" s="468">
        <f t="shared" si="3"/>
        <v>0</v>
      </c>
    </row>
    <row r="57" spans="1:22" s="6" customFormat="1" ht="5.0999999999999996" customHeight="1" x14ac:dyDescent="0.2">
      <c r="A57" s="68"/>
      <c r="B57" s="45"/>
      <c r="C57" s="103"/>
      <c r="D57" s="95"/>
      <c r="E57" s="56"/>
      <c r="F57" s="41"/>
      <c r="G57" s="42"/>
      <c r="H57" s="43"/>
      <c r="I57" s="43"/>
      <c r="J57" s="59"/>
      <c r="K57" s="62"/>
      <c r="L57" s="482"/>
      <c r="M57" s="64"/>
      <c r="N57" s="243"/>
      <c r="S57" s="468">
        <f t="shared" si="0"/>
        <v>0</v>
      </c>
      <c r="T57" s="468">
        <f t="shared" si="1"/>
        <v>0</v>
      </c>
      <c r="U57" s="468">
        <f t="shared" si="2"/>
        <v>0</v>
      </c>
      <c r="V57" s="468">
        <f t="shared" si="3"/>
        <v>0</v>
      </c>
    </row>
    <row r="58" spans="1:22" s="6" customFormat="1" ht="19.149999999999999" customHeight="1" x14ac:dyDescent="0.2">
      <c r="A58" s="68">
        <v>4335</v>
      </c>
      <c r="B58" s="45" t="s">
        <v>64</v>
      </c>
      <c r="C58" s="103"/>
      <c r="D58" s="95">
        <v>25.24</v>
      </c>
      <c r="E58" s="56">
        <f>D58*C58</f>
        <v>0</v>
      </c>
      <c r="F58" s="41"/>
      <c r="G58" s="42"/>
      <c r="H58" s="43"/>
      <c r="I58" s="43"/>
      <c r="J58" s="59"/>
      <c r="K58" s="62">
        <f>G58+H58+I58+J58</f>
        <v>0</v>
      </c>
      <c r="L58" s="482">
        <f>D58*K58</f>
        <v>0</v>
      </c>
      <c r="M58" s="64">
        <f>F58-K58</f>
        <v>0</v>
      </c>
      <c r="N58" s="243" t="e">
        <f>K58/C58</f>
        <v>#DIV/0!</v>
      </c>
      <c r="S58" s="468">
        <f t="shared" si="0"/>
        <v>0</v>
      </c>
      <c r="T58" s="468">
        <f t="shared" si="1"/>
        <v>0</v>
      </c>
      <c r="U58" s="468">
        <f t="shared" si="2"/>
        <v>0</v>
      </c>
      <c r="V58" s="468">
        <f t="shared" si="3"/>
        <v>0</v>
      </c>
    </row>
    <row r="59" spans="1:22" s="6" customFormat="1" ht="19.149999999999999" customHeight="1" x14ac:dyDescent="0.2">
      <c r="A59" s="68">
        <v>4336</v>
      </c>
      <c r="B59" s="45" t="s">
        <v>65</v>
      </c>
      <c r="C59" s="103"/>
      <c r="D59" s="95">
        <v>20.6</v>
      </c>
      <c r="E59" s="56">
        <f>D59*C59</f>
        <v>0</v>
      </c>
      <c r="F59" s="41"/>
      <c r="G59" s="42"/>
      <c r="H59" s="43"/>
      <c r="I59" s="43"/>
      <c r="J59" s="59"/>
      <c r="K59" s="62">
        <f>G59+H59+I59+J59</f>
        <v>0</v>
      </c>
      <c r="L59" s="482">
        <f>D59*K59</f>
        <v>0</v>
      </c>
      <c r="M59" s="64">
        <f>F59-K59</f>
        <v>0</v>
      </c>
      <c r="N59" s="243" t="e">
        <f>K59/C59</f>
        <v>#DIV/0!</v>
      </c>
      <c r="S59" s="468">
        <f t="shared" si="0"/>
        <v>0</v>
      </c>
      <c r="T59" s="468">
        <f t="shared" si="1"/>
        <v>0</v>
      </c>
      <c r="U59" s="468">
        <f t="shared" si="2"/>
        <v>0</v>
      </c>
      <c r="V59" s="468">
        <f t="shared" si="3"/>
        <v>0</v>
      </c>
    </row>
    <row r="60" spans="1:22" s="6" customFormat="1" ht="19.149999999999999" customHeight="1" x14ac:dyDescent="0.2">
      <c r="A60" s="68">
        <v>4337</v>
      </c>
      <c r="B60" s="45" t="s">
        <v>89</v>
      </c>
      <c r="C60" s="103"/>
      <c r="D60" s="95">
        <v>9.3699999999999992</v>
      </c>
      <c r="E60" s="56">
        <f>D60*C60</f>
        <v>0</v>
      </c>
      <c r="F60" s="41"/>
      <c r="G60" s="42"/>
      <c r="H60" s="43"/>
      <c r="I60" s="43"/>
      <c r="J60" s="59"/>
      <c r="K60" s="62">
        <f>G60+H60+I60+J60</f>
        <v>0</v>
      </c>
      <c r="L60" s="482">
        <f>D60*K60</f>
        <v>0</v>
      </c>
      <c r="M60" s="64">
        <f>F60-K60</f>
        <v>0</v>
      </c>
      <c r="N60" s="243" t="e">
        <f>K60/C60</f>
        <v>#DIV/0!</v>
      </c>
      <c r="S60" s="468">
        <f t="shared" si="0"/>
        <v>0</v>
      </c>
      <c r="T60" s="468">
        <f t="shared" si="1"/>
        <v>0</v>
      </c>
      <c r="U60" s="468">
        <f t="shared" si="2"/>
        <v>0</v>
      </c>
      <c r="V60" s="468">
        <f t="shared" si="3"/>
        <v>0</v>
      </c>
    </row>
    <row r="61" spans="1:22" s="6" customFormat="1" ht="19.149999999999999" customHeight="1" x14ac:dyDescent="0.2">
      <c r="A61" s="68">
        <v>4338</v>
      </c>
      <c r="B61" s="45" t="s">
        <v>73</v>
      </c>
      <c r="C61" s="103"/>
      <c r="D61" s="95">
        <v>5.77</v>
      </c>
      <c r="E61" s="56">
        <f>D61*C61</f>
        <v>0</v>
      </c>
      <c r="F61" s="41"/>
      <c r="G61" s="42"/>
      <c r="H61" s="43"/>
      <c r="I61" s="43"/>
      <c r="J61" s="59"/>
      <c r="K61" s="62">
        <f>G61+H61+I61+J61</f>
        <v>0</v>
      </c>
      <c r="L61" s="482">
        <f>D61*K61</f>
        <v>0</v>
      </c>
      <c r="M61" s="64">
        <f>F61-K61</f>
        <v>0</v>
      </c>
      <c r="N61" s="243" t="e">
        <f>K61/C61</f>
        <v>#DIV/0!</v>
      </c>
      <c r="S61" s="468">
        <f t="shared" si="0"/>
        <v>0</v>
      </c>
      <c r="T61" s="468">
        <f t="shared" si="1"/>
        <v>0</v>
      </c>
      <c r="U61" s="468">
        <f t="shared" si="2"/>
        <v>0</v>
      </c>
      <c r="V61" s="468">
        <f t="shared" si="3"/>
        <v>0</v>
      </c>
    </row>
    <row r="62" spans="1:22" s="6" customFormat="1" ht="19.149999999999999" customHeight="1" x14ac:dyDescent="0.2">
      <c r="A62" s="68">
        <v>4339</v>
      </c>
      <c r="B62" s="45" t="s">
        <v>62</v>
      </c>
      <c r="C62" s="103"/>
      <c r="D62" s="95">
        <v>5.77</v>
      </c>
      <c r="E62" s="56">
        <f>D62*C62</f>
        <v>0</v>
      </c>
      <c r="F62" s="41"/>
      <c r="G62" s="42"/>
      <c r="H62" s="43"/>
      <c r="I62" s="43"/>
      <c r="J62" s="59"/>
      <c r="K62" s="62">
        <f>G62+H62+I62+J62</f>
        <v>0</v>
      </c>
      <c r="L62" s="482">
        <f>D62*K62</f>
        <v>0</v>
      </c>
      <c r="M62" s="64">
        <f>F62-K62</f>
        <v>0</v>
      </c>
      <c r="N62" s="243" t="e">
        <f>K62/C62</f>
        <v>#DIV/0!</v>
      </c>
      <c r="S62" s="468">
        <f t="shared" si="0"/>
        <v>0</v>
      </c>
      <c r="T62" s="468">
        <f t="shared" si="1"/>
        <v>0</v>
      </c>
      <c r="U62" s="468">
        <f t="shared" si="2"/>
        <v>0</v>
      </c>
      <c r="V62" s="468">
        <f t="shared" si="3"/>
        <v>0</v>
      </c>
    </row>
    <row r="63" spans="1:22" s="6" customFormat="1" ht="5.0999999999999996" customHeight="1" x14ac:dyDescent="0.2">
      <c r="A63" s="68"/>
      <c r="B63" s="45"/>
      <c r="C63" s="103"/>
      <c r="D63" s="96"/>
      <c r="E63" s="56"/>
      <c r="F63" s="41"/>
      <c r="G63" s="42"/>
      <c r="H63" s="43"/>
      <c r="I63" s="43"/>
      <c r="J63" s="59"/>
      <c r="K63" s="62"/>
      <c r="L63" s="482"/>
      <c r="M63" s="64"/>
      <c r="N63" s="243"/>
      <c r="S63" s="468">
        <f t="shared" si="0"/>
        <v>0</v>
      </c>
      <c r="T63" s="468">
        <f t="shared" si="1"/>
        <v>0</v>
      </c>
      <c r="U63" s="468">
        <f t="shared" si="2"/>
        <v>0</v>
      </c>
      <c r="V63" s="468">
        <f t="shared" si="3"/>
        <v>0</v>
      </c>
    </row>
    <row r="64" spans="1:22" s="6" customFormat="1" ht="19.149999999999999" customHeight="1" x14ac:dyDescent="0.2">
      <c r="A64" s="68">
        <v>4360</v>
      </c>
      <c r="B64" s="45" t="s">
        <v>35</v>
      </c>
      <c r="C64" s="103"/>
      <c r="D64" s="96">
        <v>20.6</v>
      </c>
      <c r="E64" s="56">
        <f t="shared" ref="E64:E71" si="25">D64*C64</f>
        <v>0</v>
      </c>
      <c r="F64" s="41"/>
      <c r="G64" s="42"/>
      <c r="H64" s="43"/>
      <c r="I64" s="43"/>
      <c r="J64" s="59"/>
      <c r="K64" s="62">
        <f t="shared" ref="K64:K70" si="26">G64+H64+I64+J64</f>
        <v>0</v>
      </c>
      <c r="L64" s="482">
        <f t="shared" ref="L64:L69" si="27">D64*K64</f>
        <v>0</v>
      </c>
      <c r="M64" s="64">
        <f t="shared" ref="M64:M71" si="28">F64-K64</f>
        <v>0</v>
      </c>
      <c r="N64" s="243" t="e">
        <f t="shared" ref="N64:N71" si="29">K64/C64</f>
        <v>#DIV/0!</v>
      </c>
      <c r="S64" s="468">
        <f t="shared" si="0"/>
        <v>0</v>
      </c>
      <c r="T64" s="468">
        <f t="shared" si="1"/>
        <v>0</v>
      </c>
      <c r="U64" s="468">
        <f t="shared" si="2"/>
        <v>0</v>
      </c>
      <c r="V64" s="468">
        <f t="shared" si="3"/>
        <v>0</v>
      </c>
    </row>
    <row r="65" spans="1:22" s="6" customFormat="1" ht="19.149999999999999" customHeight="1" x14ac:dyDescent="0.2">
      <c r="A65" s="68">
        <v>4361</v>
      </c>
      <c r="B65" s="45" t="s">
        <v>36</v>
      </c>
      <c r="C65" s="261"/>
      <c r="D65" s="96">
        <v>20.09</v>
      </c>
      <c r="E65" s="56">
        <f t="shared" si="25"/>
        <v>0</v>
      </c>
      <c r="F65" s="41"/>
      <c r="G65" s="42"/>
      <c r="H65" s="43"/>
      <c r="I65" s="43"/>
      <c r="J65" s="59"/>
      <c r="K65" s="62">
        <f t="shared" si="26"/>
        <v>0</v>
      </c>
      <c r="L65" s="482">
        <f t="shared" si="27"/>
        <v>0</v>
      </c>
      <c r="M65" s="64">
        <f t="shared" si="28"/>
        <v>0</v>
      </c>
      <c r="N65" s="243" t="e">
        <f t="shared" si="29"/>
        <v>#DIV/0!</v>
      </c>
      <c r="S65" s="468">
        <f t="shared" si="0"/>
        <v>0</v>
      </c>
      <c r="T65" s="468">
        <f t="shared" si="1"/>
        <v>0</v>
      </c>
      <c r="U65" s="468">
        <f t="shared" si="2"/>
        <v>0</v>
      </c>
      <c r="V65" s="468">
        <f t="shared" si="3"/>
        <v>0</v>
      </c>
    </row>
    <row r="66" spans="1:22" s="6" customFormat="1" ht="19.149999999999999" customHeight="1" x14ac:dyDescent="0.2">
      <c r="A66" s="68">
        <v>4362</v>
      </c>
      <c r="B66" s="45" t="s">
        <v>37</v>
      </c>
      <c r="C66" s="261"/>
      <c r="D66" s="96">
        <v>20.09</v>
      </c>
      <c r="E66" s="56">
        <f t="shared" si="25"/>
        <v>0</v>
      </c>
      <c r="F66" s="41"/>
      <c r="G66" s="42"/>
      <c r="H66" s="43"/>
      <c r="I66" s="43"/>
      <c r="J66" s="59"/>
      <c r="K66" s="62">
        <f t="shared" si="26"/>
        <v>0</v>
      </c>
      <c r="L66" s="482">
        <f t="shared" si="27"/>
        <v>0</v>
      </c>
      <c r="M66" s="64">
        <f t="shared" si="28"/>
        <v>0</v>
      </c>
      <c r="N66" s="243" t="e">
        <f t="shared" si="29"/>
        <v>#DIV/0!</v>
      </c>
      <c r="S66" s="468">
        <f t="shared" si="0"/>
        <v>0</v>
      </c>
      <c r="T66" s="468">
        <f t="shared" si="1"/>
        <v>0</v>
      </c>
      <c r="U66" s="468">
        <f t="shared" si="2"/>
        <v>0</v>
      </c>
      <c r="V66" s="468">
        <f t="shared" si="3"/>
        <v>0</v>
      </c>
    </row>
    <row r="67" spans="1:22" s="6" customFormat="1" ht="19.149999999999999" customHeight="1" x14ac:dyDescent="0.2">
      <c r="A67" s="68">
        <v>4363</v>
      </c>
      <c r="B67" s="45" t="s">
        <v>38</v>
      </c>
      <c r="C67" s="103"/>
      <c r="D67" s="96">
        <v>20.09</v>
      </c>
      <c r="E67" s="56">
        <f t="shared" si="25"/>
        <v>0</v>
      </c>
      <c r="F67" s="41"/>
      <c r="G67" s="42"/>
      <c r="H67" s="235"/>
      <c r="I67" s="43"/>
      <c r="J67" s="59"/>
      <c r="K67" s="62">
        <f t="shared" si="26"/>
        <v>0</v>
      </c>
      <c r="L67" s="482">
        <f t="shared" si="27"/>
        <v>0</v>
      </c>
      <c r="M67" s="64">
        <f t="shared" si="28"/>
        <v>0</v>
      </c>
      <c r="N67" s="243" t="e">
        <f t="shared" si="29"/>
        <v>#DIV/0!</v>
      </c>
      <c r="S67" s="468">
        <f t="shared" si="0"/>
        <v>0</v>
      </c>
      <c r="T67" s="468">
        <f t="shared" si="1"/>
        <v>0</v>
      </c>
      <c r="U67" s="468">
        <f t="shared" si="2"/>
        <v>0</v>
      </c>
      <c r="V67" s="468">
        <f t="shared" si="3"/>
        <v>0</v>
      </c>
    </row>
    <row r="68" spans="1:22" s="6" customFormat="1" ht="19.149999999999999" customHeight="1" x14ac:dyDescent="0.2">
      <c r="A68" s="68">
        <v>4364</v>
      </c>
      <c r="B68" s="45" t="s">
        <v>39</v>
      </c>
      <c r="C68" s="103"/>
      <c r="D68" s="96">
        <v>20.09</v>
      </c>
      <c r="E68" s="56">
        <f t="shared" si="25"/>
        <v>0</v>
      </c>
      <c r="F68" s="267"/>
      <c r="G68" s="42"/>
      <c r="H68" s="43"/>
      <c r="I68" s="43"/>
      <c r="J68" s="59"/>
      <c r="K68" s="62">
        <f>G68+H68+I68+J68</f>
        <v>0</v>
      </c>
      <c r="L68" s="482">
        <f t="shared" si="27"/>
        <v>0</v>
      </c>
      <c r="M68" s="64">
        <f t="shared" si="28"/>
        <v>0</v>
      </c>
      <c r="N68" s="243" t="e">
        <f t="shared" si="29"/>
        <v>#DIV/0!</v>
      </c>
      <c r="S68" s="468">
        <f t="shared" si="0"/>
        <v>0</v>
      </c>
      <c r="T68" s="468">
        <f t="shared" si="1"/>
        <v>0</v>
      </c>
      <c r="U68" s="468">
        <f t="shared" si="2"/>
        <v>0</v>
      </c>
      <c r="V68" s="468">
        <f t="shared" si="3"/>
        <v>0</v>
      </c>
    </row>
    <row r="69" spans="1:22" s="6" customFormat="1" ht="19.149999999999999" customHeight="1" x14ac:dyDescent="0.2">
      <c r="A69" s="68">
        <v>4366</v>
      </c>
      <c r="B69" s="45" t="s">
        <v>58</v>
      </c>
      <c r="C69" s="261"/>
      <c r="D69" s="96">
        <v>20.09</v>
      </c>
      <c r="E69" s="56">
        <f t="shared" si="25"/>
        <v>0</v>
      </c>
      <c r="F69" s="267"/>
      <c r="G69" s="42"/>
      <c r="H69" s="43"/>
      <c r="I69" s="43"/>
      <c r="J69" s="59"/>
      <c r="K69" s="62">
        <f t="shared" si="26"/>
        <v>0</v>
      </c>
      <c r="L69" s="482">
        <f t="shared" si="27"/>
        <v>0</v>
      </c>
      <c r="M69" s="64">
        <f t="shared" si="28"/>
        <v>0</v>
      </c>
      <c r="N69" s="243" t="e">
        <f t="shared" si="29"/>
        <v>#DIV/0!</v>
      </c>
      <c r="S69" s="468">
        <f t="shared" si="0"/>
        <v>0</v>
      </c>
      <c r="T69" s="468">
        <f t="shared" si="1"/>
        <v>0</v>
      </c>
      <c r="U69" s="468">
        <f t="shared" si="2"/>
        <v>0</v>
      </c>
      <c r="V69" s="468">
        <f t="shared" si="3"/>
        <v>0</v>
      </c>
    </row>
    <row r="70" spans="1:22" s="6" customFormat="1" ht="20.100000000000001" customHeight="1" x14ac:dyDescent="0.2">
      <c r="A70" s="68">
        <v>4367</v>
      </c>
      <c r="B70" s="45" t="s">
        <v>123</v>
      </c>
      <c r="C70" s="262"/>
      <c r="D70" s="90">
        <v>20.09</v>
      </c>
      <c r="E70" s="56">
        <f t="shared" si="25"/>
        <v>0</v>
      </c>
      <c r="F70" s="267">
        <v>300</v>
      </c>
      <c r="G70" s="42">
        <v>300</v>
      </c>
      <c r="H70" s="43"/>
      <c r="I70" s="43"/>
      <c r="J70" s="59"/>
      <c r="K70" s="62">
        <f t="shared" si="26"/>
        <v>300</v>
      </c>
      <c r="L70" s="482">
        <f>D70*K70</f>
        <v>6027</v>
      </c>
      <c r="M70" s="64">
        <f t="shared" si="28"/>
        <v>0</v>
      </c>
      <c r="N70" s="243" t="e">
        <f t="shared" si="29"/>
        <v>#DIV/0!</v>
      </c>
      <c r="S70" s="468">
        <f t="shared" si="0"/>
        <v>6027</v>
      </c>
      <c r="T70" s="468">
        <f t="shared" si="1"/>
        <v>0</v>
      </c>
      <c r="U70" s="468">
        <f t="shared" si="2"/>
        <v>0</v>
      </c>
      <c r="V70" s="468">
        <f t="shared" si="3"/>
        <v>0</v>
      </c>
    </row>
    <row r="71" spans="1:22" s="6" customFormat="1" ht="20.100000000000001" customHeight="1" x14ac:dyDescent="0.2">
      <c r="A71" s="68">
        <v>4365</v>
      </c>
      <c r="B71" s="45" t="s">
        <v>124</v>
      </c>
      <c r="C71" s="261"/>
      <c r="D71" s="118">
        <v>21.12</v>
      </c>
      <c r="E71" s="56">
        <f t="shared" si="25"/>
        <v>0</v>
      </c>
      <c r="F71" s="267">
        <v>112</v>
      </c>
      <c r="G71" s="42"/>
      <c r="H71" s="43"/>
      <c r="I71" s="43">
        <v>112</v>
      </c>
      <c r="J71" s="59"/>
      <c r="K71" s="316">
        <f>G71+H71+I71+J71</f>
        <v>112</v>
      </c>
      <c r="L71" s="482">
        <f>D71*K71</f>
        <v>2365.44</v>
      </c>
      <c r="M71" s="64">
        <f t="shared" si="28"/>
        <v>0</v>
      </c>
      <c r="N71" s="243" t="e">
        <f t="shared" si="29"/>
        <v>#DIV/0!</v>
      </c>
      <c r="S71" s="468">
        <f t="shared" si="0"/>
        <v>0</v>
      </c>
      <c r="T71" s="468">
        <f t="shared" si="1"/>
        <v>0</v>
      </c>
      <c r="U71" s="468">
        <f t="shared" si="2"/>
        <v>2365.44</v>
      </c>
      <c r="V71" s="468">
        <f t="shared" si="3"/>
        <v>0</v>
      </c>
    </row>
    <row r="72" spans="1:22" s="6" customFormat="1" ht="5.0999999999999996" customHeight="1" x14ac:dyDescent="0.2">
      <c r="A72" s="68"/>
      <c r="B72" s="45"/>
      <c r="C72" s="103"/>
      <c r="D72" s="96"/>
      <c r="E72" s="56"/>
      <c r="F72" s="41"/>
      <c r="G72" s="42"/>
      <c r="H72" s="43"/>
      <c r="I72" s="43"/>
      <c r="J72" s="59"/>
      <c r="K72" s="62"/>
      <c r="L72" s="482"/>
      <c r="M72" s="64"/>
      <c r="N72" s="243"/>
      <c r="S72" s="468">
        <f t="shared" ref="S72:S94" si="30">G72*D72</f>
        <v>0</v>
      </c>
      <c r="T72" s="468">
        <f t="shared" ref="T72:T94" si="31">H72*D72</f>
        <v>0</v>
      </c>
      <c r="U72" s="468">
        <f t="shared" ref="U72:U94" si="32">I72*D72</f>
        <v>0</v>
      </c>
      <c r="V72" s="468">
        <f t="shared" ref="V72:V94" si="33">J72*D72</f>
        <v>0</v>
      </c>
    </row>
    <row r="73" spans="1:22" s="6" customFormat="1" ht="20.100000000000001" customHeight="1" x14ac:dyDescent="0.2">
      <c r="A73" s="68">
        <v>4333</v>
      </c>
      <c r="B73" s="45" t="s">
        <v>87</v>
      </c>
      <c r="C73" s="103">
        <v>150</v>
      </c>
      <c r="D73" s="118">
        <v>382.85</v>
      </c>
      <c r="E73" s="56">
        <f>D73*C73</f>
        <v>57427.5</v>
      </c>
      <c r="F73" s="41">
        <v>105</v>
      </c>
      <c r="G73" s="42"/>
      <c r="H73" s="43"/>
      <c r="I73" s="43"/>
      <c r="J73" s="59">
        <v>105</v>
      </c>
      <c r="K73" s="456">
        <f>G73+H73+I73+J73</f>
        <v>105</v>
      </c>
      <c r="L73" s="482">
        <f>D73*K73</f>
        <v>40199.25</v>
      </c>
      <c r="M73" s="64">
        <f>F73-K73</f>
        <v>0</v>
      </c>
      <c r="N73" s="243">
        <f>K73/C73</f>
        <v>0.7</v>
      </c>
      <c r="S73" s="468">
        <f t="shared" si="30"/>
        <v>0</v>
      </c>
      <c r="T73" s="468">
        <f t="shared" si="31"/>
        <v>0</v>
      </c>
      <c r="U73" s="468">
        <f t="shared" si="32"/>
        <v>0</v>
      </c>
      <c r="V73" s="468">
        <f t="shared" si="33"/>
        <v>40199.25</v>
      </c>
    </row>
    <row r="74" spans="1:22" s="6" customFormat="1" ht="20.100000000000001" customHeight="1" x14ac:dyDescent="0.2">
      <c r="A74" s="68">
        <v>4334</v>
      </c>
      <c r="B74" s="38" t="s">
        <v>88</v>
      </c>
      <c r="C74" s="103">
        <v>150</v>
      </c>
      <c r="D74" s="90">
        <v>413.91</v>
      </c>
      <c r="E74" s="56">
        <f>D74*C74</f>
        <v>62086.500000000007</v>
      </c>
      <c r="F74" s="41">
        <v>105</v>
      </c>
      <c r="G74" s="42"/>
      <c r="H74" s="43"/>
      <c r="I74" s="43"/>
      <c r="J74" s="59">
        <v>105</v>
      </c>
      <c r="K74" s="456">
        <f>G74+H74+I74+J74</f>
        <v>105</v>
      </c>
      <c r="L74" s="482">
        <f>D74*K74</f>
        <v>43460.55</v>
      </c>
      <c r="M74" s="64">
        <f>F74-K74</f>
        <v>0</v>
      </c>
      <c r="N74" s="243">
        <f>K74/C74</f>
        <v>0.7</v>
      </c>
      <c r="S74" s="468">
        <f t="shared" si="30"/>
        <v>0</v>
      </c>
      <c r="T74" s="468">
        <f t="shared" si="31"/>
        <v>0</v>
      </c>
      <c r="U74" s="468">
        <f t="shared" si="32"/>
        <v>0</v>
      </c>
      <c r="V74" s="468">
        <f t="shared" si="33"/>
        <v>43460.55</v>
      </c>
    </row>
    <row r="75" spans="1:22" s="6" customFormat="1" ht="5.0999999999999996" customHeight="1" x14ac:dyDescent="0.2">
      <c r="A75" s="68"/>
      <c r="B75" s="45"/>
      <c r="C75" s="103"/>
      <c r="D75" s="96"/>
      <c r="E75" s="56"/>
      <c r="F75" s="41"/>
      <c r="G75" s="42"/>
      <c r="H75" s="43"/>
      <c r="I75" s="43"/>
      <c r="J75" s="59"/>
      <c r="K75" s="62"/>
      <c r="L75" s="482"/>
      <c r="M75" s="64"/>
      <c r="N75" s="243"/>
      <c r="S75" s="468">
        <f t="shared" si="30"/>
        <v>0</v>
      </c>
      <c r="T75" s="468">
        <f t="shared" si="31"/>
        <v>0</v>
      </c>
      <c r="U75" s="468">
        <f t="shared" si="32"/>
        <v>0</v>
      </c>
      <c r="V75" s="468">
        <f t="shared" si="33"/>
        <v>0</v>
      </c>
    </row>
    <row r="76" spans="1:22" s="6" customFormat="1" ht="20.100000000000001" customHeight="1" x14ac:dyDescent="0.2">
      <c r="A76" s="68">
        <v>4389</v>
      </c>
      <c r="B76" s="45" t="s">
        <v>135</v>
      </c>
      <c r="C76" s="103"/>
      <c r="D76" s="118">
        <v>328.06</v>
      </c>
      <c r="E76" s="56">
        <f t="shared" ref="E76:E93" si="34">D76*C76</f>
        <v>0</v>
      </c>
      <c r="F76" s="41"/>
      <c r="G76" s="42"/>
      <c r="H76" s="43"/>
      <c r="I76" s="43"/>
      <c r="J76" s="59"/>
      <c r="K76" s="62">
        <f t="shared" ref="K76:K93" si="35">G76+H76+I76+J76</f>
        <v>0</v>
      </c>
      <c r="L76" s="482">
        <f t="shared" ref="L76:L90" si="36">D76*K76</f>
        <v>0</v>
      </c>
      <c r="M76" s="64">
        <f t="shared" ref="M76:M93" si="37">F76-K76</f>
        <v>0</v>
      </c>
      <c r="N76" s="243" t="e">
        <f t="shared" ref="N76:N93" si="38">K76/C76</f>
        <v>#DIV/0!</v>
      </c>
      <c r="S76" s="468">
        <f t="shared" si="30"/>
        <v>0</v>
      </c>
      <c r="T76" s="468">
        <f t="shared" si="31"/>
        <v>0</v>
      </c>
      <c r="U76" s="468">
        <f t="shared" si="32"/>
        <v>0</v>
      </c>
      <c r="V76" s="468">
        <f t="shared" si="33"/>
        <v>0</v>
      </c>
    </row>
    <row r="77" spans="1:22" s="6" customFormat="1" ht="20.100000000000001" customHeight="1" x14ac:dyDescent="0.2">
      <c r="A77" s="68">
        <v>4390</v>
      </c>
      <c r="B77" s="244" t="s">
        <v>137</v>
      </c>
      <c r="C77" s="46"/>
      <c r="D77" s="118">
        <v>358.96</v>
      </c>
      <c r="E77" s="56">
        <f t="shared" si="34"/>
        <v>0</v>
      </c>
      <c r="F77" s="41"/>
      <c r="G77" s="42"/>
      <c r="H77" s="43"/>
      <c r="I77" s="43"/>
      <c r="J77" s="59"/>
      <c r="K77" s="62">
        <f t="shared" si="35"/>
        <v>0</v>
      </c>
      <c r="L77" s="482">
        <f t="shared" si="36"/>
        <v>0</v>
      </c>
      <c r="M77" s="64">
        <f t="shared" si="37"/>
        <v>0</v>
      </c>
      <c r="N77" s="243" t="e">
        <f t="shared" si="38"/>
        <v>#DIV/0!</v>
      </c>
      <c r="S77" s="468">
        <f t="shared" si="30"/>
        <v>0</v>
      </c>
      <c r="T77" s="468">
        <f t="shared" si="31"/>
        <v>0</v>
      </c>
      <c r="U77" s="468">
        <f t="shared" si="32"/>
        <v>0</v>
      </c>
      <c r="V77" s="468">
        <f t="shared" si="33"/>
        <v>0</v>
      </c>
    </row>
    <row r="78" spans="1:22" s="6" customFormat="1" ht="20.100000000000001" customHeight="1" x14ac:dyDescent="0.2">
      <c r="A78" s="68" t="s">
        <v>346</v>
      </c>
      <c r="B78" s="362" t="s">
        <v>347</v>
      </c>
      <c r="C78" s="46"/>
      <c r="D78" s="118">
        <v>433</v>
      </c>
      <c r="E78" s="56">
        <f t="shared" si="34"/>
        <v>0</v>
      </c>
      <c r="F78" s="41"/>
      <c r="G78" s="42"/>
      <c r="H78" s="43"/>
      <c r="I78" s="43"/>
      <c r="J78" s="59"/>
      <c r="K78" s="62">
        <f t="shared" si="35"/>
        <v>0</v>
      </c>
      <c r="L78" s="482">
        <f t="shared" si="36"/>
        <v>0</v>
      </c>
      <c r="M78" s="64">
        <f t="shared" si="37"/>
        <v>0</v>
      </c>
      <c r="N78" s="243" t="e">
        <f t="shared" si="38"/>
        <v>#DIV/0!</v>
      </c>
      <c r="S78" s="468">
        <f t="shared" si="30"/>
        <v>0</v>
      </c>
      <c r="T78" s="468">
        <f t="shared" si="31"/>
        <v>0</v>
      </c>
      <c r="U78" s="468">
        <f t="shared" si="32"/>
        <v>0</v>
      </c>
      <c r="V78" s="468">
        <f t="shared" si="33"/>
        <v>0</v>
      </c>
    </row>
    <row r="79" spans="1:22" s="6" customFormat="1" ht="20.100000000000001" customHeight="1" x14ac:dyDescent="0.2">
      <c r="A79" s="68" t="s">
        <v>149</v>
      </c>
      <c r="B79" s="244" t="s">
        <v>348</v>
      </c>
      <c r="C79" s="46"/>
      <c r="D79" s="118">
        <v>55</v>
      </c>
      <c r="E79" s="56">
        <f t="shared" si="34"/>
        <v>0</v>
      </c>
      <c r="F79" s="267"/>
      <c r="G79" s="42"/>
      <c r="H79" s="43"/>
      <c r="I79" s="43"/>
      <c r="J79" s="59"/>
      <c r="K79" s="62">
        <f t="shared" si="35"/>
        <v>0</v>
      </c>
      <c r="L79" s="482">
        <f t="shared" si="36"/>
        <v>0</v>
      </c>
      <c r="M79" s="64">
        <f t="shared" si="37"/>
        <v>0</v>
      </c>
      <c r="N79" s="243" t="e">
        <f t="shared" si="38"/>
        <v>#DIV/0!</v>
      </c>
      <c r="S79" s="468">
        <f t="shared" si="30"/>
        <v>0</v>
      </c>
      <c r="T79" s="468">
        <f t="shared" si="31"/>
        <v>0</v>
      </c>
      <c r="U79" s="468">
        <f t="shared" si="32"/>
        <v>0</v>
      </c>
      <c r="V79" s="468">
        <f t="shared" si="33"/>
        <v>0</v>
      </c>
    </row>
    <row r="80" spans="1:22" s="6" customFormat="1" ht="20.100000000000001" customHeight="1" x14ac:dyDescent="0.2">
      <c r="A80" s="68" t="s">
        <v>154</v>
      </c>
      <c r="B80" s="443" t="s">
        <v>604</v>
      </c>
      <c r="C80" s="46"/>
      <c r="D80" s="444">
        <v>105.58</v>
      </c>
      <c r="E80" s="56">
        <f>D80*C80</f>
        <v>0</v>
      </c>
      <c r="F80" s="267">
        <v>300</v>
      </c>
      <c r="G80" s="42">
        <v>300</v>
      </c>
      <c r="H80" s="43"/>
      <c r="I80" s="43"/>
      <c r="J80" s="59"/>
      <c r="K80" s="62">
        <f>G80+H80+I80+J80</f>
        <v>300</v>
      </c>
      <c r="L80" s="482">
        <f>D80*K80</f>
        <v>31674</v>
      </c>
      <c r="M80" s="64">
        <f>F80-K80</f>
        <v>0</v>
      </c>
      <c r="N80" s="243" t="e">
        <f>K80/C80</f>
        <v>#DIV/0!</v>
      </c>
      <c r="S80" s="468">
        <f t="shared" si="30"/>
        <v>31674</v>
      </c>
      <c r="T80" s="468">
        <f t="shared" si="31"/>
        <v>0</v>
      </c>
      <c r="U80" s="468">
        <f t="shared" si="32"/>
        <v>0</v>
      </c>
      <c r="V80" s="468">
        <f t="shared" si="33"/>
        <v>0</v>
      </c>
    </row>
    <row r="81" spans="1:22" s="6" customFormat="1" ht="20.100000000000001" customHeight="1" x14ac:dyDescent="0.2">
      <c r="A81" s="68" t="s">
        <v>150</v>
      </c>
      <c r="B81" s="244" t="s">
        <v>151</v>
      </c>
      <c r="C81" s="265"/>
      <c r="D81" s="248">
        <v>99.5</v>
      </c>
      <c r="E81" s="56">
        <f t="shared" si="34"/>
        <v>0</v>
      </c>
      <c r="F81" s="267"/>
      <c r="G81" s="42"/>
      <c r="H81" s="43"/>
      <c r="I81" s="43"/>
      <c r="J81" s="59"/>
      <c r="K81" s="62">
        <f>G81+H81+I81+J81</f>
        <v>0</v>
      </c>
      <c r="L81" s="482">
        <f>D81*K81</f>
        <v>0</v>
      </c>
      <c r="M81" s="64">
        <f>F81-K81</f>
        <v>0</v>
      </c>
      <c r="N81" s="243" t="e">
        <f>K81/C81</f>
        <v>#DIV/0!</v>
      </c>
      <c r="S81" s="468">
        <f t="shared" si="30"/>
        <v>0</v>
      </c>
      <c r="T81" s="468">
        <f t="shared" si="31"/>
        <v>0</v>
      </c>
      <c r="U81" s="468">
        <f t="shared" si="32"/>
        <v>0</v>
      </c>
      <c r="V81" s="468">
        <f t="shared" si="33"/>
        <v>0</v>
      </c>
    </row>
    <row r="82" spans="1:22" s="6" customFormat="1" ht="20.100000000000001" customHeight="1" x14ac:dyDescent="0.2">
      <c r="A82" s="68">
        <v>4656</v>
      </c>
      <c r="B82" s="244" t="s">
        <v>152</v>
      </c>
      <c r="C82" s="265"/>
      <c r="D82" s="118">
        <v>99.5</v>
      </c>
      <c r="E82" s="56">
        <f t="shared" si="34"/>
        <v>0</v>
      </c>
      <c r="F82" s="267"/>
      <c r="G82" s="42"/>
      <c r="H82" s="43"/>
      <c r="I82" s="43"/>
      <c r="J82" s="59"/>
      <c r="K82" s="62">
        <f t="shared" si="35"/>
        <v>0</v>
      </c>
      <c r="L82" s="482">
        <f t="shared" si="36"/>
        <v>0</v>
      </c>
      <c r="M82" s="64">
        <f t="shared" si="37"/>
        <v>0</v>
      </c>
      <c r="N82" s="243" t="e">
        <f t="shared" si="38"/>
        <v>#DIV/0!</v>
      </c>
      <c r="S82" s="468">
        <f t="shared" si="30"/>
        <v>0</v>
      </c>
      <c r="T82" s="468">
        <f t="shared" si="31"/>
        <v>0</v>
      </c>
      <c r="U82" s="468">
        <f t="shared" si="32"/>
        <v>0</v>
      </c>
      <c r="V82" s="468">
        <f t="shared" si="33"/>
        <v>0</v>
      </c>
    </row>
    <row r="83" spans="1:22" s="6" customFormat="1" ht="20.100000000000001" customHeight="1" x14ac:dyDescent="0.2">
      <c r="A83" s="68"/>
      <c r="B83" s="244"/>
      <c r="C83" s="265"/>
      <c r="D83" s="248"/>
      <c r="E83" s="56">
        <f t="shared" si="34"/>
        <v>0</v>
      </c>
      <c r="F83" s="267"/>
      <c r="G83" s="42"/>
      <c r="H83" s="43"/>
      <c r="I83" s="43"/>
      <c r="J83" s="59"/>
      <c r="K83" s="62">
        <f t="shared" si="35"/>
        <v>0</v>
      </c>
      <c r="L83" s="482">
        <f t="shared" si="36"/>
        <v>0</v>
      </c>
      <c r="M83" s="64">
        <f t="shared" si="37"/>
        <v>0</v>
      </c>
      <c r="N83" s="243" t="e">
        <f t="shared" si="38"/>
        <v>#DIV/0!</v>
      </c>
      <c r="S83" s="468">
        <f t="shared" si="30"/>
        <v>0</v>
      </c>
      <c r="T83" s="468">
        <f t="shared" si="31"/>
        <v>0</v>
      </c>
      <c r="U83" s="468">
        <f t="shared" si="32"/>
        <v>0</v>
      </c>
      <c r="V83" s="468">
        <f t="shared" si="33"/>
        <v>0</v>
      </c>
    </row>
    <row r="84" spans="1:22" s="6" customFormat="1" ht="20.100000000000001" customHeight="1" x14ac:dyDescent="0.2">
      <c r="A84" s="68">
        <v>4717</v>
      </c>
      <c r="B84" s="244" t="s">
        <v>153</v>
      </c>
      <c r="C84" s="265"/>
      <c r="D84" s="248">
        <v>362</v>
      </c>
      <c r="E84" s="56">
        <f>D84*C84</f>
        <v>0</v>
      </c>
      <c r="F84" s="267"/>
      <c r="G84" s="42"/>
      <c r="H84" s="43"/>
      <c r="I84" s="43"/>
      <c r="J84" s="59"/>
      <c r="K84" s="62">
        <f>G84+H84+I84+J84</f>
        <v>0</v>
      </c>
      <c r="L84" s="482">
        <f>D84*K84</f>
        <v>0</v>
      </c>
      <c r="M84" s="64">
        <f>F84-K84</f>
        <v>0</v>
      </c>
      <c r="N84" s="243" t="e">
        <f>K84/C84</f>
        <v>#DIV/0!</v>
      </c>
      <c r="S84" s="468">
        <f t="shared" si="30"/>
        <v>0</v>
      </c>
      <c r="T84" s="468">
        <f t="shared" si="31"/>
        <v>0</v>
      </c>
      <c r="U84" s="468">
        <f t="shared" si="32"/>
        <v>0</v>
      </c>
      <c r="V84" s="468">
        <f t="shared" si="33"/>
        <v>0</v>
      </c>
    </row>
    <row r="85" spans="1:22" s="6" customFormat="1" ht="20.100000000000001" customHeight="1" x14ac:dyDescent="0.2">
      <c r="A85" s="68"/>
      <c r="B85" s="244"/>
      <c r="C85" s="265"/>
      <c r="D85" s="248"/>
      <c r="E85" s="56">
        <f t="shared" si="34"/>
        <v>0</v>
      </c>
      <c r="F85" s="267"/>
      <c r="G85" s="42"/>
      <c r="H85" s="43"/>
      <c r="I85" s="43"/>
      <c r="J85" s="59"/>
      <c r="K85" s="62">
        <f t="shared" si="35"/>
        <v>0</v>
      </c>
      <c r="L85" s="482">
        <f t="shared" si="36"/>
        <v>0</v>
      </c>
      <c r="M85" s="64">
        <f t="shared" si="37"/>
        <v>0</v>
      </c>
      <c r="N85" s="243" t="e">
        <f t="shared" si="38"/>
        <v>#DIV/0!</v>
      </c>
      <c r="S85" s="468">
        <f t="shared" si="30"/>
        <v>0</v>
      </c>
      <c r="T85" s="468">
        <f t="shared" si="31"/>
        <v>0</v>
      </c>
      <c r="U85" s="468">
        <f t="shared" si="32"/>
        <v>0</v>
      </c>
      <c r="V85" s="468">
        <f t="shared" si="33"/>
        <v>0</v>
      </c>
    </row>
    <row r="86" spans="1:22" s="6" customFormat="1" ht="20.100000000000001" customHeight="1" x14ac:dyDescent="0.2">
      <c r="A86" s="68">
        <v>5277</v>
      </c>
      <c r="B86" s="244" t="s">
        <v>629</v>
      </c>
      <c r="C86" s="46">
        <v>2</v>
      </c>
      <c r="D86" s="453">
        <v>138</v>
      </c>
      <c r="E86" s="56">
        <f>D86*C86</f>
        <v>276</v>
      </c>
      <c r="F86" s="267">
        <v>2</v>
      </c>
      <c r="G86" s="42">
        <v>2</v>
      </c>
      <c r="H86" s="43"/>
      <c r="I86" s="43"/>
      <c r="J86" s="59"/>
      <c r="K86" s="456">
        <f>G86+H86+I86+J86</f>
        <v>2</v>
      </c>
      <c r="L86" s="482">
        <f>D86*K86</f>
        <v>276</v>
      </c>
      <c r="M86" s="64">
        <f>F86-K86</f>
        <v>0</v>
      </c>
      <c r="N86" s="243">
        <f>K86/C86</f>
        <v>1</v>
      </c>
      <c r="S86" s="468">
        <f t="shared" si="30"/>
        <v>276</v>
      </c>
      <c r="T86" s="468">
        <f t="shared" si="31"/>
        <v>0</v>
      </c>
      <c r="U86" s="468">
        <f t="shared" si="32"/>
        <v>0</v>
      </c>
      <c r="V86" s="468">
        <f t="shared" si="33"/>
        <v>0</v>
      </c>
    </row>
    <row r="87" spans="1:22" s="6" customFormat="1" ht="20.100000000000001" customHeight="1" x14ac:dyDescent="0.2">
      <c r="A87" s="68">
        <v>5278</v>
      </c>
      <c r="B87" s="244" t="s">
        <v>630</v>
      </c>
      <c r="C87" s="46">
        <v>2</v>
      </c>
      <c r="D87" s="453">
        <v>142</v>
      </c>
      <c r="E87" s="56">
        <f>D87*C87</f>
        <v>284</v>
      </c>
      <c r="F87" s="267">
        <v>2</v>
      </c>
      <c r="G87" s="42">
        <v>2</v>
      </c>
      <c r="H87" s="43"/>
      <c r="I87" s="43"/>
      <c r="J87" s="59"/>
      <c r="K87" s="456">
        <f>G87+H87+I87+J87</f>
        <v>2</v>
      </c>
      <c r="L87" s="482">
        <f>D87*K87</f>
        <v>284</v>
      </c>
      <c r="M87" s="64">
        <f>F87-K87</f>
        <v>0</v>
      </c>
      <c r="N87" s="243">
        <f>K87/C87</f>
        <v>1</v>
      </c>
      <c r="S87" s="468">
        <f t="shared" si="30"/>
        <v>284</v>
      </c>
      <c r="T87" s="468">
        <f t="shared" si="31"/>
        <v>0</v>
      </c>
      <c r="U87" s="468">
        <f t="shared" si="32"/>
        <v>0</v>
      </c>
      <c r="V87" s="468">
        <f t="shared" si="33"/>
        <v>0</v>
      </c>
    </row>
    <row r="88" spans="1:22" s="6" customFormat="1" ht="20.100000000000001" customHeight="1" x14ac:dyDescent="0.2">
      <c r="A88" s="68"/>
      <c r="B88" s="244"/>
      <c r="C88" s="265"/>
      <c r="D88" s="248"/>
      <c r="E88" s="56">
        <f t="shared" si="34"/>
        <v>0</v>
      </c>
      <c r="F88" s="267"/>
      <c r="G88" s="42"/>
      <c r="H88" s="43"/>
      <c r="I88" s="43"/>
      <c r="J88" s="59"/>
      <c r="K88" s="62">
        <f t="shared" si="35"/>
        <v>0</v>
      </c>
      <c r="L88" s="482">
        <f t="shared" ref="L88:L89" si="39">D88*K88</f>
        <v>0</v>
      </c>
      <c r="M88" s="64">
        <f t="shared" ref="M88:M89" si="40">F88-K88</f>
        <v>0</v>
      </c>
      <c r="N88" s="243" t="e">
        <f t="shared" ref="N88:N89" si="41">K88/C88</f>
        <v>#DIV/0!</v>
      </c>
      <c r="S88" s="468">
        <f t="shared" si="30"/>
        <v>0</v>
      </c>
      <c r="T88" s="468">
        <f t="shared" si="31"/>
        <v>0</v>
      </c>
      <c r="U88" s="468">
        <f t="shared" si="32"/>
        <v>0</v>
      </c>
      <c r="V88" s="468">
        <f t="shared" si="33"/>
        <v>0</v>
      </c>
    </row>
    <row r="89" spans="1:22" s="6" customFormat="1" ht="20.100000000000001" customHeight="1" x14ac:dyDescent="0.2">
      <c r="A89" s="68"/>
      <c r="B89" s="244" t="s">
        <v>131</v>
      </c>
      <c r="C89" s="265"/>
      <c r="D89" s="248"/>
      <c r="E89" s="56">
        <f t="shared" si="34"/>
        <v>0</v>
      </c>
      <c r="F89" s="267"/>
      <c r="G89" s="42"/>
      <c r="H89" s="43"/>
      <c r="I89" s="43"/>
      <c r="J89" s="59"/>
      <c r="K89" s="62">
        <f t="shared" si="35"/>
        <v>0</v>
      </c>
      <c r="L89" s="482">
        <f t="shared" si="39"/>
        <v>0</v>
      </c>
      <c r="M89" s="64">
        <f t="shared" si="40"/>
        <v>0</v>
      </c>
      <c r="N89" s="243" t="e">
        <f t="shared" si="41"/>
        <v>#DIV/0!</v>
      </c>
      <c r="S89" s="468">
        <f t="shared" si="30"/>
        <v>0</v>
      </c>
      <c r="T89" s="468">
        <f t="shared" si="31"/>
        <v>0</v>
      </c>
      <c r="U89" s="468">
        <f t="shared" si="32"/>
        <v>0</v>
      </c>
      <c r="V89" s="468">
        <f t="shared" si="33"/>
        <v>0</v>
      </c>
    </row>
    <row r="90" spans="1:22" s="6" customFormat="1" ht="20.100000000000001" customHeight="1" x14ac:dyDescent="0.2">
      <c r="A90" s="68"/>
      <c r="B90" s="244" t="s">
        <v>31</v>
      </c>
      <c r="C90" s="265">
        <v>17</v>
      </c>
      <c r="D90" s="248">
        <v>1500</v>
      </c>
      <c r="E90" s="56">
        <f t="shared" si="34"/>
        <v>25500</v>
      </c>
      <c r="F90" s="267">
        <v>40</v>
      </c>
      <c r="G90" s="42">
        <f>1+6+4</f>
        <v>11</v>
      </c>
      <c r="H90" s="43">
        <v>6</v>
      </c>
      <c r="I90" s="43">
        <v>5</v>
      </c>
      <c r="J90" s="59">
        <f>6+5+7</f>
        <v>18</v>
      </c>
      <c r="K90" s="62">
        <f t="shared" si="35"/>
        <v>40</v>
      </c>
      <c r="L90" s="482">
        <f t="shared" si="36"/>
        <v>60000</v>
      </c>
      <c r="M90" s="64">
        <f t="shared" si="37"/>
        <v>0</v>
      </c>
      <c r="N90" s="243">
        <f t="shared" si="38"/>
        <v>2.3529411764705883</v>
      </c>
      <c r="S90" s="468">
        <f t="shared" si="30"/>
        <v>16500</v>
      </c>
      <c r="T90" s="468">
        <f t="shared" si="31"/>
        <v>9000</v>
      </c>
      <c r="U90" s="468">
        <f t="shared" si="32"/>
        <v>7500</v>
      </c>
      <c r="V90" s="468">
        <f t="shared" si="33"/>
        <v>27000</v>
      </c>
    </row>
    <row r="91" spans="1:22" s="6" customFormat="1" ht="20.100000000000001" customHeight="1" x14ac:dyDescent="0.2">
      <c r="A91" s="68"/>
      <c r="B91" s="244" t="s">
        <v>29</v>
      </c>
      <c r="C91" s="265"/>
      <c r="D91" s="248">
        <v>600</v>
      </c>
      <c r="E91" s="56">
        <f t="shared" si="34"/>
        <v>0</v>
      </c>
      <c r="F91" s="267">
        <v>5</v>
      </c>
      <c r="G91" s="42"/>
      <c r="H91" s="43">
        <v>5</v>
      </c>
      <c r="I91" s="43"/>
      <c r="J91" s="59"/>
      <c r="K91" s="62">
        <f t="shared" si="35"/>
        <v>5</v>
      </c>
      <c r="L91" s="482">
        <f>D91*K91</f>
        <v>3000</v>
      </c>
      <c r="M91" s="64">
        <f t="shared" si="37"/>
        <v>0</v>
      </c>
      <c r="N91" s="243" t="e">
        <f>K91/C91</f>
        <v>#DIV/0!</v>
      </c>
      <c r="S91" s="468">
        <f t="shared" si="30"/>
        <v>0</v>
      </c>
      <c r="T91" s="468">
        <f t="shared" si="31"/>
        <v>3000</v>
      </c>
      <c r="U91" s="468">
        <f t="shared" si="32"/>
        <v>0</v>
      </c>
      <c r="V91" s="468">
        <f t="shared" si="33"/>
        <v>0</v>
      </c>
    </row>
    <row r="92" spans="1:22" s="6" customFormat="1" ht="20.100000000000001" customHeight="1" x14ac:dyDescent="0.2">
      <c r="A92" s="68"/>
      <c r="B92" s="244"/>
      <c r="C92" s="265"/>
      <c r="D92" s="248"/>
      <c r="E92" s="56">
        <f t="shared" si="34"/>
        <v>0</v>
      </c>
      <c r="F92" s="267"/>
      <c r="G92" s="42"/>
      <c r="H92" s="43"/>
      <c r="I92" s="43"/>
      <c r="J92" s="59"/>
      <c r="K92" s="62">
        <f t="shared" si="35"/>
        <v>0</v>
      </c>
      <c r="L92" s="482">
        <f>D92*K92</f>
        <v>0</v>
      </c>
      <c r="M92" s="64">
        <f t="shared" si="37"/>
        <v>0</v>
      </c>
      <c r="N92" s="243" t="e">
        <f>K92/C92</f>
        <v>#DIV/0!</v>
      </c>
      <c r="S92" s="468">
        <f t="shared" si="30"/>
        <v>0</v>
      </c>
      <c r="T92" s="468">
        <f t="shared" si="31"/>
        <v>0</v>
      </c>
      <c r="U92" s="468">
        <f t="shared" si="32"/>
        <v>0</v>
      </c>
      <c r="V92" s="468">
        <f t="shared" si="33"/>
        <v>0</v>
      </c>
    </row>
    <row r="93" spans="1:22" s="6" customFormat="1" ht="20.100000000000001" customHeight="1" thickBot="1" x14ac:dyDescent="0.25">
      <c r="A93" s="68"/>
      <c r="B93" s="39" t="s">
        <v>18</v>
      </c>
      <c r="C93" s="104">
        <v>1</v>
      </c>
      <c r="D93" s="94">
        <v>1695</v>
      </c>
      <c r="E93" s="56">
        <f t="shared" si="34"/>
        <v>1695</v>
      </c>
      <c r="F93" s="41">
        <v>1</v>
      </c>
      <c r="G93" s="42"/>
      <c r="H93" s="43"/>
      <c r="I93" s="43"/>
      <c r="J93" s="59">
        <v>1</v>
      </c>
      <c r="K93" s="62">
        <f t="shared" si="35"/>
        <v>1</v>
      </c>
      <c r="L93" s="482">
        <f>D93*K93</f>
        <v>1695</v>
      </c>
      <c r="M93" s="64">
        <f t="shared" si="37"/>
        <v>0</v>
      </c>
      <c r="N93" s="243">
        <f t="shared" si="38"/>
        <v>1</v>
      </c>
      <c r="S93" s="468">
        <f t="shared" si="30"/>
        <v>0</v>
      </c>
      <c r="T93" s="468">
        <f t="shared" si="31"/>
        <v>0</v>
      </c>
      <c r="U93" s="468">
        <f t="shared" si="32"/>
        <v>0</v>
      </c>
      <c r="V93" s="468">
        <f t="shared" si="33"/>
        <v>1695</v>
      </c>
    </row>
    <row r="94" spans="1:22" s="6" customFormat="1" ht="20.100000000000001" customHeight="1" thickBot="1" x14ac:dyDescent="0.25">
      <c r="A94" s="84"/>
      <c r="B94" s="84"/>
      <c r="C94" s="84"/>
      <c r="D94" s="84"/>
      <c r="E94" s="84">
        <f>D94*C94</f>
        <v>0</v>
      </c>
      <c r="F94" s="18">
        <f>G94+H94+I94+J94</f>
        <v>0</v>
      </c>
      <c r="G94" s="20"/>
      <c r="H94" s="20"/>
      <c r="I94" s="20"/>
      <c r="J94" s="20"/>
      <c r="K94" s="18">
        <f>D94*F94</f>
        <v>0</v>
      </c>
      <c r="L94" s="484"/>
      <c r="M94" s="73"/>
      <c r="S94" s="468">
        <f t="shared" si="30"/>
        <v>0</v>
      </c>
      <c r="T94" s="468">
        <f t="shared" si="31"/>
        <v>0</v>
      </c>
      <c r="U94" s="468">
        <f t="shared" si="32"/>
        <v>0</v>
      </c>
      <c r="V94" s="468">
        <f t="shared" si="33"/>
        <v>0</v>
      </c>
    </row>
    <row r="95" spans="1:22" s="6" customFormat="1" ht="20.100000000000001" customHeight="1" thickBot="1" x14ac:dyDescent="0.3">
      <c r="A95" s="12"/>
      <c r="B95" s="574" t="s">
        <v>19</v>
      </c>
      <c r="C95" s="575"/>
      <c r="D95" s="576"/>
      <c r="E95" s="66">
        <f>SUM(E7:E93)</f>
        <v>2743084.64</v>
      </c>
      <c r="F95" s="467"/>
      <c r="G95" s="479">
        <f>S95/E95</f>
        <v>0.14422462370683536</v>
      </c>
      <c r="H95" s="479">
        <f>T95/E95</f>
        <v>0.23241132289669336</v>
      </c>
      <c r="I95" s="479">
        <f>U95/E95</f>
        <v>0.25742580440390639</v>
      </c>
      <c r="J95" s="479">
        <f>V95/E95</f>
        <v>0.295985263509769</v>
      </c>
      <c r="K95" s="466" t="s">
        <v>28</v>
      </c>
      <c r="L95" s="25">
        <f>SUM(L7:L94)</f>
        <v>2551197.6800000002</v>
      </c>
      <c r="M95" s="470">
        <f>L95/E95</f>
        <v>0.93004701451720428</v>
      </c>
      <c r="S95" s="469">
        <f>SUM(S7:S93)</f>
        <v>395620.35</v>
      </c>
      <c r="T95" s="469">
        <f t="shared" ref="T95:V95" si="42">SUM(T7:T93)</f>
        <v>637523.92999999993</v>
      </c>
      <c r="U95" s="469">
        <f t="shared" si="42"/>
        <v>706140.77</v>
      </c>
      <c r="V95" s="469">
        <f t="shared" si="42"/>
        <v>811912.62999999989</v>
      </c>
    </row>
    <row r="96" spans="1:22" s="6" customFormat="1" ht="20.100000000000001" customHeight="1" thickBot="1" x14ac:dyDescent="0.3">
      <c r="A96" s="13"/>
      <c r="B96" s="559" t="s">
        <v>20</v>
      </c>
      <c r="C96" s="560"/>
      <c r="D96" s="561"/>
      <c r="E96" s="66">
        <f>'апрель 2019'!F228</f>
        <v>4745789</v>
      </c>
      <c r="F96" s="467"/>
      <c r="G96" s="480">
        <f>'апрель 2019'!H228</f>
        <v>7.5247656396017604E-2</v>
      </c>
      <c r="H96" s="480">
        <f>'апрель 2019'!I228</f>
        <v>0.47856657765442162</v>
      </c>
      <c r="I96" s="480">
        <f>'апрель 2019'!J228</f>
        <v>0.11970822975905587</v>
      </c>
      <c r="J96" s="478">
        <f>'апрель 2019'!K228</f>
        <v>4.3407420768179959E-2</v>
      </c>
      <c r="K96" s="466" t="s">
        <v>28</v>
      </c>
      <c r="L96" s="25">
        <f>'апрель 2019'!L228</f>
        <v>3407629.4800000004</v>
      </c>
      <c r="M96" s="470">
        <f>L96/E96</f>
        <v>0.71803223447144415</v>
      </c>
    </row>
    <row r="97" spans="1:14" s="6" customFormat="1" ht="20.100000000000001" customHeight="1" thickBot="1" x14ac:dyDescent="0.35">
      <c r="A97" s="10"/>
      <c r="B97" s="565" t="s">
        <v>21</v>
      </c>
      <c r="C97" s="566"/>
      <c r="D97" s="567"/>
      <c r="E97" s="67">
        <f>SUM(E95:E96)</f>
        <v>7488873.6400000006</v>
      </c>
      <c r="F97" s="467"/>
      <c r="G97" s="480">
        <f>(S95+'апрель 2019'!S228)/E97</f>
        <v>0.10051309264713404</v>
      </c>
      <c r="H97" s="480">
        <f>(T95+'апрель 2019'!T228)/E97</f>
        <v>0.38840285867074659</v>
      </c>
      <c r="I97" s="480">
        <f>(U95+'апрель 2019'!U228)/E97</f>
        <v>0.17015252643520368</v>
      </c>
      <c r="J97" s="478">
        <f>(V95+'апрель 2019'!V228)/E97</f>
        <v>0.13592365673831824</v>
      </c>
      <c r="K97" s="466" t="s">
        <v>28</v>
      </c>
      <c r="L97" s="71">
        <f>SUM(L95:L96)</f>
        <v>5958827.1600000001</v>
      </c>
      <c r="M97" s="471">
        <f>L97/E97</f>
        <v>0.79569070683371812</v>
      </c>
    </row>
    <row r="98" spans="1:14" s="6" customFormat="1" ht="20.100000000000001" customHeight="1" x14ac:dyDescent="0.2">
      <c r="A98" s="10"/>
      <c r="B98" s="10"/>
      <c r="C98" s="10"/>
      <c r="D98" s="10"/>
      <c r="E98" s="10"/>
      <c r="F98" s="13"/>
      <c r="G98" s="13"/>
      <c r="H98" s="13"/>
      <c r="I98" s="13" t="s">
        <v>25</v>
      </c>
      <c r="J98" s="13"/>
      <c r="K98" s="13"/>
      <c r="L98" s="240"/>
      <c r="M98" s="51"/>
      <c r="N98" s="23"/>
    </row>
    <row r="99" spans="1:14" s="6" customFormat="1" ht="20.100000000000001" customHeight="1" thickBot="1" x14ac:dyDescent="0.25">
      <c r="A99" s="10"/>
      <c r="B99" s="10"/>
      <c r="C99" s="14"/>
      <c r="D99" s="10"/>
      <c r="E99" s="10"/>
      <c r="F99" s="14"/>
      <c r="G99" s="14"/>
      <c r="H99" s="14"/>
      <c r="I99" s="26" t="s">
        <v>27</v>
      </c>
      <c r="J99" s="14"/>
      <c r="K99" s="14"/>
      <c r="L99" s="87"/>
      <c r="M99" s="52"/>
      <c r="N99" s="23"/>
    </row>
    <row r="100" spans="1:14" s="6" customFormat="1" ht="20.100000000000001" customHeight="1" thickBot="1" x14ac:dyDescent="0.25">
      <c r="A100" s="10"/>
      <c r="B100" s="10"/>
      <c r="C100" s="10"/>
      <c r="D100" s="10"/>
      <c r="E100" s="10"/>
      <c r="F100" s="13"/>
      <c r="G100" s="13"/>
      <c r="H100" s="13"/>
      <c r="I100" s="31" t="s">
        <v>26</v>
      </c>
      <c r="J100" s="13"/>
      <c r="K100" s="13"/>
      <c r="L100" s="71">
        <f>L97+L98+L99</f>
        <v>5958827.1600000001</v>
      </c>
      <c r="M100" s="63"/>
      <c r="N100" s="23"/>
    </row>
    <row r="101" spans="1:14" s="6" customFormat="1" ht="20.100000000000001" customHeight="1" x14ac:dyDescent="0.2">
      <c r="A101" s="15"/>
      <c r="B101" s="11"/>
      <c r="C101" s="15"/>
      <c r="D101" s="236" t="s">
        <v>24</v>
      </c>
      <c r="E101" s="17"/>
      <c r="F101" s="19"/>
      <c r="G101" s="21"/>
      <c r="H101" s="13"/>
      <c r="I101" s="13"/>
      <c r="J101" s="13"/>
      <c r="K101" s="13"/>
      <c r="L101" s="23"/>
    </row>
    <row r="102" spans="1:14" s="6" customFormat="1" ht="20.100000000000001" customHeight="1" x14ac:dyDescent="0.2">
      <c r="A102" s="10"/>
      <c r="B102" s="10"/>
      <c r="C102" s="10"/>
      <c r="D102" s="10"/>
      <c r="E102" s="10"/>
      <c r="F102" s="13"/>
      <c r="G102" s="13"/>
      <c r="H102" s="13"/>
      <c r="I102" s="13"/>
      <c r="J102" s="13"/>
      <c r="K102" s="13"/>
    </row>
    <row r="103" spans="1:14" s="6" customFormat="1" ht="20.100000000000001" customHeight="1" x14ac:dyDescent="0.2">
      <c r="A103" s="10"/>
      <c r="B103" s="10"/>
      <c r="C103" s="255">
        <v>1000</v>
      </c>
      <c r="D103" s="254" t="s">
        <v>140</v>
      </c>
      <c r="E103" s="251"/>
      <c r="F103" s="13"/>
      <c r="G103" s="13"/>
      <c r="H103" s="13"/>
      <c r="I103" s="13"/>
      <c r="J103" s="13"/>
      <c r="K103" s="13"/>
    </row>
    <row r="104" spans="1:14" s="6" customFormat="1" ht="20.100000000000001" customHeight="1" x14ac:dyDescent="0.2">
      <c r="A104" s="10"/>
      <c r="B104" s="10"/>
      <c r="C104" s="10"/>
      <c r="D104" s="10"/>
      <c r="E104" s="10"/>
      <c r="F104" s="13"/>
      <c r="G104" s="13"/>
      <c r="H104" s="13"/>
      <c r="I104" s="13"/>
      <c r="K104" s="13"/>
      <c r="L104" s="24"/>
    </row>
    <row r="105" spans="1:14" s="6" customFormat="1" ht="20.100000000000001" customHeight="1" x14ac:dyDescent="0.2">
      <c r="A105" s="10"/>
      <c r="B105" s="10"/>
      <c r="C105" s="10"/>
      <c r="D105" s="10"/>
      <c r="E105" s="10"/>
      <c r="F105" s="13"/>
      <c r="G105" s="13"/>
      <c r="H105" s="13"/>
      <c r="I105" s="13"/>
      <c r="J105" s="13"/>
      <c r="K105" s="13"/>
      <c r="L105" s="23"/>
    </row>
    <row r="106" spans="1:14" s="6" customFormat="1" ht="20.100000000000001" customHeight="1" x14ac:dyDescent="0.2">
      <c r="A106" s="10"/>
      <c r="B106" s="10"/>
      <c r="C106" s="10"/>
      <c r="D106" s="10"/>
      <c r="E106" s="10"/>
      <c r="F106" s="13"/>
      <c r="G106" s="13"/>
      <c r="H106" s="13"/>
      <c r="I106" s="13"/>
      <c r="J106" s="13"/>
      <c r="K106" s="13"/>
      <c r="L106" s="23"/>
    </row>
    <row r="107" spans="1:14" s="6" customFormat="1" ht="20.100000000000001" customHeight="1" x14ac:dyDescent="0.2">
      <c r="A107" s="10"/>
      <c r="B107" s="10"/>
      <c r="C107" s="10"/>
      <c r="D107" s="10"/>
      <c r="E107" s="10"/>
      <c r="F107" s="13"/>
      <c r="G107" s="13"/>
      <c r="H107" s="13"/>
      <c r="I107" s="13"/>
      <c r="J107" s="13"/>
      <c r="K107" s="13"/>
      <c r="L107" s="23"/>
    </row>
    <row r="108" spans="1:14" s="6" customFormat="1" ht="15" customHeight="1" x14ac:dyDescent="0.2">
      <c r="A108" s="10"/>
      <c r="B108" s="10"/>
      <c r="C108" s="10"/>
      <c r="D108" s="10"/>
      <c r="E108" s="10"/>
      <c r="F108" s="13"/>
      <c r="G108" s="13"/>
      <c r="H108" s="13"/>
      <c r="I108" s="13"/>
      <c r="J108" s="13"/>
      <c r="K108" s="13"/>
      <c r="L108" s="23"/>
    </row>
    <row r="109" spans="1:14" s="6" customFormat="1" ht="15" customHeight="1" x14ac:dyDescent="0.2">
      <c r="A109" s="10"/>
      <c r="B109" s="10"/>
      <c r="C109" s="10"/>
      <c r="D109" s="10"/>
      <c r="E109" s="10"/>
      <c r="F109" s="13"/>
      <c r="G109" s="13"/>
      <c r="H109" s="13"/>
      <c r="I109" s="13"/>
      <c r="J109" s="13"/>
      <c r="K109" s="13"/>
      <c r="L109" s="13"/>
    </row>
    <row r="110" spans="1:14" s="7" customFormat="1" ht="15" customHeight="1" x14ac:dyDescent="0.2">
      <c r="A110" s="10"/>
      <c r="B110" s="10"/>
      <c r="C110" s="10"/>
      <c r="D110" s="10"/>
      <c r="E110" s="10"/>
      <c r="F110" s="13"/>
      <c r="G110" s="13"/>
      <c r="H110" s="13"/>
      <c r="I110" s="13"/>
      <c r="J110" s="13"/>
      <c r="K110" s="13"/>
      <c r="L110" s="10"/>
    </row>
    <row r="111" spans="1:14" s="8" customFormat="1" ht="15" customHeight="1" x14ac:dyDescent="0.2">
      <c r="A111" s="10"/>
      <c r="B111" s="10"/>
      <c r="C111" s="10"/>
      <c r="D111" s="10"/>
      <c r="E111" s="10"/>
      <c r="F111" s="13"/>
      <c r="G111" s="13"/>
      <c r="H111" s="13"/>
      <c r="I111" s="13"/>
      <c r="J111" s="13"/>
      <c r="K111" s="13"/>
      <c r="L111" s="10"/>
    </row>
    <row r="112" spans="1:14" s="8" customFormat="1" ht="15" customHeight="1" x14ac:dyDescent="0.2">
      <c r="A112" s="10"/>
      <c r="B112" s="10"/>
      <c r="C112" s="10"/>
      <c r="D112" s="10"/>
      <c r="E112" s="10"/>
      <c r="F112" s="13"/>
      <c r="G112" s="13"/>
      <c r="H112" s="13"/>
      <c r="I112" s="13"/>
      <c r="J112" s="13"/>
      <c r="K112" s="13"/>
      <c r="L112" s="9"/>
    </row>
    <row r="113" spans="1:16" ht="15" customHeight="1" x14ac:dyDescent="0.25">
      <c r="A113" s="10"/>
      <c r="B113" s="10"/>
      <c r="C113" s="10"/>
      <c r="D113" s="10"/>
      <c r="E113" s="10"/>
      <c r="F113" s="13"/>
      <c r="G113" s="13"/>
      <c r="H113" s="13"/>
      <c r="I113" s="13"/>
      <c r="J113" s="13"/>
      <c r="K113" s="13"/>
    </row>
    <row r="114" spans="1:16" s="9" customFormat="1" ht="15" customHeight="1" x14ac:dyDescent="0.25">
      <c r="A114" s="10"/>
      <c r="B114" s="10"/>
      <c r="C114" s="10"/>
      <c r="D114" s="10"/>
      <c r="E114" s="10"/>
      <c r="F114" s="13"/>
      <c r="G114" s="13"/>
      <c r="H114" s="13"/>
      <c r="I114" s="13"/>
      <c r="J114" s="13"/>
      <c r="K114" s="13"/>
      <c r="M114" s="4"/>
      <c r="N114" s="4"/>
      <c r="O114" s="5"/>
      <c r="P114" s="5"/>
    </row>
    <row r="115" spans="1:16" s="9" customFormat="1" ht="15" customHeight="1" x14ac:dyDescent="0.25">
      <c r="A115" s="10"/>
      <c r="B115" s="10"/>
      <c r="C115" s="10"/>
      <c r="D115" s="10"/>
      <c r="E115" s="10"/>
      <c r="F115" s="13"/>
      <c r="G115" s="13"/>
      <c r="H115" s="13"/>
      <c r="I115" s="13"/>
      <c r="J115" s="13"/>
      <c r="K115" s="13"/>
      <c r="M115" s="4"/>
      <c r="N115" s="4"/>
      <c r="O115" s="5"/>
      <c r="P115" s="5"/>
    </row>
    <row r="116" spans="1:16" s="9" customFormat="1" ht="15" customHeight="1" x14ac:dyDescent="0.25">
      <c r="A116" s="10"/>
      <c r="B116" s="10"/>
      <c r="C116" s="10"/>
      <c r="D116" s="10"/>
      <c r="E116" s="10"/>
      <c r="F116" s="13"/>
      <c r="G116" s="13"/>
      <c r="H116" s="13"/>
      <c r="I116" s="13"/>
      <c r="J116" s="13"/>
      <c r="K116" s="13"/>
      <c r="M116" s="4"/>
      <c r="N116" s="4"/>
      <c r="O116" s="5"/>
      <c r="P116" s="5"/>
    </row>
    <row r="117" spans="1:16" s="9" customFormat="1" ht="15" customHeight="1" x14ac:dyDescent="0.25">
      <c r="A117" s="10"/>
      <c r="B117" s="10"/>
      <c r="C117" s="10"/>
      <c r="D117" s="10"/>
      <c r="E117" s="10"/>
      <c r="F117" s="13"/>
      <c r="G117" s="13"/>
      <c r="H117" s="13"/>
      <c r="I117" s="13"/>
      <c r="J117" s="13"/>
      <c r="K117" s="13"/>
      <c r="M117" s="4"/>
      <c r="N117" s="4"/>
      <c r="O117" s="5"/>
      <c r="P117" s="5"/>
    </row>
    <row r="118" spans="1:16" s="9" customFormat="1" ht="15" customHeight="1" x14ac:dyDescent="0.25">
      <c r="A118" s="10"/>
      <c r="B118" s="10"/>
      <c r="C118" s="10"/>
      <c r="D118" s="10"/>
      <c r="E118" s="10"/>
      <c r="F118" s="13"/>
      <c r="G118" s="13"/>
      <c r="H118" s="13"/>
      <c r="I118" s="13"/>
      <c r="J118" s="13"/>
      <c r="K118" s="13"/>
      <c r="M118" s="4"/>
      <c r="N118" s="4"/>
      <c r="O118" s="5"/>
      <c r="P118" s="5"/>
    </row>
    <row r="119" spans="1:16" s="9" customFormat="1" ht="15" customHeight="1" x14ac:dyDescent="0.25">
      <c r="A119" s="10"/>
      <c r="B119" s="10"/>
      <c r="C119" s="10"/>
      <c r="D119" s="10"/>
      <c r="E119" s="10"/>
      <c r="F119" s="13"/>
      <c r="G119" s="13"/>
      <c r="H119" s="13"/>
      <c r="I119" s="13"/>
      <c r="J119" s="13"/>
      <c r="K119" s="13"/>
      <c r="M119" s="4"/>
      <c r="N119" s="4"/>
      <c r="O119" s="5"/>
      <c r="P119" s="5"/>
    </row>
    <row r="120" spans="1:16" s="9" customFormat="1" ht="15" customHeight="1" x14ac:dyDescent="0.25">
      <c r="A120" s="10"/>
      <c r="B120" s="10"/>
      <c r="C120" s="10"/>
      <c r="D120" s="10"/>
      <c r="E120" s="10"/>
      <c r="F120" s="13"/>
      <c r="G120" s="13"/>
      <c r="H120" s="13"/>
      <c r="I120" s="13"/>
      <c r="J120" s="13"/>
      <c r="K120" s="13"/>
      <c r="M120" s="4"/>
      <c r="N120" s="4"/>
      <c r="O120" s="5"/>
      <c r="P120" s="5"/>
    </row>
    <row r="121" spans="1:16" s="9" customFormat="1" ht="15" customHeight="1" x14ac:dyDescent="0.25">
      <c r="A121" s="10"/>
      <c r="B121" s="10"/>
      <c r="C121" s="10"/>
      <c r="D121" s="10"/>
      <c r="E121" s="10"/>
      <c r="F121" s="13"/>
      <c r="G121" s="13"/>
      <c r="H121" s="13"/>
      <c r="I121" s="13"/>
      <c r="J121" s="13"/>
      <c r="K121" s="13"/>
      <c r="M121" s="4"/>
      <c r="N121" s="4"/>
      <c r="O121" s="5"/>
      <c r="P121" s="5"/>
    </row>
    <row r="122" spans="1:16" s="9" customFormat="1" ht="15" customHeight="1" x14ac:dyDescent="0.25">
      <c r="A122" s="10"/>
      <c r="B122" s="10"/>
      <c r="C122" s="10"/>
      <c r="D122" s="10"/>
      <c r="E122" s="10"/>
      <c r="F122" s="13"/>
      <c r="G122" s="13"/>
      <c r="H122" s="13"/>
      <c r="I122" s="13"/>
      <c r="J122" s="13"/>
      <c r="K122" s="13"/>
      <c r="M122" s="4"/>
      <c r="N122" s="4"/>
      <c r="O122" s="5"/>
      <c r="P122" s="5"/>
    </row>
    <row r="123" spans="1:16" s="9" customFormat="1" ht="15" customHeight="1" x14ac:dyDescent="0.25">
      <c r="A123" s="10"/>
      <c r="B123" s="10"/>
      <c r="C123" s="10"/>
      <c r="D123" s="10"/>
      <c r="E123" s="10"/>
      <c r="F123" s="13"/>
      <c r="G123" s="13"/>
      <c r="H123" s="13"/>
      <c r="I123" s="13"/>
      <c r="J123" s="13"/>
      <c r="K123" s="13"/>
      <c r="M123" s="4"/>
      <c r="N123" s="4"/>
      <c r="O123" s="5"/>
      <c r="P123" s="5"/>
    </row>
    <row r="124" spans="1:16" s="9" customFormat="1" ht="15" customHeight="1" x14ac:dyDescent="0.25">
      <c r="A124" s="10"/>
      <c r="B124" s="10"/>
      <c r="C124" s="10"/>
      <c r="D124" s="10"/>
      <c r="E124" s="10"/>
      <c r="F124" s="13"/>
      <c r="G124" s="13"/>
      <c r="H124" s="13"/>
      <c r="I124" s="13"/>
      <c r="J124" s="13"/>
      <c r="K124" s="13"/>
      <c r="M124" s="4"/>
      <c r="N124" s="4"/>
      <c r="O124" s="5"/>
      <c r="P124" s="5"/>
    </row>
    <row r="125" spans="1:16" s="9" customFormat="1" ht="15" customHeight="1" x14ac:dyDescent="0.25">
      <c r="A125" s="10"/>
      <c r="B125" s="10"/>
      <c r="C125" s="10"/>
      <c r="D125" s="10"/>
      <c r="E125" s="10"/>
      <c r="F125" s="13"/>
      <c r="G125" s="13"/>
      <c r="H125" s="13"/>
      <c r="I125" s="13"/>
      <c r="J125" s="13"/>
      <c r="K125" s="13"/>
      <c r="M125" s="4"/>
      <c r="N125" s="4"/>
      <c r="O125" s="5"/>
      <c r="P125" s="5"/>
    </row>
    <row r="126" spans="1:16" s="9" customFormat="1" ht="15" customHeight="1" x14ac:dyDescent="0.25">
      <c r="A126" s="10"/>
      <c r="B126" s="10"/>
      <c r="C126" s="10"/>
      <c r="D126" s="10"/>
      <c r="E126" s="10"/>
      <c r="F126" s="13"/>
      <c r="G126" s="13"/>
      <c r="H126" s="13"/>
      <c r="I126" s="13"/>
      <c r="J126" s="13"/>
      <c r="K126" s="13"/>
      <c r="M126" s="4"/>
      <c r="N126" s="4"/>
      <c r="O126" s="5"/>
      <c r="P126" s="5"/>
    </row>
    <row r="127" spans="1:16" s="9" customFormat="1" ht="15" customHeight="1" x14ac:dyDescent="0.25">
      <c r="A127" s="10"/>
      <c r="B127" s="10"/>
      <c r="C127" s="10"/>
      <c r="D127" s="10"/>
      <c r="E127" s="10"/>
      <c r="F127" s="13"/>
      <c r="G127" s="13"/>
      <c r="H127" s="13"/>
      <c r="I127" s="13"/>
      <c r="J127" s="13"/>
      <c r="K127" s="13"/>
      <c r="M127" s="4"/>
      <c r="N127" s="4"/>
      <c r="O127" s="5"/>
      <c r="P127" s="5"/>
    </row>
    <row r="128" spans="1:16" s="9" customFormat="1" ht="15" customHeight="1" x14ac:dyDescent="0.25">
      <c r="A128" s="10"/>
      <c r="B128" s="10"/>
      <c r="C128" s="10"/>
      <c r="D128" s="10"/>
      <c r="E128" s="10"/>
      <c r="F128" s="13"/>
      <c r="G128" s="13"/>
      <c r="H128" s="13"/>
      <c r="I128" s="13"/>
      <c r="J128" s="13"/>
      <c r="K128" s="13"/>
      <c r="M128" s="4"/>
      <c r="N128" s="4"/>
      <c r="O128" s="5"/>
      <c r="P128" s="5"/>
    </row>
    <row r="129" spans="1:16" s="9" customFormat="1" ht="15" customHeight="1" x14ac:dyDescent="0.25">
      <c r="A129" s="10"/>
      <c r="B129" s="10"/>
      <c r="C129" s="10"/>
      <c r="D129" s="10"/>
      <c r="E129" s="10"/>
      <c r="F129" s="13"/>
      <c r="G129" s="13"/>
      <c r="H129" s="13"/>
      <c r="I129" s="13"/>
      <c r="J129" s="13"/>
      <c r="K129" s="13"/>
      <c r="M129" s="4"/>
      <c r="N129" s="4"/>
      <c r="O129" s="5"/>
      <c r="P129" s="5"/>
    </row>
    <row r="130" spans="1:16" s="9" customFormat="1" ht="15" customHeight="1" x14ac:dyDescent="0.25">
      <c r="A130" s="10"/>
      <c r="B130" s="10"/>
      <c r="C130" s="10"/>
      <c r="D130" s="10"/>
      <c r="E130" s="10"/>
      <c r="F130" s="13"/>
      <c r="G130" s="13"/>
      <c r="H130" s="13"/>
      <c r="I130" s="13"/>
      <c r="J130" s="13"/>
      <c r="K130" s="13"/>
      <c r="M130" s="4"/>
      <c r="N130" s="4"/>
      <c r="O130" s="5"/>
      <c r="P130" s="5"/>
    </row>
    <row r="131" spans="1:16" s="9" customFormat="1" ht="15" customHeight="1" x14ac:dyDescent="0.25">
      <c r="A131" s="10"/>
      <c r="B131" s="10"/>
      <c r="C131" s="10"/>
      <c r="D131" s="10"/>
      <c r="E131" s="10"/>
      <c r="F131" s="13"/>
      <c r="G131" s="13"/>
      <c r="H131" s="13"/>
      <c r="I131" s="13"/>
      <c r="J131" s="13"/>
      <c r="K131" s="13"/>
      <c r="M131" s="4"/>
      <c r="N131" s="4"/>
      <c r="O131" s="5"/>
      <c r="P131" s="5"/>
    </row>
    <row r="132" spans="1:16" s="9" customFormat="1" ht="15" customHeight="1" x14ac:dyDescent="0.25">
      <c r="A132" s="10"/>
      <c r="B132" s="10"/>
      <c r="C132" s="10"/>
      <c r="D132" s="10"/>
      <c r="E132" s="10"/>
      <c r="F132" s="13"/>
      <c r="G132" s="13"/>
      <c r="H132" s="13"/>
      <c r="I132" s="13"/>
      <c r="J132" s="13"/>
      <c r="K132" s="13"/>
      <c r="M132" s="4"/>
      <c r="N132" s="4"/>
      <c r="O132" s="5"/>
      <c r="P132" s="5"/>
    </row>
    <row r="133" spans="1:16" s="9" customFormat="1" ht="15" customHeight="1" x14ac:dyDescent="0.25">
      <c r="A133" s="10"/>
      <c r="B133" s="10"/>
      <c r="C133" s="10"/>
      <c r="D133" s="10"/>
      <c r="E133" s="10"/>
      <c r="F133" s="13"/>
      <c r="G133" s="13"/>
      <c r="H133" s="13"/>
      <c r="I133" s="13"/>
      <c r="J133" s="13"/>
      <c r="K133" s="13"/>
      <c r="M133" s="4"/>
      <c r="N133" s="4"/>
      <c r="O133" s="5"/>
      <c r="P133" s="5"/>
    </row>
    <row r="134" spans="1:16" s="9" customFormat="1" ht="15" customHeight="1" x14ac:dyDescent="0.25">
      <c r="A134" s="10"/>
      <c r="B134" s="10"/>
      <c r="C134" s="10"/>
      <c r="D134" s="10"/>
      <c r="E134" s="10"/>
      <c r="F134" s="13"/>
      <c r="G134" s="13"/>
      <c r="H134" s="13"/>
      <c r="I134" s="13"/>
      <c r="J134" s="13"/>
      <c r="K134" s="13"/>
      <c r="M134" s="4"/>
      <c r="N134" s="4"/>
      <c r="O134" s="5"/>
      <c r="P134" s="5"/>
    </row>
    <row r="135" spans="1:16" s="9" customFormat="1" ht="15" customHeight="1" x14ac:dyDescent="0.25">
      <c r="A135" s="10"/>
      <c r="B135" s="10"/>
      <c r="C135" s="10"/>
      <c r="D135" s="10"/>
      <c r="E135" s="10"/>
      <c r="F135" s="13"/>
      <c r="G135" s="13"/>
      <c r="H135" s="13"/>
      <c r="I135" s="13"/>
      <c r="J135" s="13"/>
      <c r="K135" s="13"/>
      <c r="M135" s="4"/>
      <c r="N135" s="4"/>
      <c r="O135" s="5"/>
      <c r="P135" s="5"/>
    </row>
    <row r="136" spans="1:16" s="9" customFormat="1" ht="15" customHeight="1" x14ac:dyDescent="0.25">
      <c r="A136" s="10"/>
      <c r="B136" s="10"/>
      <c r="C136" s="10"/>
      <c r="D136" s="10"/>
      <c r="E136" s="10"/>
      <c r="F136" s="13"/>
      <c r="G136" s="13"/>
      <c r="H136" s="13"/>
      <c r="I136" s="13"/>
      <c r="J136" s="13"/>
      <c r="K136" s="13"/>
      <c r="M136" s="4"/>
      <c r="N136" s="4"/>
      <c r="O136" s="5"/>
      <c r="P136" s="5"/>
    </row>
    <row r="137" spans="1:16" s="9" customFormat="1" ht="15" customHeight="1" x14ac:dyDescent="0.25">
      <c r="A137" s="10"/>
      <c r="B137" s="10"/>
      <c r="C137" s="10"/>
      <c r="D137" s="10"/>
      <c r="E137" s="10"/>
      <c r="F137" s="13"/>
      <c r="G137" s="13"/>
      <c r="H137" s="13"/>
      <c r="I137" s="13"/>
      <c r="J137" s="13"/>
      <c r="K137" s="13"/>
      <c r="M137" s="4"/>
      <c r="N137" s="4"/>
      <c r="O137" s="5"/>
      <c r="P137" s="5"/>
    </row>
    <row r="138" spans="1:16" s="9" customFormat="1" ht="15" customHeight="1" x14ac:dyDescent="0.25">
      <c r="A138" s="10"/>
      <c r="B138" s="10"/>
      <c r="C138" s="10"/>
      <c r="D138" s="10"/>
      <c r="E138" s="10"/>
      <c r="F138" s="13"/>
      <c r="G138" s="13"/>
      <c r="H138" s="13"/>
      <c r="I138" s="13"/>
      <c r="J138" s="13"/>
      <c r="K138" s="13"/>
      <c r="M138" s="4"/>
      <c r="N138" s="4"/>
      <c r="O138" s="5"/>
      <c r="P138" s="5"/>
    </row>
    <row r="139" spans="1:16" s="9" customFormat="1" ht="15" customHeight="1" x14ac:dyDescent="0.25">
      <c r="A139" s="10"/>
      <c r="B139" s="10"/>
      <c r="C139" s="10"/>
      <c r="D139" s="10"/>
      <c r="E139" s="10"/>
      <c r="F139" s="13"/>
      <c r="G139" s="13"/>
      <c r="H139" s="13"/>
      <c r="I139" s="13"/>
      <c r="J139" s="13"/>
      <c r="K139" s="13"/>
      <c r="M139" s="4"/>
      <c r="N139" s="4"/>
      <c r="O139" s="5"/>
      <c r="P139" s="5"/>
    </row>
    <row r="140" spans="1:16" s="9" customFormat="1" ht="15" customHeight="1" x14ac:dyDescent="0.25">
      <c r="A140" s="10"/>
      <c r="B140" s="10"/>
      <c r="C140" s="10"/>
      <c r="D140" s="10"/>
      <c r="E140" s="10"/>
      <c r="F140" s="13"/>
      <c r="G140" s="13"/>
      <c r="H140" s="13"/>
      <c r="I140" s="13"/>
      <c r="J140" s="13"/>
      <c r="K140" s="13"/>
      <c r="M140" s="4"/>
      <c r="N140" s="4"/>
      <c r="O140" s="5"/>
      <c r="P140" s="5"/>
    </row>
    <row r="141" spans="1:16" s="9" customFormat="1" ht="15" customHeight="1" x14ac:dyDescent="0.25">
      <c r="A141" s="10"/>
      <c r="B141" s="10"/>
      <c r="C141" s="10"/>
      <c r="D141" s="10"/>
      <c r="E141" s="10"/>
      <c r="F141" s="13"/>
      <c r="G141" s="13"/>
      <c r="H141" s="13"/>
      <c r="I141" s="13"/>
      <c r="J141" s="13"/>
      <c r="K141" s="13"/>
      <c r="M141" s="4"/>
      <c r="N141" s="4"/>
      <c r="O141" s="5"/>
      <c r="P141" s="5"/>
    </row>
    <row r="142" spans="1:16" s="9" customFormat="1" ht="15" customHeight="1" x14ac:dyDescent="0.25">
      <c r="A142" s="10"/>
      <c r="B142" s="10"/>
      <c r="C142" s="10"/>
      <c r="D142" s="10"/>
      <c r="E142" s="10"/>
      <c r="F142" s="13"/>
      <c r="G142" s="13"/>
      <c r="H142" s="13"/>
      <c r="I142" s="13"/>
      <c r="J142" s="13"/>
      <c r="K142" s="13"/>
      <c r="M142" s="4"/>
      <c r="N142" s="4"/>
      <c r="O142" s="5"/>
      <c r="P142" s="5"/>
    </row>
    <row r="143" spans="1:16" s="9" customFormat="1" ht="15" customHeight="1" x14ac:dyDescent="0.25">
      <c r="A143" s="10"/>
      <c r="B143" s="10"/>
      <c r="C143" s="10"/>
      <c r="D143" s="10"/>
      <c r="E143" s="10"/>
      <c r="F143" s="13"/>
      <c r="G143" s="13"/>
      <c r="H143" s="13"/>
      <c r="I143" s="13"/>
      <c r="J143" s="13"/>
      <c r="K143" s="13"/>
      <c r="M143" s="4"/>
      <c r="N143" s="4"/>
      <c r="O143" s="5"/>
      <c r="P143" s="5"/>
    </row>
    <row r="144" spans="1:16" s="9" customFormat="1" ht="15" customHeight="1" x14ac:dyDescent="0.25">
      <c r="A144" s="10"/>
      <c r="B144" s="10"/>
      <c r="C144" s="10"/>
      <c r="D144" s="10"/>
      <c r="E144" s="10"/>
      <c r="F144" s="13"/>
      <c r="G144" s="13"/>
      <c r="H144" s="13"/>
      <c r="I144" s="13"/>
      <c r="J144" s="13"/>
      <c r="K144" s="13"/>
      <c r="M144" s="4"/>
      <c r="N144" s="4"/>
      <c r="O144" s="5"/>
      <c r="P144" s="5"/>
    </row>
    <row r="145" spans="1:16" s="9" customFormat="1" ht="15" customHeight="1" x14ac:dyDescent="0.25">
      <c r="A145" s="10"/>
      <c r="B145" s="10"/>
      <c r="C145" s="10"/>
      <c r="D145" s="10"/>
      <c r="E145" s="10"/>
      <c r="F145" s="13"/>
      <c r="G145" s="13"/>
      <c r="H145" s="13"/>
      <c r="I145" s="13"/>
      <c r="J145" s="13"/>
      <c r="K145" s="13"/>
      <c r="M145" s="4"/>
      <c r="N145" s="4"/>
      <c r="O145" s="5"/>
      <c r="P145" s="5"/>
    </row>
    <row r="146" spans="1:16" s="9" customFormat="1" ht="15" customHeight="1" x14ac:dyDescent="0.25">
      <c r="A146" s="10"/>
      <c r="B146" s="10"/>
      <c r="C146" s="10"/>
      <c r="D146" s="10"/>
      <c r="E146" s="10"/>
      <c r="F146" s="13"/>
      <c r="G146" s="13"/>
      <c r="H146" s="13"/>
      <c r="I146" s="13"/>
      <c r="J146" s="13"/>
      <c r="K146" s="13"/>
      <c r="M146" s="4"/>
      <c r="N146" s="4"/>
      <c r="O146" s="5"/>
      <c r="P146" s="5"/>
    </row>
    <row r="147" spans="1:16" s="9" customFormat="1" ht="15" customHeight="1" x14ac:dyDescent="0.25">
      <c r="A147" s="10"/>
      <c r="B147" s="10"/>
      <c r="C147" s="10"/>
      <c r="D147" s="10"/>
      <c r="E147" s="10"/>
      <c r="F147" s="13"/>
      <c r="G147" s="13"/>
      <c r="H147" s="13"/>
      <c r="I147" s="13"/>
      <c r="J147" s="13"/>
      <c r="K147" s="13"/>
      <c r="M147" s="4"/>
      <c r="N147" s="4"/>
      <c r="O147" s="5"/>
      <c r="P147" s="5"/>
    </row>
    <row r="148" spans="1:16" s="9" customFormat="1" ht="15" customHeight="1" x14ac:dyDescent="0.25">
      <c r="A148" s="10"/>
      <c r="B148" s="10"/>
      <c r="C148" s="10"/>
      <c r="D148" s="10"/>
      <c r="E148" s="10"/>
      <c r="F148" s="13"/>
      <c r="G148" s="13"/>
      <c r="H148" s="13"/>
      <c r="I148" s="13"/>
      <c r="J148" s="13"/>
      <c r="K148" s="13"/>
      <c r="M148" s="4"/>
      <c r="N148" s="4"/>
      <c r="O148" s="5"/>
      <c r="P148" s="5"/>
    </row>
    <row r="149" spans="1:16" s="9" customFormat="1" ht="15" customHeight="1" x14ac:dyDescent="0.25">
      <c r="A149" s="10"/>
      <c r="B149" s="10"/>
      <c r="C149" s="10"/>
      <c r="D149" s="10"/>
      <c r="E149" s="10"/>
      <c r="F149" s="13"/>
      <c r="G149" s="13"/>
      <c r="H149" s="13"/>
      <c r="I149" s="13"/>
      <c r="J149" s="13"/>
      <c r="K149" s="13"/>
      <c r="M149" s="4"/>
      <c r="N149" s="4"/>
      <c r="O149" s="5"/>
      <c r="P149" s="5"/>
    </row>
    <row r="150" spans="1:16" s="9" customFormat="1" ht="15" customHeight="1" x14ac:dyDescent="0.25">
      <c r="A150" s="10"/>
      <c r="B150" s="10"/>
      <c r="C150" s="10"/>
      <c r="D150" s="10"/>
      <c r="E150" s="10"/>
      <c r="F150" s="13"/>
      <c r="G150" s="13"/>
      <c r="H150" s="13"/>
      <c r="I150" s="13"/>
      <c r="J150" s="13"/>
      <c r="K150" s="13"/>
      <c r="M150" s="4"/>
      <c r="N150" s="4"/>
      <c r="O150" s="5"/>
      <c r="P150" s="5"/>
    </row>
    <row r="151" spans="1:16" s="9" customFormat="1" ht="15" customHeight="1" x14ac:dyDescent="0.25">
      <c r="A151" s="10"/>
      <c r="B151" s="10"/>
      <c r="C151" s="10"/>
      <c r="D151" s="10"/>
      <c r="E151" s="10"/>
      <c r="F151" s="13"/>
      <c r="G151" s="13"/>
      <c r="H151" s="13"/>
      <c r="I151" s="13"/>
      <c r="J151" s="13"/>
      <c r="K151" s="13"/>
      <c r="M151" s="4"/>
      <c r="N151" s="4"/>
      <c r="O151" s="5"/>
      <c r="P151" s="5"/>
    </row>
    <row r="152" spans="1:16" s="9" customFormat="1" ht="15" customHeight="1" x14ac:dyDescent="0.25">
      <c r="A152" s="10"/>
      <c r="B152" s="10"/>
      <c r="C152" s="10"/>
      <c r="D152" s="10"/>
      <c r="E152" s="10"/>
      <c r="F152" s="13"/>
      <c r="G152" s="13"/>
      <c r="H152" s="13"/>
      <c r="I152" s="13"/>
      <c r="J152" s="13"/>
      <c r="K152" s="13"/>
      <c r="M152" s="4"/>
      <c r="N152" s="4"/>
      <c r="O152" s="5"/>
      <c r="P152" s="5"/>
    </row>
    <row r="153" spans="1:16" s="9" customFormat="1" ht="15" customHeight="1" x14ac:dyDescent="0.25">
      <c r="A153" s="10"/>
      <c r="B153" s="10"/>
      <c r="C153" s="10"/>
      <c r="D153" s="10"/>
      <c r="E153" s="10"/>
      <c r="F153" s="13"/>
      <c r="G153" s="13"/>
      <c r="H153" s="13"/>
      <c r="I153" s="13"/>
      <c r="J153" s="13"/>
      <c r="K153" s="13"/>
      <c r="M153" s="4"/>
      <c r="N153" s="4"/>
      <c r="O153" s="5"/>
      <c r="P153" s="5"/>
    </row>
    <row r="154" spans="1:16" s="9" customFormat="1" ht="15" customHeight="1" x14ac:dyDescent="0.25">
      <c r="A154" s="10"/>
      <c r="B154" s="10"/>
      <c r="C154" s="10"/>
      <c r="D154" s="10"/>
      <c r="E154" s="10"/>
      <c r="F154" s="13"/>
      <c r="G154" s="13"/>
      <c r="H154" s="13"/>
      <c r="I154" s="13"/>
      <c r="J154" s="13"/>
      <c r="K154" s="13"/>
      <c r="M154" s="4"/>
      <c r="N154" s="4"/>
      <c r="O154" s="5"/>
      <c r="P154" s="5"/>
    </row>
    <row r="155" spans="1:16" s="9" customFormat="1" ht="15" customHeight="1" x14ac:dyDescent="0.25">
      <c r="A155" s="10"/>
      <c r="B155" s="10"/>
      <c r="C155" s="10"/>
      <c r="D155" s="10"/>
      <c r="E155" s="10"/>
      <c r="F155" s="13"/>
      <c r="G155" s="13"/>
      <c r="H155" s="13"/>
      <c r="I155" s="13"/>
      <c r="J155" s="13"/>
      <c r="K155" s="13"/>
      <c r="M155" s="4"/>
      <c r="N155" s="4"/>
      <c r="O155" s="5"/>
      <c r="P155" s="5"/>
    </row>
    <row r="156" spans="1:16" s="9" customFormat="1" ht="15" customHeight="1" x14ac:dyDescent="0.25">
      <c r="A156" s="10"/>
      <c r="B156" s="10"/>
      <c r="C156" s="10"/>
      <c r="D156" s="10"/>
      <c r="E156" s="10"/>
      <c r="F156" s="13"/>
      <c r="G156" s="13"/>
      <c r="H156" s="13"/>
      <c r="I156" s="13"/>
      <c r="J156" s="13"/>
      <c r="K156" s="13"/>
      <c r="M156" s="4"/>
      <c r="N156" s="4"/>
      <c r="O156" s="5"/>
      <c r="P156" s="5"/>
    </row>
    <row r="157" spans="1:16" s="9" customFormat="1" ht="15" customHeight="1" x14ac:dyDescent="0.25">
      <c r="A157" s="10"/>
      <c r="B157" s="10"/>
      <c r="C157" s="10"/>
      <c r="D157" s="10"/>
      <c r="E157" s="10"/>
      <c r="F157" s="13"/>
      <c r="G157" s="13"/>
      <c r="H157" s="13"/>
      <c r="I157" s="13"/>
      <c r="J157" s="13"/>
      <c r="K157" s="13"/>
      <c r="M157" s="4"/>
      <c r="N157" s="4"/>
      <c r="O157" s="5"/>
      <c r="P157" s="5"/>
    </row>
    <row r="158" spans="1:16" s="9" customFormat="1" ht="15" customHeight="1" x14ac:dyDescent="0.25">
      <c r="A158" s="10"/>
      <c r="B158" s="10"/>
      <c r="C158" s="10"/>
      <c r="D158" s="10"/>
      <c r="E158" s="10"/>
      <c r="F158" s="13"/>
      <c r="G158" s="13"/>
      <c r="H158" s="13"/>
      <c r="I158" s="13"/>
      <c r="J158" s="13"/>
      <c r="K158" s="13"/>
      <c r="M158" s="4"/>
      <c r="N158" s="4"/>
      <c r="O158" s="5"/>
      <c r="P158" s="5"/>
    </row>
    <row r="159" spans="1:16" s="9" customFormat="1" ht="15" customHeight="1" x14ac:dyDescent="0.25">
      <c r="A159" s="10"/>
      <c r="B159" s="10"/>
      <c r="C159" s="10"/>
      <c r="D159" s="10"/>
      <c r="E159" s="10"/>
      <c r="F159" s="13"/>
      <c r="G159" s="13"/>
      <c r="H159" s="13"/>
      <c r="I159" s="13"/>
      <c r="J159" s="13"/>
      <c r="K159" s="13"/>
      <c r="M159" s="4"/>
      <c r="N159" s="4"/>
      <c r="O159" s="5"/>
      <c r="P159" s="5"/>
    </row>
    <row r="160" spans="1:16" s="9" customFormat="1" ht="15" customHeight="1" x14ac:dyDescent="0.25">
      <c r="A160" s="10"/>
      <c r="B160" s="10"/>
      <c r="C160" s="10"/>
      <c r="D160" s="10"/>
      <c r="E160" s="10"/>
      <c r="F160" s="13"/>
      <c r="G160" s="13"/>
      <c r="H160" s="13"/>
      <c r="I160" s="13"/>
      <c r="J160" s="13"/>
      <c r="K160" s="13"/>
      <c r="M160" s="4"/>
      <c r="N160" s="4"/>
      <c r="O160" s="5"/>
      <c r="P160" s="5"/>
    </row>
    <row r="161" spans="1:16" s="9" customFormat="1" ht="15" customHeight="1" x14ac:dyDescent="0.25">
      <c r="A161" s="10"/>
      <c r="B161" s="10"/>
      <c r="C161" s="10"/>
      <c r="D161" s="10"/>
      <c r="E161" s="10"/>
      <c r="F161" s="13"/>
      <c r="G161" s="13"/>
      <c r="H161" s="13"/>
      <c r="I161" s="13"/>
      <c r="J161" s="13"/>
      <c r="K161" s="13"/>
      <c r="M161" s="4"/>
      <c r="N161" s="4"/>
      <c r="O161" s="5"/>
      <c r="P161" s="5"/>
    </row>
    <row r="162" spans="1:16" s="9" customFormat="1" ht="15" customHeight="1" x14ac:dyDescent="0.25">
      <c r="A162" s="10"/>
      <c r="B162" s="10"/>
      <c r="C162" s="10"/>
      <c r="D162" s="10"/>
      <c r="E162" s="10"/>
      <c r="F162" s="13"/>
      <c r="G162" s="13"/>
      <c r="H162" s="13"/>
      <c r="I162" s="13"/>
      <c r="J162" s="13"/>
      <c r="K162" s="13"/>
      <c r="M162" s="4"/>
      <c r="N162" s="4"/>
      <c r="O162" s="5"/>
      <c r="P162" s="5"/>
    </row>
    <row r="163" spans="1:16" s="9" customFormat="1" ht="15" customHeight="1" x14ac:dyDescent="0.25">
      <c r="A163" s="10"/>
      <c r="B163" s="10"/>
      <c r="C163" s="10"/>
      <c r="D163" s="10"/>
      <c r="E163" s="10"/>
      <c r="F163" s="13"/>
      <c r="G163" s="13"/>
      <c r="H163" s="13"/>
      <c r="I163" s="13"/>
      <c r="J163" s="13"/>
      <c r="K163" s="13"/>
      <c r="M163" s="4"/>
      <c r="N163" s="4"/>
      <c r="O163" s="5"/>
      <c r="P163" s="5"/>
    </row>
    <row r="164" spans="1:16" s="9" customFormat="1" ht="15" customHeight="1" x14ac:dyDescent="0.25">
      <c r="A164" s="10"/>
      <c r="B164" s="10"/>
      <c r="C164" s="10"/>
      <c r="D164" s="10"/>
      <c r="E164" s="10"/>
      <c r="F164" s="10"/>
      <c r="G164" s="13"/>
      <c r="H164" s="13"/>
      <c r="I164" s="13"/>
      <c r="J164" s="13"/>
      <c r="K164" s="13"/>
      <c r="M164" s="4"/>
      <c r="N164" s="4"/>
      <c r="O164" s="5"/>
      <c r="P164" s="5"/>
    </row>
    <row r="165" spans="1:16" s="9" customFormat="1" ht="1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M165" s="4"/>
      <c r="N165" s="4"/>
      <c r="O165" s="5"/>
      <c r="P165" s="5"/>
    </row>
    <row r="166" spans="1:16" s="9" customFormat="1" ht="1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M166" s="4"/>
      <c r="N166" s="4"/>
      <c r="O166" s="5"/>
      <c r="P166" s="5"/>
    </row>
    <row r="167" spans="1:16" s="9" customFormat="1" ht="1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M167" s="4"/>
      <c r="N167" s="4"/>
      <c r="O167" s="5"/>
      <c r="P167" s="5"/>
    </row>
    <row r="168" spans="1:16" s="9" customFormat="1" ht="1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M168" s="4"/>
      <c r="N168" s="4"/>
      <c r="O168" s="5"/>
      <c r="P168" s="5"/>
    </row>
    <row r="169" spans="1:16" s="9" customFormat="1" ht="1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M169" s="4"/>
      <c r="N169" s="4"/>
      <c r="O169" s="5"/>
      <c r="P169" s="5"/>
    </row>
    <row r="170" spans="1:16" s="9" customFormat="1" ht="1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M170" s="4"/>
      <c r="N170" s="4"/>
      <c r="O170" s="5"/>
      <c r="P170" s="5"/>
    </row>
    <row r="171" spans="1:16" s="9" customFormat="1" ht="1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M171" s="4"/>
      <c r="N171" s="4"/>
      <c r="O171" s="5"/>
      <c r="P171" s="5"/>
    </row>
    <row r="172" spans="1:16" s="9" customFormat="1" ht="1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M172" s="4"/>
      <c r="N172" s="4"/>
      <c r="O172" s="5"/>
      <c r="P172" s="5"/>
    </row>
    <row r="173" spans="1:16" s="9" customFormat="1" ht="1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M173" s="4"/>
      <c r="N173" s="4"/>
      <c r="O173" s="5"/>
      <c r="P173" s="5"/>
    </row>
    <row r="174" spans="1:16" s="9" customFormat="1" ht="1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M174" s="4"/>
      <c r="N174" s="4"/>
      <c r="O174" s="5"/>
      <c r="P174" s="5"/>
    </row>
    <row r="175" spans="1:16" s="9" customFormat="1" ht="1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M175" s="4"/>
      <c r="N175" s="4"/>
      <c r="O175" s="5"/>
      <c r="P175" s="5"/>
    </row>
    <row r="176" spans="1:16" s="9" customFormat="1" ht="1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M176" s="4"/>
      <c r="N176" s="4"/>
      <c r="O176" s="5"/>
      <c r="P176" s="5"/>
    </row>
    <row r="177" spans="1:16" s="9" customFormat="1" ht="1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M177" s="4"/>
      <c r="N177" s="4"/>
      <c r="O177" s="5"/>
      <c r="P177" s="5"/>
    </row>
    <row r="178" spans="1:16" s="9" customFormat="1" ht="1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M178" s="4"/>
      <c r="N178" s="4"/>
      <c r="O178" s="5"/>
      <c r="P178" s="5"/>
    </row>
    <row r="179" spans="1:16" s="9" customFormat="1" ht="1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M179" s="4"/>
      <c r="N179" s="4"/>
      <c r="O179" s="5"/>
      <c r="P179" s="5"/>
    </row>
    <row r="180" spans="1:16" s="9" customFormat="1" ht="1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M180" s="4"/>
      <c r="N180" s="4"/>
      <c r="O180" s="5"/>
      <c r="P180" s="5"/>
    </row>
    <row r="181" spans="1:16" s="9" customFormat="1" ht="1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M181" s="4"/>
      <c r="N181" s="4"/>
      <c r="O181" s="5"/>
      <c r="P181" s="5"/>
    </row>
    <row r="182" spans="1:16" s="9" customFormat="1" ht="1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M182" s="4"/>
      <c r="N182" s="4"/>
      <c r="O182" s="5"/>
      <c r="P182" s="5"/>
    </row>
    <row r="183" spans="1:16" s="9" customFormat="1" ht="1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M183" s="4"/>
      <c r="N183" s="4"/>
      <c r="O183" s="5"/>
      <c r="P183" s="5"/>
    </row>
    <row r="184" spans="1:16" s="9" customFormat="1" ht="1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M184" s="4"/>
      <c r="N184" s="4"/>
      <c r="O184" s="5"/>
      <c r="P184" s="5"/>
    </row>
    <row r="185" spans="1:16" s="9" customFormat="1" ht="1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M185" s="4"/>
      <c r="N185" s="4"/>
      <c r="O185" s="5"/>
      <c r="P185" s="5"/>
    </row>
    <row r="186" spans="1:16" s="9" customFormat="1" ht="1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M186" s="4"/>
      <c r="N186" s="4"/>
      <c r="O186" s="5"/>
      <c r="P186" s="5"/>
    </row>
    <row r="187" spans="1:16" s="9" customFormat="1" ht="1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M187" s="4"/>
      <c r="N187" s="4"/>
      <c r="O187" s="5"/>
      <c r="P187" s="5"/>
    </row>
    <row r="188" spans="1:16" s="9" customFormat="1" ht="1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M188" s="4"/>
      <c r="N188" s="4"/>
      <c r="O188" s="5"/>
      <c r="P188" s="5"/>
    </row>
    <row r="189" spans="1:16" s="9" customFormat="1" ht="1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M189" s="4"/>
      <c r="N189" s="4"/>
      <c r="O189" s="5"/>
      <c r="P189" s="5"/>
    </row>
    <row r="190" spans="1:16" s="9" customFormat="1" ht="1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M190" s="4"/>
      <c r="N190" s="4"/>
      <c r="O190" s="5"/>
      <c r="P190" s="5"/>
    </row>
    <row r="191" spans="1:16" s="9" customFormat="1" ht="1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M191" s="4"/>
      <c r="N191" s="4"/>
      <c r="O191" s="5"/>
      <c r="P191" s="5"/>
    </row>
    <row r="192" spans="1:16" s="9" customFormat="1" ht="1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M192" s="4"/>
      <c r="N192" s="4"/>
      <c r="O192" s="5"/>
      <c r="P192" s="5"/>
    </row>
    <row r="193" spans="1:16" s="9" customFormat="1" ht="1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M193" s="4"/>
      <c r="N193" s="4"/>
      <c r="O193" s="5"/>
      <c r="P193" s="5"/>
    </row>
    <row r="194" spans="1:16" s="9" customFormat="1" ht="1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M194" s="4"/>
      <c r="N194" s="4"/>
      <c r="O194" s="5"/>
      <c r="P194" s="5"/>
    </row>
    <row r="195" spans="1:16" s="9" customFormat="1" ht="1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M195" s="4"/>
      <c r="N195" s="4"/>
      <c r="O195" s="5"/>
      <c r="P195" s="5"/>
    </row>
    <row r="196" spans="1:16" s="9" customFormat="1" ht="1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M196" s="4"/>
      <c r="N196" s="4"/>
      <c r="O196" s="5"/>
      <c r="P196" s="5"/>
    </row>
    <row r="197" spans="1:16" s="9" customFormat="1" ht="1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M197" s="4"/>
      <c r="N197" s="4"/>
      <c r="O197" s="5"/>
      <c r="P197" s="5"/>
    </row>
    <row r="198" spans="1:16" s="9" customFormat="1" ht="1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M198" s="4"/>
      <c r="N198" s="4"/>
      <c r="O198" s="5"/>
      <c r="P198" s="5"/>
    </row>
    <row r="199" spans="1:16" s="9" customFormat="1" ht="1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M199" s="4"/>
      <c r="N199" s="4"/>
      <c r="O199" s="5"/>
      <c r="P199" s="5"/>
    </row>
    <row r="200" spans="1:16" s="9" customFormat="1" ht="1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M200" s="4"/>
      <c r="N200" s="4"/>
      <c r="O200" s="5"/>
      <c r="P200" s="5"/>
    </row>
    <row r="201" spans="1:16" s="9" customFormat="1" ht="1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M201" s="4"/>
      <c r="N201" s="4"/>
      <c r="O201" s="5"/>
      <c r="P201" s="5"/>
    </row>
    <row r="202" spans="1:16" s="9" customFormat="1" ht="1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M202" s="4"/>
      <c r="N202" s="4"/>
      <c r="O202" s="5"/>
      <c r="P202" s="5"/>
    </row>
    <row r="203" spans="1:16" s="9" customFormat="1" ht="1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M203" s="4"/>
      <c r="N203" s="4"/>
      <c r="O203" s="5"/>
      <c r="P203" s="5"/>
    </row>
    <row r="204" spans="1:16" s="9" customFormat="1" ht="1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M204" s="4"/>
      <c r="N204" s="4"/>
      <c r="O204" s="5"/>
      <c r="P204" s="5"/>
    </row>
    <row r="205" spans="1:16" s="9" customFormat="1" ht="1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4"/>
      <c r="N205" s="4"/>
      <c r="O205" s="5"/>
      <c r="P205" s="5"/>
    </row>
    <row r="206" spans="1:16" s="9" customFormat="1" ht="1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M206" s="4"/>
      <c r="N206" s="4"/>
      <c r="O206" s="5"/>
      <c r="P206" s="5"/>
    </row>
    <row r="207" spans="1:16" s="9" customFormat="1" ht="1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M207" s="4"/>
      <c r="N207" s="4"/>
      <c r="O207" s="5"/>
      <c r="P207" s="5"/>
    </row>
    <row r="208" spans="1:16" s="9" customFormat="1" ht="1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M208" s="4"/>
      <c r="N208" s="4"/>
      <c r="O208" s="5"/>
      <c r="P208" s="5"/>
    </row>
    <row r="209" spans="1:16" s="9" customFormat="1" ht="1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M209" s="4"/>
      <c r="N209" s="4"/>
      <c r="O209" s="5"/>
      <c r="P209" s="5"/>
    </row>
    <row r="210" spans="1:16" s="9" customFormat="1" ht="1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M210" s="4"/>
      <c r="N210" s="4"/>
      <c r="O210" s="5"/>
      <c r="P210" s="5"/>
    </row>
    <row r="211" spans="1:16" s="9" customFormat="1" ht="1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M211" s="4"/>
      <c r="N211" s="4"/>
      <c r="O211" s="5"/>
      <c r="P211" s="5"/>
    </row>
    <row r="212" spans="1:16" s="9" customFormat="1" ht="1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M212" s="4"/>
      <c r="N212" s="4"/>
      <c r="O212" s="5"/>
      <c r="P212" s="5"/>
    </row>
    <row r="213" spans="1:16" s="9" customFormat="1" ht="1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M213" s="4"/>
      <c r="N213" s="4"/>
      <c r="O213" s="5"/>
      <c r="P213" s="5"/>
    </row>
    <row r="214" spans="1:16" s="9" customFormat="1" ht="1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M214" s="4"/>
      <c r="N214" s="4"/>
      <c r="O214" s="5"/>
      <c r="P214" s="5"/>
    </row>
    <row r="215" spans="1:16" s="9" customFormat="1" ht="1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M215" s="4"/>
      <c r="N215" s="4"/>
      <c r="O215" s="5"/>
      <c r="P215" s="5"/>
    </row>
    <row r="216" spans="1:16" s="9" customFormat="1" ht="1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M216" s="4"/>
      <c r="N216" s="4"/>
      <c r="O216" s="5"/>
      <c r="P216" s="5"/>
    </row>
    <row r="217" spans="1:16" s="9" customFormat="1" ht="1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M217" s="4"/>
      <c r="N217" s="4"/>
      <c r="O217" s="5"/>
      <c r="P217" s="5"/>
    </row>
    <row r="218" spans="1:16" s="9" customFormat="1" ht="1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M218" s="4"/>
      <c r="N218" s="4"/>
      <c r="O218" s="5"/>
      <c r="P218" s="5"/>
    </row>
    <row r="219" spans="1:16" s="9" customFormat="1" ht="1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M219" s="4"/>
      <c r="N219" s="4"/>
      <c r="O219" s="5"/>
      <c r="P219" s="5"/>
    </row>
    <row r="220" spans="1:16" s="9" customFormat="1" ht="1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M220" s="4"/>
      <c r="N220" s="4"/>
      <c r="O220" s="5"/>
      <c r="P220" s="5"/>
    </row>
    <row r="221" spans="1:16" s="9" customFormat="1" ht="1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M221" s="4"/>
      <c r="N221" s="4"/>
      <c r="O221" s="5"/>
      <c r="P221" s="5"/>
    </row>
    <row r="222" spans="1:16" s="9" customFormat="1" ht="1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M222" s="4"/>
      <c r="N222" s="4"/>
      <c r="O222" s="5"/>
      <c r="P222" s="5"/>
    </row>
    <row r="223" spans="1:16" s="9" customFormat="1" ht="1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M223" s="4"/>
      <c r="N223" s="4"/>
      <c r="O223" s="5"/>
      <c r="P223" s="5"/>
    </row>
    <row r="224" spans="1:16" s="9" customFormat="1" ht="1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M224" s="4"/>
      <c r="N224" s="4"/>
      <c r="O224" s="5"/>
      <c r="P224" s="5"/>
    </row>
    <row r="225" spans="1:16" s="9" customFormat="1" ht="1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M225" s="4"/>
      <c r="N225" s="4"/>
      <c r="O225" s="5"/>
      <c r="P225" s="5"/>
    </row>
    <row r="226" spans="1:16" s="9" customFormat="1" ht="1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M226" s="4"/>
      <c r="N226" s="4"/>
      <c r="O226" s="5"/>
      <c r="P226" s="5"/>
    </row>
    <row r="227" spans="1:16" s="9" customFormat="1" ht="1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M227" s="4"/>
      <c r="N227" s="4"/>
      <c r="O227" s="5"/>
      <c r="P227" s="5"/>
    </row>
    <row r="228" spans="1:16" s="9" customFormat="1" ht="1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M228" s="4"/>
      <c r="N228" s="4"/>
      <c r="O228" s="5"/>
      <c r="P228" s="5"/>
    </row>
    <row r="229" spans="1:16" s="9" customFormat="1" ht="1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M229" s="4"/>
      <c r="N229" s="4"/>
      <c r="O229" s="5"/>
      <c r="P229" s="5"/>
    </row>
    <row r="230" spans="1:16" s="9" customFormat="1" ht="1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M230" s="4"/>
      <c r="N230" s="4"/>
      <c r="O230" s="5"/>
      <c r="P230" s="5"/>
    </row>
    <row r="231" spans="1:16" s="9" customFormat="1" ht="1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M231" s="4"/>
      <c r="N231" s="4"/>
      <c r="O231" s="5"/>
      <c r="P231" s="5"/>
    </row>
    <row r="232" spans="1:16" s="9" customFormat="1" ht="1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M232" s="4"/>
      <c r="N232" s="4"/>
      <c r="O232" s="5"/>
      <c r="P232" s="5"/>
    </row>
    <row r="233" spans="1:16" s="9" customFormat="1" ht="1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M233" s="4"/>
      <c r="N233" s="4"/>
      <c r="O233" s="5"/>
      <c r="P233" s="5"/>
    </row>
    <row r="234" spans="1:16" s="9" customFormat="1" ht="1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M234" s="4"/>
      <c r="N234" s="4"/>
      <c r="O234" s="5"/>
      <c r="P234" s="5"/>
    </row>
    <row r="235" spans="1:16" s="9" customForma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M235" s="4"/>
      <c r="N235" s="4"/>
      <c r="O235" s="5"/>
      <c r="P235" s="5"/>
    </row>
    <row r="236" spans="1:16" s="9" customForma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M236" s="4"/>
      <c r="N236" s="4"/>
      <c r="O236" s="5"/>
      <c r="P236" s="5"/>
    </row>
    <row r="237" spans="1:16" s="9" customForma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M237" s="4"/>
      <c r="N237" s="4"/>
      <c r="O237" s="5"/>
      <c r="P237" s="5"/>
    </row>
    <row r="238" spans="1:16" s="9" customForma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M238" s="4"/>
      <c r="N238" s="4"/>
      <c r="O238" s="5"/>
      <c r="P238" s="5"/>
    </row>
    <row r="239" spans="1:16" s="9" customForma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M239" s="4"/>
      <c r="N239" s="4"/>
      <c r="O239" s="5"/>
      <c r="P239" s="5"/>
    </row>
    <row r="240" spans="1:16" s="9" customForma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M240" s="4"/>
      <c r="N240" s="4"/>
      <c r="O240" s="5"/>
      <c r="P240" s="5"/>
    </row>
    <row r="241" spans="1:16" s="9" customForma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M241" s="4"/>
      <c r="N241" s="4"/>
      <c r="O241" s="5"/>
      <c r="P241" s="5"/>
    </row>
    <row r="242" spans="1:16" s="9" customForma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M242" s="4"/>
      <c r="N242" s="4"/>
      <c r="O242" s="5"/>
      <c r="P242" s="5"/>
    </row>
    <row r="243" spans="1:16" s="9" customForma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M243" s="4"/>
      <c r="N243" s="4"/>
      <c r="O243" s="5"/>
      <c r="P243" s="5"/>
    </row>
    <row r="244" spans="1:16" s="9" customForma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M244" s="4"/>
      <c r="N244" s="4"/>
      <c r="O244" s="5"/>
      <c r="P244" s="5"/>
    </row>
    <row r="245" spans="1:16" s="9" customForma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M245" s="4"/>
      <c r="N245" s="4"/>
      <c r="O245" s="5"/>
      <c r="P245" s="5"/>
    </row>
    <row r="246" spans="1:16" s="9" customForma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M246" s="4"/>
      <c r="N246" s="4"/>
      <c r="O246" s="5"/>
      <c r="P246" s="5"/>
    </row>
    <row r="247" spans="1:16" s="9" customForma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M247" s="4"/>
      <c r="N247" s="4"/>
      <c r="O247" s="5"/>
      <c r="P247" s="5"/>
    </row>
    <row r="248" spans="1:16" s="9" customForma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M248" s="4"/>
      <c r="N248" s="4"/>
      <c r="O248" s="5"/>
      <c r="P248" s="5"/>
    </row>
    <row r="249" spans="1:16" s="9" customForma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M249" s="4"/>
      <c r="N249" s="4"/>
      <c r="O249" s="5"/>
      <c r="P249" s="5"/>
    </row>
    <row r="250" spans="1:16" s="9" customForma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M250" s="4"/>
      <c r="N250" s="4"/>
      <c r="O250" s="5"/>
      <c r="P250" s="5"/>
    </row>
    <row r="251" spans="1:16" s="9" customForma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M251" s="4"/>
      <c r="N251" s="4"/>
      <c r="O251" s="5"/>
      <c r="P251" s="5"/>
    </row>
    <row r="252" spans="1:16" s="9" customForma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M252" s="4"/>
      <c r="N252" s="4"/>
      <c r="O252" s="5"/>
      <c r="P252" s="5"/>
    </row>
    <row r="253" spans="1:16" s="9" customForma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M253" s="4"/>
      <c r="N253" s="4"/>
      <c r="O253" s="5"/>
      <c r="P253" s="5"/>
    </row>
    <row r="254" spans="1:16" s="9" customForma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M254" s="4"/>
      <c r="N254" s="4"/>
      <c r="O254" s="5"/>
      <c r="P254" s="5"/>
    </row>
    <row r="255" spans="1:16" s="9" customForma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M255" s="4"/>
      <c r="N255" s="4"/>
      <c r="O255" s="5"/>
      <c r="P255" s="5"/>
    </row>
    <row r="256" spans="1:16" s="9" customForma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M256" s="4"/>
      <c r="N256" s="4"/>
      <c r="O256" s="5"/>
      <c r="P256" s="5"/>
    </row>
    <row r="257" spans="1:16" s="9" customForma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M257" s="4"/>
      <c r="N257" s="4"/>
      <c r="O257" s="5"/>
      <c r="P257" s="5"/>
    </row>
    <row r="258" spans="1:16" s="9" customForma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M258" s="4"/>
      <c r="N258" s="4"/>
      <c r="O258" s="5"/>
      <c r="P258" s="5"/>
    </row>
    <row r="259" spans="1:16" s="9" customForma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M259" s="4"/>
      <c r="N259" s="4"/>
      <c r="O259" s="5"/>
      <c r="P259" s="5"/>
    </row>
    <row r="260" spans="1:16" s="9" customForma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M260" s="4"/>
      <c r="N260" s="4"/>
      <c r="O260" s="5"/>
      <c r="P260" s="5"/>
    </row>
    <row r="261" spans="1:16" s="9" customForma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M261" s="4"/>
      <c r="N261" s="4"/>
      <c r="O261" s="5"/>
      <c r="P261" s="5"/>
    </row>
    <row r="262" spans="1:16" s="9" customForma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M262" s="4"/>
      <c r="N262" s="4"/>
      <c r="O262" s="5"/>
      <c r="P262" s="5"/>
    </row>
    <row r="263" spans="1:16" s="9" customForma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M263" s="4"/>
      <c r="N263" s="4"/>
      <c r="O263" s="5"/>
      <c r="P263" s="5"/>
    </row>
    <row r="264" spans="1:16" s="9" customForma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M264" s="4"/>
      <c r="N264" s="4"/>
      <c r="O264" s="5"/>
      <c r="P264" s="5"/>
    </row>
    <row r="265" spans="1:16" s="9" customForma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M265" s="4"/>
      <c r="N265" s="4"/>
      <c r="O265" s="5"/>
      <c r="P265" s="5"/>
    </row>
    <row r="266" spans="1:16" s="9" customForma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M266" s="4"/>
      <c r="N266" s="4"/>
      <c r="O266" s="5"/>
      <c r="P266" s="5"/>
    </row>
    <row r="267" spans="1:16" s="9" customForma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M267" s="4"/>
      <c r="N267" s="4"/>
      <c r="O267" s="5"/>
      <c r="P267" s="5"/>
    </row>
    <row r="268" spans="1:16" s="9" customForma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M268" s="4"/>
      <c r="N268" s="4"/>
      <c r="O268" s="5"/>
      <c r="P268" s="5"/>
    </row>
    <row r="269" spans="1:16" s="9" customForma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M269" s="4"/>
      <c r="N269" s="4"/>
      <c r="O269" s="5"/>
      <c r="P269" s="5"/>
    </row>
    <row r="270" spans="1:16" s="9" customForma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M270" s="4"/>
      <c r="N270" s="4"/>
      <c r="O270" s="5"/>
      <c r="P270" s="5"/>
    </row>
    <row r="271" spans="1:16" s="9" customFormat="1" x14ac:dyDescent="0.25">
      <c r="A271" s="10"/>
      <c r="B271" s="10"/>
      <c r="D271" s="10"/>
      <c r="F271" s="10"/>
      <c r="G271" s="10"/>
      <c r="H271" s="10"/>
      <c r="I271" s="10"/>
      <c r="J271" s="10"/>
      <c r="K271" s="10"/>
      <c r="M271" s="4"/>
      <c r="N271" s="4"/>
      <c r="O271" s="5"/>
      <c r="P271" s="5"/>
    </row>
    <row r="272" spans="1:16" s="9" customFormat="1" x14ac:dyDescent="0.25">
      <c r="A272" s="10"/>
      <c r="B272" s="10"/>
      <c r="D272" s="10"/>
      <c r="F272" s="10"/>
      <c r="G272" s="10"/>
      <c r="H272" s="10"/>
      <c r="I272" s="10"/>
      <c r="J272" s="10"/>
      <c r="K272" s="10"/>
      <c r="M272" s="4"/>
      <c r="N272" s="4"/>
      <c r="O272" s="5"/>
      <c r="P272" s="5"/>
    </row>
    <row r="273" spans="1:16" s="9" customFormat="1" x14ac:dyDescent="0.25">
      <c r="A273" s="10"/>
      <c r="B273" s="10"/>
      <c r="D273" s="10"/>
      <c r="F273" s="10"/>
      <c r="G273" s="10"/>
      <c r="H273" s="10"/>
      <c r="I273" s="10"/>
      <c r="J273" s="10"/>
      <c r="K273" s="10"/>
      <c r="M273" s="4"/>
      <c r="N273" s="4"/>
      <c r="O273" s="5"/>
      <c r="P273" s="5"/>
    </row>
    <row r="274" spans="1:16" s="9" customFormat="1" x14ac:dyDescent="0.25">
      <c r="A274" s="10"/>
      <c r="D274" s="10"/>
      <c r="F274" s="10"/>
      <c r="G274" s="10"/>
      <c r="H274" s="10"/>
      <c r="I274" s="10"/>
      <c r="J274" s="10"/>
      <c r="K274" s="10"/>
      <c r="M274" s="4"/>
      <c r="N274" s="4"/>
      <c r="O274" s="5"/>
      <c r="P274" s="5"/>
    </row>
    <row r="275" spans="1:16" s="9" customFormat="1" x14ac:dyDescent="0.25">
      <c r="A275" s="10"/>
      <c r="F275" s="10"/>
      <c r="G275" s="10"/>
      <c r="H275" s="10"/>
      <c r="I275" s="10"/>
      <c r="J275" s="10"/>
      <c r="K275" s="10"/>
      <c r="M275" s="4"/>
      <c r="N275" s="4"/>
      <c r="O275" s="5"/>
      <c r="P275" s="5"/>
    </row>
    <row r="276" spans="1:16" s="9" customFormat="1" x14ac:dyDescent="0.25">
      <c r="A276" s="10"/>
      <c r="F276" s="10"/>
      <c r="G276" s="10"/>
      <c r="H276" s="10"/>
      <c r="I276" s="10"/>
      <c r="J276" s="10"/>
      <c r="K276" s="10"/>
      <c r="M276" s="4"/>
      <c r="N276" s="4"/>
      <c r="O276" s="5"/>
      <c r="P276" s="5"/>
    </row>
    <row r="277" spans="1:16" s="9" customFormat="1" x14ac:dyDescent="0.25">
      <c r="A277" s="10"/>
      <c r="F277" s="10"/>
      <c r="G277" s="10"/>
      <c r="H277" s="10"/>
      <c r="I277" s="10"/>
      <c r="J277" s="10"/>
      <c r="K277" s="10"/>
      <c r="M277" s="4"/>
      <c r="N277" s="4"/>
      <c r="O277" s="5"/>
      <c r="P277" s="5"/>
    </row>
    <row r="278" spans="1:16" s="9" customFormat="1" x14ac:dyDescent="0.25">
      <c r="A278" s="10"/>
      <c r="F278" s="10"/>
      <c r="G278" s="10"/>
      <c r="H278" s="10"/>
      <c r="I278" s="10"/>
      <c r="J278" s="10"/>
      <c r="K278" s="10"/>
      <c r="M278" s="4"/>
      <c r="N278" s="4"/>
      <c r="O278" s="5"/>
      <c r="P278" s="5"/>
    </row>
    <row r="279" spans="1:16" s="9" customFormat="1" x14ac:dyDescent="0.25">
      <c r="A279" s="10"/>
      <c r="F279" s="10"/>
      <c r="G279" s="10"/>
      <c r="H279" s="10"/>
      <c r="I279" s="10"/>
      <c r="J279" s="10"/>
      <c r="K279" s="10"/>
      <c r="M279" s="4"/>
      <c r="N279" s="4"/>
      <c r="O279" s="5"/>
      <c r="P279" s="5"/>
    </row>
    <row r="280" spans="1:16" s="9" customFormat="1" x14ac:dyDescent="0.25">
      <c r="A280" s="10"/>
      <c r="F280" s="10"/>
      <c r="G280" s="10"/>
      <c r="H280" s="10"/>
      <c r="I280" s="10"/>
      <c r="J280" s="10"/>
      <c r="K280" s="10"/>
      <c r="M280" s="4"/>
      <c r="N280" s="4"/>
      <c r="O280" s="5"/>
      <c r="P280" s="5"/>
    </row>
    <row r="281" spans="1:16" s="9" customFormat="1" x14ac:dyDescent="0.25">
      <c r="A281" s="10"/>
      <c r="F281" s="10"/>
      <c r="G281" s="10"/>
      <c r="H281" s="10"/>
      <c r="I281" s="10"/>
      <c r="J281" s="10"/>
      <c r="K281" s="10"/>
      <c r="M281" s="4"/>
      <c r="N281" s="4"/>
      <c r="O281" s="5"/>
      <c r="P281" s="5"/>
    </row>
    <row r="282" spans="1:16" s="9" customFormat="1" x14ac:dyDescent="0.25">
      <c r="A282" s="10"/>
      <c r="F282" s="10"/>
      <c r="G282" s="10"/>
      <c r="H282" s="10"/>
      <c r="I282" s="10"/>
      <c r="J282" s="10"/>
      <c r="K282" s="10"/>
      <c r="M282" s="4"/>
      <c r="N282" s="4"/>
      <c r="O282" s="5"/>
      <c r="P282" s="5"/>
    </row>
    <row r="283" spans="1:16" s="9" customFormat="1" x14ac:dyDescent="0.25">
      <c r="F283" s="10"/>
      <c r="G283" s="10"/>
      <c r="H283" s="10"/>
      <c r="I283" s="10"/>
      <c r="J283" s="10"/>
      <c r="K283" s="10"/>
      <c r="M283" s="4"/>
      <c r="N283" s="4"/>
      <c r="O283" s="5"/>
      <c r="P283" s="5"/>
    </row>
    <row r="284" spans="1:16" s="9" customFormat="1" x14ac:dyDescent="0.25">
      <c r="G284" s="10"/>
      <c r="H284" s="10"/>
      <c r="I284" s="10"/>
      <c r="J284" s="10"/>
      <c r="K284" s="10"/>
      <c r="M284" s="4"/>
      <c r="N284" s="4"/>
      <c r="O284" s="5"/>
      <c r="P284" s="5"/>
    </row>
    <row r="20069" spans="10:16" s="9" customFormat="1" x14ac:dyDescent="0.25">
      <c r="J20069" s="9">
        <v>0</v>
      </c>
      <c r="M20069" s="4"/>
      <c r="N20069" s="4"/>
      <c r="O20069" s="5"/>
      <c r="P20069" s="5"/>
    </row>
  </sheetData>
  <sheetProtection formatColumns="0"/>
  <customSheetViews>
    <customSheetView guid="{06317133-151B-4DBC-8EB3-9345BA061F91}" scale="60" showPageBreaks="1" fitToPage="1" printArea="1">
      <pane ySplit="6" topLeftCell="A70" activePane="bottomLeft" state="frozen"/>
      <selection pane="bottomLeft" activeCell="F42" sqref="F42"/>
      <pageMargins left="0.11811023622047245" right="0" top="0.11811023622047245" bottom="0.11811023622047245" header="0" footer="0"/>
      <printOptions horizontalCentered="1"/>
      <pageSetup paperSize="9" scale="54" orientation="portrait" r:id="rId1"/>
      <headerFooter>
        <oddFooter>&amp;L&amp;A&amp;Rлист &amp;P    листов &amp;N</oddFooter>
      </headerFooter>
    </customSheetView>
    <customSheetView guid="{375BA386-B398-4A0E-AF86-4319F1FDDF11}" scale="90" showPageBreaks="1" fitToPage="1" printArea="1">
      <pane ySplit="6" topLeftCell="A7" activePane="bottomLeft" state="frozen"/>
      <selection pane="bottomLeft" activeCell="J93" sqref="J93"/>
      <pageMargins left="0.11811023622047245" right="0" top="0.11811023622047245" bottom="0.11811023622047245" header="0" footer="0"/>
      <printOptions horizontalCentered="1"/>
      <pageSetup paperSize="9" scale="54" orientation="portrait" r:id="rId2"/>
      <headerFooter>
        <oddFooter>&amp;L&amp;A&amp;Rлист &amp;P    листов &amp;N</oddFooter>
      </headerFooter>
    </customSheetView>
    <customSheetView guid="{45C31AC1-6FB2-488C-94EA-BCF9E79D0043}" scale="90" showPageBreaks="1" fitToPage="1" printArea="1" hiddenColumns="1">
      <pane ySplit="6" topLeftCell="A58" activePane="bottomLeft" state="frozen"/>
      <selection pane="bottomLeft" activeCell="J106" sqref="J106"/>
      <pageMargins left="0.11811023622047245" right="0" top="0.11811023622047245" bottom="0.11811023622047245" header="0" footer="0"/>
      <printOptions horizontalCentered="1"/>
      <pageSetup paperSize="9" scale="63" orientation="portrait" r:id="rId3"/>
      <headerFooter>
        <oddFooter>&amp;L&amp;A&amp;Rлист &amp;P    листов &amp;N</oddFooter>
      </headerFooter>
    </customSheetView>
    <customSheetView guid="{845EA106-2CB5-4F86-BBCF-D0DE18153B1C}" scale="90" showPageBreaks="1" fitToPage="1" printArea="1">
      <pane ySplit="6" topLeftCell="A37" activePane="bottomLeft" state="frozen"/>
      <selection pane="bottomLeft" activeCell="A42" sqref="A42"/>
      <pageMargins left="0.11811023622047245" right="0" top="0.11811023622047245" bottom="0.11811023622047245" header="0" footer="0"/>
      <printOptions horizontalCentered="1"/>
      <pageSetup paperSize="9" scale="54" orientation="portrait" r:id="rId4"/>
      <headerFooter>
        <oddFooter>&amp;L&amp;A&amp;Rлист &amp;P    листов &amp;N</oddFooter>
      </headerFooter>
    </customSheetView>
    <customSheetView guid="{C29DA669-F4F9-44CD-9569-E796ADF74A86}" scale="90" showPageBreaks="1" fitToPage="1" printArea="1">
      <pane ySplit="6" topLeftCell="A7" activePane="bottomLeft" state="frozen"/>
      <selection pane="bottomLeft" activeCell="J93" sqref="J93"/>
      <pageMargins left="0.11811023622047245" right="0" top="0.11811023622047245" bottom="0.11811023622047245" header="0" footer="0"/>
      <printOptions horizontalCentered="1"/>
      <pageSetup paperSize="9" scale="54" orientation="portrait" r:id="rId5"/>
      <headerFooter>
        <oddFooter>&amp;L&amp;A&amp;Rлист &amp;P    листов &amp;N</oddFooter>
      </headerFooter>
    </customSheetView>
    <customSheetView guid="{A1BD6C0C-B1B9-4F48-A6B1-3BFD273F4CD7}" scale="90" showPageBreaks="1" fitToPage="1" printArea="1" hiddenColumns="1">
      <pane ySplit="6" topLeftCell="A85" activePane="bottomLeft" state="frozen"/>
      <selection pane="bottomLeft" activeCell="J106" sqref="J106"/>
      <pageMargins left="0.11811023622047245" right="0" top="0.11811023622047245" bottom="0.11811023622047245" header="0" footer="0"/>
      <printOptions horizontalCentered="1"/>
      <pageSetup paperSize="9" scale="63" orientation="portrait" r:id="rId6"/>
      <headerFooter>
        <oddFooter>&amp;L&amp;A&amp;Rлист &amp;P    листов &amp;N</oddFooter>
      </headerFooter>
    </customSheetView>
    <customSheetView guid="{D42288F7-1871-4EF6-BC87-1B9EF747C744}" scale="60" fitToPage="1">
      <pane ySplit="6" topLeftCell="A70" activePane="bottomLeft" state="frozen"/>
      <selection pane="bottomLeft" activeCell="F42" sqref="F42"/>
      <pageMargins left="0.11811023622047245" right="0" top="0.11811023622047245" bottom="0.11811023622047245" header="0" footer="0"/>
      <printOptions horizontalCentered="1"/>
      <pageSetup paperSize="9" scale="54" orientation="portrait" r:id="rId7"/>
      <headerFooter>
        <oddFooter>&amp;L&amp;A&amp;Rлист &amp;P    листов &amp;N</oddFooter>
      </headerFooter>
    </customSheetView>
    <customSheetView guid="{8C638750-2D78-446E-B8DA-A6202AF1ED31}" scale="80" showPageBreaks="1" fitToPage="1" printArea="1">
      <pane ySplit="6" topLeftCell="A34" activePane="bottomLeft" state="frozen"/>
      <selection pane="bottomLeft" activeCell="I46" sqref="I46"/>
      <pageMargins left="0.11811023622047245" right="0" top="0.11811023622047245" bottom="0.11811023622047245" header="0" footer="0"/>
      <printOptions horizontalCentered="1"/>
      <pageSetup paperSize="9" scale="52" orientation="portrait" r:id="rId8"/>
      <headerFooter>
        <oddFooter>&amp;L&amp;A&amp;Rлист &amp;P    листов &amp;N</oddFooter>
      </headerFooter>
    </customSheetView>
  </customSheetViews>
  <mergeCells count="21">
    <mergeCell ref="A1:B1"/>
    <mergeCell ref="I1:K1"/>
    <mergeCell ref="A2:B2"/>
    <mergeCell ref="I2:K2"/>
    <mergeCell ref="A3:B3"/>
    <mergeCell ref="C3:E3"/>
    <mergeCell ref="I3:K3"/>
    <mergeCell ref="M5:M6"/>
    <mergeCell ref="N5:N6"/>
    <mergeCell ref="B95:D95"/>
    <mergeCell ref="F5:F6"/>
    <mergeCell ref="A5:A6"/>
    <mergeCell ref="B5:B6"/>
    <mergeCell ref="C5:C6"/>
    <mergeCell ref="D5:D6"/>
    <mergeCell ref="E5:E6"/>
    <mergeCell ref="B96:D96"/>
    <mergeCell ref="B97:D97"/>
    <mergeCell ref="G5:J5"/>
    <mergeCell ref="K5:K6"/>
    <mergeCell ref="L5:L6"/>
  </mergeCells>
  <printOptions horizontalCentered="1"/>
  <pageMargins left="0.11811023622047245" right="0" top="0.11811023622047245" bottom="0.11811023622047245" header="0" footer="0"/>
  <pageSetup paperSize="9" scale="54" orientation="portrait" r:id="rId9"/>
  <headerFooter>
    <oddFooter>&amp;L&amp;A&amp;Rлист &amp;P    листов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3"/>
  <sheetViews>
    <sheetView zoomScale="90" zoomScaleNormal="90" zoomScaleSheetLayoutView="90" workbookViewId="0">
      <pane ySplit="7" topLeftCell="A190" activePane="bottomLeft" state="frozen"/>
      <selection pane="bottomLeft" activeCell="K156" sqref="K156"/>
    </sheetView>
  </sheetViews>
  <sheetFormatPr defaultColWidth="8.85546875" defaultRowHeight="12.75" x14ac:dyDescent="0.2"/>
  <cols>
    <col min="1" max="1" width="7.28515625" style="450" customWidth="1"/>
    <col min="2" max="2" width="27.85546875" style="450" customWidth="1"/>
    <col min="3" max="3" width="53.28515625" style="450" customWidth="1"/>
    <col min="4" max="4" width="7" style="279" customWidth="1"/>
    <col min="5" max="5" width="14" style="450" customWidth="1"/>
    <col min="6" max="6" width="15.7109375" style="450" customWidth="1"/>
    <col min="7" max="11" width="7.7109375" style="450" customWidth="1"/>
    <col min="12" max="12" width="16.7109375" style="450" customWidth="1"/>
    <col min="13" max="13" width="14.7109375" style="450" customWidth="1"/>
    <col min="14" max="14" width="14.140625" style="450" customWidth="1"/>
    <col min="15" max="15" width="23.5703125" style="282" customWidth="1"/>
    <col min="16" max="17" width="9.140625" style="282" customWidth="1"/>
    <col min="18" max="18" width="8.85546875" style="450"/>
    <col min="19" max="22" width="8.85546875" style="450" customWidth="1"/>
    <col min="23" max="16384" width="8.85546875" style="450"/>
  </cols>
  <sheetData>
    <row r="1" spans="1:22" ht="12" customHeight="1" x14ac:dyDescent="0.2">
      <c r="A1" s="581" t="s">
        <v>0</v>
      </c>
      <c r="B1" s="581"/>
      <c r="C1" s="448"/>
      <c r="I1" s="279"/>
      <c r="J1" s="582" t="s">
        <v>1</v>
      </c>
      <c r="K1" s="582"/>
      <c r="L1" s="582"/>
      <c r="M1" s="582"/>
      <c r="N1" s="449"/>
    </row>
    <row r="2" spans="1:22" ht="12" customHeight="1" x14ac:dyDescent="0.2">
      <c r="A2" s="581" t="s">
        <v>2</v>
      </c>
      <c r="B2" s="581"/>
      <c r="C2" s="448"/>
      <c r="J2" s="583" t="s">
        <v>3</v>
      </c>
      <c r="K2" s="583"/>
      <c r="L2" s="583"/>
      <c r="M2" s="583"/>
    </row>
    <row r="3" spans="1:22" ht="12" customHeight="1" x14ac:dyDescent="0.2">
      <c r="A3" s="581" t="s">
        <v>4</v>
      </c>
      <c r="B3" s="581"/>
      <c r="C3" s="448"/>
      <c r="J3" s="583" t="s">
        <v>127</v>
      </c>
      <c r="K3" s="583"/>
      <c r="L3" s="583"/>
      <c r="M3" s="583"/>
    </row>
    <row r="4" spans="1:22" ht="19.899999999999999" customHeight="1" x14ac:dyDescent="0.3">
      <c r="C4" s="592" t="s">
        <v>159</v>
      </c>
      <c r="D4" s="592"/>
      <c r="E4" s="593" t="s">
        <v>635</v>
      </c>
      <c r="F4" s="593"/>
      <c r="G4" s="593"/>
    </row>
    <row r="5" spans="1:22" ht="3" customHeight="1" thickBot="1" x14ac:dyDescent="0.25">
      <c r="E5" s="450" t="s">
        <v>160</v>
      </c>
    </row>
    <row r="6" spans="1:22" ht="12.75" customHeight="1" thickBot="1" x14ac:dyDescent="0.25">
      <c r="A6" s="584" t="s">
        <v>5</v>
      </c>
      <c r="B6" s="585" t="s">
        <v>161</v>
      </c>
      <c r="C6" s="591" t="s">
        <v>6</v>
      </c>
      <c r="D6" s="585" t="s">
        <v>162</v>
      </c>
      <c r="E6" s="594" t="s">
        <v>8</v>
      </c>
      <c r="F6" s="596" t="s">
        <v>163</v>
      </c>
      <c r="G6" s="587" t="s">
        <v>164</v>
      </c>
      <c r="H6" s="589" t="s">
        <v>11</v>
      </c>
      <c r="I6" s="590"/>
      <c r="J6" s="590"/>
      <c r="K6" s="590"/>
      <c r="L6" s="584" t="s">
        <v>12</v>
      </c>
      <c r="M6" s="591" t="s">
        <v>165</v>
      </c>
      <c r="N6" s="452"/>
      <c r="O6" s="284" t="s">
        <v>166</v>
      </c>
    </row>
    <row r="7" spans="1:22" ht="39.6" customHeight="1" thickBot="1" x14ac:dyDescent="0.25">
      <c r="A7" s="584"/>
      <c r="B7" s="586"/>
      <c r="C7" s="591"/>
      <c r="D7" s="586"/>
      <c r="E7" s="595"/>
      <c r="F7" s="597"/>
      <c r="G7" s="588"/>
      <c r="H7" s="285" t="s">
        <v>167</v>
      </c>
      <c r="I7" s="451" t="s">
        <v>168</v>
      </c>
      <c r="J7" s="451" t="s">
        <v>169</v>
      </c>
      <c r="K7" s="451" t="s">
        <v>170</v>
      </c>
      <c r="L7" s="584"/>
      <c r="M7" s="591"/>
      <c r="N7" s="287" t="s">
        <v>171</v>
      </c>
      <c r="O7" s="288" t="s">
        <v>172</v>
      </c>
      <c r="P7" s="289" t="s">
        <v>173</v>
      </c>
    </row>
    <row r="8" spans="1:22" s="301" customFormat="1" x14ac:dyDescent="0.2">
      <c r="A8" s="290" t="s">
        <v>174</v>
      </c>
      <c r="B8" s="291" t="s">
        <v>175</v>
      </c>
      <c r="C8" s="395" t="s">
        <v>176</v>
      </c>
      <c r="D8" s="293"/>
      <c r="E8" s="408">
        <v>8.5</v>
      </c>
      <c r="F8" s="380">
        <f t="shared" ref="F8:F21" si="0">E8*D8</f>
        <v>0</v>
      </c>
      <c r="G8" s="296"/>
      <c r="H8" s="317"/>
      <c r="I8" s="296"/>
      <c r="J8" s="296"/>
      <c r="K8" s="318"/>
      <c r="L8" s="297">
        <f t="shared" ref="L8:L53" si="1">E8*(H8+I8+J8+K8)</f>
        <v>0</v>
      </c>
      <c r="M8" s="298"/>
      <c r="N8" s="298"/>
      <c r="O8" s="299"/>
      <c r="P8" s="300"/>
      <c r="S8" s="301">
        <f>H8*E8</f>
        <v>0</v>
      </c>
      <c r="T8" s="301">
        <f>I8*E8</f>
        <v>0</v>
      </c>
      <c r="U8" s="301">
        <f>J8*E8</f>
        <v>0</v>
      </c>
      <c r="V8" s="301">
        <f>K8*E8</f>
        <v>0</v>
      </c>
    </row>
    <row r="9" spans="1:22" s="301" customFormat="1" x14ac:dyDescent="0.2">
      <c r="A9" s="290" t="s">
        <v>177</v>
      </c>
      <c r="B9" s="291" t="s">
        <v>175</v>
      </c>
      <c r="C9" s="395" t="s">
        <v>178</v>
      </c>
      <c r="D9" s="293"/>
      <c r="E9" s="408">
        <v>9</v>
      </c>
      <c r="F9" s="379">
        <f>E9*D9</f>
        <v>0</v>
      </c>
      <c r="G9" s="296"/>
      <c r="H9" s="296"/>
      <c r="I9" s="296"/>
      <c r="J9" s="296"/>
      <c r="K9" s="296"/>
      <c r="L9" s="297">
        <f>E9*(H9+I9+J9+K9)</f>
        <v>0</v>
      </c>
      <c r="M9" s="298"/>
      <c r="N9" s="298"/>
      <c r="O9" s="315"/>
      <c r="P9" s="300"/>
      <c r="S9" s="301">
        <f t="shared" ref="S9:S73" si="2">H9*E9</f>
        <v>0</v>
      </c>
      <c r="T9" s="301">
        <f t="shared" ref="T9:T73" si="3">I9*E9</f>
        <v>0</v>
      </c>
      <c r="U9" s="301">
        <f t="shared" ref="U9:U73" si="4">J9*E9</f>
        <v>0</v>
      </c>
      <c r="V9" s="301">
        <f t="shared" ref="V9:V73" si="5">K9*E9</f>
        <v>0</v>
      </c>
    </row>
    <row r="10" spans="1:22" s="301" customFormat="1" x14ac:dyDescent="0.2">
      <c r="A10" s="290" t="s">
        <v>179</v>
      </c>
      <c r="B10" s="291" t="s">
        <v>175</v>
      </c>
      <c r="C10" s="395" t="s">
        <v>180</v>
      </c>
      <c r="D10" s="293"/>
      <c r="E10" s="408">
        <v>13.45</v>
      </c>
      <c r="F10" s="379">
        <f t="shared" si="0"/>
        <v>0</v>
      </c>
      <c r="G10" s="296"/>
      <c r="H10" s="296"/>
      <c r="I10" s="296"/>
      <c r="J10" s="296"/>
      <c r="K10" s="296"/>
      <c r="L10" s="297">
        <f t="shared" si="1"/>
        <v>0</v>
      </c>
      <c r="M10" s="298"/>
      <c r="N10" s="298"/>
      <c r="O10" s="315"/>
      <c r="P10" s="300"/>
      <c r="S10" s="301">
        <f t="shared" si="2"/>
        <v>0</v>
      </c>
      <c r="T10" s="301">
        <f t="shared" si="3"/>
        <v>0</v>
      </c>
      <c r="U10" s="301">
        <f t="shared" si="4"/>
        <v>0</v>
      </c>
      <c r="V10" s="301">
        <f t="shared" si="5"/>
        <v>0</v>
      </c>
    </row>
    <row r="11" spans="1:22" s="301" customFormat="1" x14ac:dyDescent="0.2">
      <c r="A11" s="290" t="s">
        <v>181</v>
      </c>
      <c r="B11" s="291" t="s">
        <v>175</v>
      </c>
      <c r="C11" s="395" t="s">
        <v>182</v>
      </c>
      <c r="D11" s="293"/>
      <c r="E11" s="408">
        <v>7.8</v>
      </c>
      <c r="F11" s="379">
        <f t="shared" si="0"/>
        <v>0</v>
      </c>
      <c r="G11" s="296"/>
      <c r="H11" s="296"/>
      <c r="I11" s="296"/>
      <c r="J11" s="296"/>
      <c r="K11" s="296"/>
      <c r="L11" s="297">
        <f t="shared" si="1"/>
        <v>0</v>
      </c>
      <c r="M11" s="298"/>
      <c r="N11" s="298"/>
      <c r="O11" s="315"/>
      <c r="P11" s="300"/>
      <c r="S11" s="301">
        <f t="shared" si="2"/>
        <v>0</v>
      </c>
      <c r="T11" s="301">
        <f t="shared" si="3"/>
        <v>0</v>
      </c>
      <c r="U11" s="301">
        <f t="shared" si="4"/>
        <v>0</v>
      </c>
      <c r="V11" s="301">
        <f t="shared" si="5"/>
        <v>0</v>
      </c>
    </row>
    <row r="12" spans="1:22" s="301" customFormat="1" x14ac:dyDescent="0.2">
      <c r="A12" s="290" t="s">
        <v>183</v>
      </c>
      <c r="B12" s="291" t="s">
        <v>175</v>
      </c>
      <c r="C12" s="395" t="s">
        <v>184</v>
      </c>
      <c r="D12" s="293">
        <v>200</v>
      </c>
      <c r="E12" s="408">
        <v>58.3</v>
      </c>
      <c r="F12" s="379">
        <f t="shared" si="0"/>
        <v>11660</v>
      </c>
      <c r="G12" s="296">
        <v>201</v>
      </c>
      <c r="H12" s="357">
        <v>212</v>
      </c>
      <c r="I12" s="296"/>
      <c r="J12" s="296"/>
      <c r="K12" s="296"/>
      <c r="L12" s="297">
        <f t="shared" si="1"/>
        <v>12359.599999999999</v>
      </c>
      <c r="M12" s="298"/>
      <c r="N12" s="298"/>
      <c r="O12" s="315"/>
      <c r="P12" s="300"/>
      <c r="S12" s="301">
        <f t="shared" si="2"/>
        <v>12359.599999999999</v>
      </c>
      <c r="T12" s="301">
        <f t="shared" si="3"/>
        <v>0</v>
      </c>
      <c r="U12" s="301">
        <f t="shared" si="4"/>
        <v>0</v>
      </c>
      <c r="V12" s="301">
        <f t="shared" si="5"/>
        <v>0</v>
      </c>
    </row>
    <row r="13" spans="1:22" s="301" customFormat="1" x14ac:dyDescent="0.2">
      <c r="A13" s="290">
        <v>2771</v>
      </c>
      <c r="B13" s="291" t="s">
        <v>175</v>
      </c>
      <c r="C13" s="395" t="s">
        <v>185</v>
      </c>
      <c r="D13" s="293"/>
      <c r="E13" s="408">
        <v>3.16</v>
      </c>
      <c r="F13" s="379">
        <f>E13*D13</f>
        <v>0</v>
      </c>
      <c r="G13" s="296"/>
      <c r="H13" s="296"/>
      <c r="I13" s="296"/>
      <c r="J13" s="296"/>
      <c r="K13" s="296"/>
      <c r="L13" s="297">
        <f t="shared" si="1"/>
        <v>0</v>
      </c>
      <c r="M13" s="298"/>
      <c r="N13" s="298"/>
      <c r="O13" s="315"/>
      <c r="P13" s="300"/>
      <c r="S13" s="301">
        <f t="shared" si="2"/>
        <v>0</v>
      </c>
      <c r="T13" s="301">
        <f t="shared" si="3"/>
        <v>0</v>
      </c>
      <c r="U13" s="301">
        <f t="shared" si="4"/>
        <v>0</v>
      </c>
      <c r="V13" s="301">
        <f t="shared" si="5"/>
        <v>0</v>
      </c>
    </row>
    <row r="14" spans="1:22" s="301" customFormat="1" x14ac:dyDescent="0.2">
      <c r="A14" s="290">
        <v>2772</v>
      </c>
      <c r="B14" s="291" t="s">
        <v>175</v>
      </c>
      <c r="C14" s="395" t="s">
        <v>186</v>
      </c>
      <c r="D14" s="293"/>
      <c r="E14" s="408">
        <v>3.16</v>
      </c>
      <c r="F14" s="379">
        <f t="shared" si="0"/>
        <v>0</v>
      </c>
      <c r="G14" s="296"/>
      <c r="H14" s="296"/>
      <c r="I14" s="296"/>
      <c r="J14" s="296"/>
      <c r="K14" s="296"/>
      <c r="L14" s="297">
        <f t="shared" si="1"/>
        <v>0</v>
      </c>
      <c r="M14" s="298"/>
      <c r="N14" s="298"/>
      <c r="O14" s="315"/>
      <c r="P14" s="300"/>
      <c r="S14" s="301">
        <f t="shared" si="2"/>
        <v>0</v>
      </c>
      <c r="T14" s="301">
        <f t="shared" si="3"/>
        <v>0</v>
      </c>
      <c r="U14" s="301">
        <f t="shared" si="4"/>
        <v>0</v>
      </c>
      <c r="V14" s="301">
        <f t="shared" si="5"/>
        <v>0</v>
      </c>
    </row>
    <row r="15" spans="1:22" s="301" customFormat="1" x14ac:dyDescent="0.2">
      <c r="A15" s="290">
        <v>2773</v>
      </c>
      <c r="B15" s="291" t="s">
        <v>175</v>
      </c>
      <c r="C15" s="395" t="s">
        <v>187</v>
      </c>
      <c r="D15" s="293"/>
      <c r="E15" s="408">
        <v>3.16</v>
      </c>
      <c r="F15" s="379">
        <f t="shared" si="0"/>
        <v>0</v>
      </c>
      <c r="G15" s="296"/>
      <c r="H15" s="296"/>
      <c r="I15" s="296"/>
      <c r="J15" s="296"/>
      <c r="K15" s="296"/>
      <c r="L15" s="297">
        <f t="shared" si="1"/>
        <v>0</v>
      </c>
      <c r="M15" s="298"/>
      <c r="N15" s="298"/>
      <c r="O15" s="315"/>
      <c r="P15" s="300"/>
      <c r="S15" s="301">
        <f t="shared" si="2"/>
        <v>0</v>
      </c>
      <c r="T15" s="301">
        <f t="shared" si="3"/>
        <v>0</v>
      </c>
      <c r="U15" s="301">
        <f t="shared" si="4"/>
        <v>0</v>
      </c>
      <c r="V15" s="301">
        <f t="shared" si="5"/>
        <v>0</v>
      </c>
    </row>
    <row r="16" spans="1:22" s="301" customFormat="1" x14ac:dyDescent="0.2">
      <c r="A16" s="290" t="s">
        <v>188</v>
      </c>
      <c r="B16" s="291" t="s">
        <v>175</v>
      </c>
      <c r="C16" s="395" t="s">
        <v>189</v>
      </c>
      <c r="D16" s="293"/>
      <c r="E16" s="408">
        <v>3.16</v>
      </c>
      <c r="F16" s="379">
        <f t="shared" si="0"/>
        <v>0</v>
      </c>
      <c r="G16" s="296"/>
      <c r="H16" s="296"/>
      <c r="I16" s="296"/>
      <c r="J16" s="296"/>
      <c r="K16" s="296"/>
      <c r="L16" s="297">
        <f t="shared" si="1"/>
        <v>0</v>
      </c>
      <c r="M16" s="298"/>
      <c r="N16" s="298"/>
      <c r="O16" s="315"/>
      <c r="P16" s="300"/>
      <c r="S16" s="301">
        <f t="shared" si="2"/>
        <v>0</v>
      </c>
      <c r="T16" s="301">
        <f t="shared" si="3"/>
        <v>0</v>
      </c>
      <c r="U16" s="301">
        <f t="shared" si="4"/>
        <v>0</v>
      </c>
      <c r="V16" s="301">
        <f t="shared" si="5"/>
        <v>0</v>
      </c>
    </row>
    <row r="17" spans="1:22" s="301" customFormat="1" x14ac:dyDescent="0.2">
      <c r="A17" s="290">
        <v>3558</v>
      </c>
      <c r="B17" s="291" t="s">
        <v>175</v>
      </c>
      <c r="C17" s="395" t="s">
        <v>190</v>
      </c>
      <c r="D17" s="293"/>
      <c r="E17" s="408">
        <v>3.16</v>
      </c>
      <c r="F17" s="379">
        <f>E17*D17</f>
        <v>0</v>
      </c>
      <c r="G17" s="296"/>
      <c r="H17" s="296"/>
      <c r="I17" s="296"/>
      <c r="J17" s="296"/>
      <c r="K17" s="296"/>
      <c r="L17" s="297">
        <f t="shared" ref="L17:L38" si="6">E17*(H17+I17+J17+K17)</f>
        <v>0</v>
      </c>
      <c r="M17" s="298"/>
      <c r="N17" s="298"/>
      <c r="O17" s="315"/>
      <c r="P17" s="300"/>
      <c r="S17" s="301">
        <f t="shared" si="2"/>
        <v>0</v>
      </c>
      <c r="T17" s="301">
        <f t="shared" si="3"/>
        <v>0</v>
      </c>
      <c r="U17" s="301">
        <f t="shared" si="4"/>
        <v>0</v>
      </c>
      <c r="V17" s="301">
        <f t="shared" si="5"/>
        <v>0</v>
      </c>
    </row>
    <row r="18" spans="1:22" s="301" customFormat="1" x14ac:dyDescent="0.2">
      <c r="A18" s="290">
        <v>3238</v>
      </c>
      <c r="B18" s="291" t="s">
        <v>175</v>
      </c>
      <c r="C18" s="395" t="s">
        <v>191</v>
      </c>
      <c r="D18" s="293"/>
      <c r="E18" s="408">
        <v>6.32</v>
      </c>
      <c r="F18" s="379">
        <f t="shared" si="0"/>
        <v>0</v>
      </c>
      <c r="G18" s="296"/>
      <c r="H18" s="296"/>
      <c r="I18" s="296"/>
      <c r="J18" s="296"/>
      <c r="K18" s="296"/>
      <c r="L18" s="297">
        <f t="shared" si="6"/>
        <v>0</v>
      </c>
      <c r="M18" s="298"/>
      <c r="N18" s="298"/>
      <c r="O18" s="315"/>
      <c r="P18" s="300"/>
      <c r="S18" s="301">
        <f t="shared" si="2"/>
        <v>0</v>
      </c>
      <c r="T18" s="301">
        <f t="shared" si="3"/>
        <v>0</v>
      </c>
      <c r="U18" s="301">
        <f t="shared" si="4"/>
        <v>0</v>
      </c>
      <c r="V18" s="301">
        <f t="shared" si="5"/>
        <v>0</v>
      </c>
    </row>
    <row r="19" spans="1:22" s="301" customFormat="1" x14ac:dyDescent="0.2">
      <c r="A19" s="290">
        <v>3239</v>
      </c>
      <c r="B19" s="291" t="s">
        <v>175</v>
      </c>
      <c r="C19" s="395" t="s">
        <v>192</v>
      </c>
      <c r="D19" s="293">
        <v>2000</v>
      </c>
      <c r="E19" s="408">
        <v>9.1999999999999993</v>
      </c>
      <c r="F19" s="379">
        <f t="shared" si="0"/>
        <v>18400</v>
      </c>
      <c r="G19" s="296">
        <v>2250</v>
      </c>
      <c r="H19" s="357">
        <v>2250</v>
      </c>
      <c r="I19" s="296"/>
      <c r="J19" s="296"/>
      <c r="K19" s="296"/>
      <c r="L19" s="297">
        <f t="shared" si="6"/>
        <v>20700</v>
      </c>
      <c r="M19" s="298"/>
      <c r="N19" s="298"/>
      <c r="O19" s="315"/>
      <c r="P19" s="300"/>
      <c r="S19" s="301">
        <f t="shared" si="2"/>
        <v>20700</v>
      </c>
      <c r="T19" s="301">
        <f t="shared" si="3"/>
        <v>0</v>
      </c>
      <c r="U19" s="301">
        <f t="shared" si="4"/>
        <v>0</v>
      </c>
      <c r="V19" s="301">
        <f t="shared" si="5"/>
        <v>0</v>
      </c>
    </row>
    <row r="20" spans="1:22" s="301" customFormat="1" x14ac:dyDescent="0.2">
      <c r="A20" s="290">
        <v>3515</v>
      </c>
      <c r="B20" s="291" t="s">
        <v>175</v>
      </c>
      <c r="C20" s="395" t="s">
        <v>193</v>
      </c>
      <c r="D20" s="293">
        <v>3000</v>
      </c>
      <c r="E20" s="408">
        <v>13.22</v>
      </c>
      <c r="F20" s="379">
        <f t="shared" si="0"/>
        <v>39660</v>
      </c>
      <c r="G20" s="296">
        <v>3020</v>
      </c>
      <c r="H20" s="296"/>
      <c r="I20" s="296"/>
      <c r="J20" s="296"/>
      <c r="K20" s="357">
        <v>3020</v>
      </c>
      <c r="L20" s="297">
        <f t="shared" si="6"/>
        <v>39924.400000000001</v>
      </c>
      <c r="M20" s="298"/>
      <c r="N20" s="298"/>
      <c r="O20" s="315"/>
      <c r="P20" s="300"/>
      <c r="S20" s="301">
        <f t="shared" si="2"/>
        <v>0</v>
      </c>
      <c r="T20" s="301">
        <f t="shared" si="3"/>
        <v>0</v>
      </c>
      <c r="U20" s="301">
        <f t="shared" si="4"/>
        <v>0</v>
      </c>
      <c r="V20" s="301">
        <f t="shared" si="5"/>
        <v>39924.400000000001</v>
      </c>
    </row>
    <row r="21" spans="1:22" s="301" customFormat="1" x14ac:dyDescent="0.2">
      <c r="A21" s="455">
        <v>3240</v>
      </c>
      <c r="B21" s="291" t="s">
        <v>175</v>
      </c>
      <c r="C21" s="395" t="s">
        <v>194</v>
      </c>
      <c r="D21" s="293">
        <v>1000</v>
      </c>
      <c r="E21" s="408">
        <v>11.05</v>
      </c>
      <c r="F21" s="379">
        <f t="shared" si="0"/>
        <v>11050</v>
      </c>
      <c r="G21" s="296">
        <v>1130</v>
      </c>
      <c r="H21" s="357">
        <v>1178</v>
      </c>
      <c r="I21" s="296"/>
      <c r="J21" s="296"/>
      <c r="K21" s="296"/>
      <c r="L21" s="297">
        <f t="shared" si="6"/>
        <v>13016.900000000001</v>
      </c>
      <c r="M21" s="298"/>
      <c r="N21" s="298"/>
      <c r="O21" s="315"/>
      <c r="P21" s="300"/>
      <c r="S21" s="301">
        <f t="shared" si="2"/>
        <v>13016.900000000001</v>
      </c>
      <c r="T21" s="301">
        <f t="shared" si="3"/>
        <v>0</v>
      </c>
      <c r="U21" s="301">
        <f t="shared" si="4"/>
        <v>0</v>
      </c>
      <c r="V21" s="301">
        <f t="shared" si="5"/>
        <v>0</v>
      </c>
    </row>
    <row r="22" spans="1:22" s="301" customFormat="1" x14ac:dyDescent="0.2">
      <c r="A22" s="290">
        <v>4291</v>
      </c>
      <c r="B22" s="291" t="s">
        <v>175</v>
      </c>
      <c r="C22" s="395" t="s">
        <v>195</v>
      </c>
      <c r="D22" s="293"/>
      <c r="E22" s="408">
        <v>23996.5</v>
      </c>
      <c r="F22" s="379">
        <f>E22*D22</f>
        <v>0</v>
      </c>
      <c r="G22" s="296"/>
      <c r="H22" s="296"/>
      <c r="I22" s="296"/>
      <c r="J22" s="296"/>
      <c r="K22" s="296"/>
      <c r="L22" s="297">
        <f t="shared" si="6"/>
        <v>0</v>
      </c>
      <c r="M22" s="298"/>
      <c r="N22" s="298"/>
      <c r="O22" s="315"/>
      <c r="P22" s="300"/>
      <c r="S22" s="301">
        <f t="shared" si="2"/>
        <v>0</v>
      </c>
      <c r="T22" s="301">
        <f t="shared" si="3"/>
        <v>0</v>
      </c>
      <c r="U22" s="301">
        <f t="shared" si="4"/>
        <v>0</v>
      </c>
      <c r="V22" s="301">
        <f t="shared" si="5"/>
        <v>0</v>
      </c>
    </row>
    <row r="23" spans="1:22" s="301" customFormat="1" x14ac:dyDescent="0.2">
      <c r="A23" s="290">
        <v>1690</v>
      </c>
      <c r="B23" s="291" t="s">
        <v>175</v>
      </c>
      <c r="C23" s="395" t="s">
        <v>196</v>
      </c>
      <c r="D23" s="293"/>
      <c r="E23" s="408">
        <v>52</v>
      </c>
      <c r="F23" s="379">
        <f>E23*D23</f>
        <v>0</v>
      </c>
      <c r="G23" s="296"/>
      <c r="H23" s="296"/>
      <c r="I23" s="296"/>
      <c r="J23" s="296"/>
      <c r="K23" s="296"/>
      <c r="L23" s="297">
        <f t="shared" ref="L23:L34" si="7">E23*(H23+I23+J23+K23)</f>
        <v>0</v>
      </c>
      <c r="M23" s="298"/>
      <c r="N23" s="298"/>
      <c r="O23" s="315"/>
      <c r="P23" s="300"/>
      <c r="S23" s="301">
        <f t="shared" si="2"/>
        <v>0</v>
      </c>
      <c r="T23" s="301">
        <f t="shared" si="3"/>
        <v>0</v>
      </c>
      <c r="U23" s="301">
        <f t="shared" si="4"/>
        <v>0</v>
      </c>
      <c r="V23" s="301">
        <f t="shared" si="5"/>
        <v>0</v>
      </c>
    </row>
    <row r="24" spans="1:22" s="301" customFormat="1" x14ac:dyDescent="0.2">
      <c r="A24" s="319"/>
      <c r="B24" s="320"/>
      <c r="C24" s="399"/>
      <c r="D24" s="322"/>
      <c r="E24" s="412"/>
      <c r="F24" s="379"/>
      <c r="G24" s="296"/>
      <c r="H24" s="296"/>
      <c r="I24" s="296"/>
      <c r="J24" s="296"/>
      <c r="K24" s="296"/>
      <c r="L24" s="297">
        <f t="shared" si="7"/>
        <v>0</v>
      </c>
      <c r="M24" s="298"/>
      <c r="N24" s="298"/>
      <c r="O24" s="315"/>
      <c r="P24" s="300"/>
      <c r="S24" s="301">
        <f t="shared" si="2"/>
        <v>0</v>
      </c>
      <c r="T24" s="301">
        <f t="shared" si="3"/>
        <v>0</v>
      </c>
      <c r="U24" s="301">
        <f t="shared" si="4"/>
        <v>0</v>
      </c>
      <c r="V24" s="301">
        <f t="shared" si="5"/>
        <v>0</v>
      </c>
    </row>
    <row r="25" spans="1:22" s="301" customFormat="1" x14ac:dyDescent="0.2">
      <c r="A25" s="290">
        <v>5198</v>
      </c>
      <c r="B25" s="291" t="s">
        <v>199</v>
      </c>
      <c r="C25" s="395" t="s">
        <v>204</v>
      </c>
      <c r="D25" s="293">
        <v>1</v>
      </c>
      <c r="E25" s="408">
        <v>10050</v>
      </c>
      <c r="F25" s="379">
        <f t="shared" ref="F25:F32" si="8">E25*D25</f>
        <v>10050</v>
      </c>
      <c r="G25" s="296">
        <v>1</v>
      </c>
      <c r="H25" s="296"/>
      <c r="I25" s="296"/>
      <c r="J25" s="296"/>
      <c r="K25" s="357">
        <v>1</v>
      </c>
      <c r="L25" s="297">
        <f t="shared" si="7"/>
        <v>10050</v>
      </c>
      <c r="M25" s="298">
        <v>43536</v>
      </c>
      <c r="N25" s="477">
        <v>43553</v>
      </c>
      <c r="O25" s="315"/>
      <c r="P25" s="300"/>
      <c r="S25" s="301">
        <f t="shared" si="2"/>
        <v>0</v>
      </c>
      <c r="T25" s="301">
        <f t="shared" si="3"/>
        <v>0</v>
      </c>
      <c r="U25" s="301">
        <f t="shared" si="4"/>
        <v>0</v>
      </c>
      <c r="V25" s="301">
        <f t="shared" si="5"/>
        <v>10050</v>
      </c>
    </row>
    <row r="26" spans="1:22" s="301" customFormat="1" x14ac:dyDescent="0.2">
      <c r="A26" s="350">
        <v>5197</v>
      </c>
      <c r="B26" s="353" t="s">
        <v>199</v>
      </c>
      <c r="C26" s="396" t="s">
        <v>619</v>
      </c>
      <c r="D26" s="355">
        <v>1</v>
      </c>
      <c r="E26" s="410">
        <v>5200</v>
      </c>
      <c r="F26" s="379">
        <f t="shared" si="8"/>
        <v>5200</v>
      </c>
      <c r="G26" s="296">
        <v>1</v>
      </c>
      <c r="H26" s="296"/>
      <c r="I26" s="296"/>
      <c r="J26" s="296"/>
      <c r="K26" s="352">
        <v>1</v>
      </c>
      <c r="L26" s="297">
        <f t="shared" si="7"/>
        <v>5200</v>
      </c>
      <c r="M26" s="298">
        <v>43549</v>
      </c>
      <c r="N26" s="298"/>
      <c r="O26" s="315"/>
      <c r="P26" s="300"/>
      <c r="S26" s="301">
        <f t="shared" si="2"/>
        <v>0</v>
      </c>
      <c r="T26" s="301">
        <f t="shared" si="3"/>
        <v>0</v>
      </c>
      <c r="U26" s="301">
        <f t="shared" si="4"/>
        <v>0</v>
      </c>
      <c r="V26" s="301">
        <f t="shared" si="5"/>
        <v>5200</v>
      </c>
    </row>
    <row r="27" spans="1:22" s="301" customFormat="1" x14ac:dyDescent="0.2">
      <c r="A27" s="350">
        <v>5334</v>
      </c>
      <c r="B27" s="353" t="s">
        <v>199</v>
      </c>
      <c r="C27" s="396" t="s">
        <v>677</v>
      </c>
      <c r="D27" s="355">
        <v>1</v>
      </c>
      <c r="E27" s="409">
        <v>400</v>
      </c>
      <c r="F27" s="379">
        <f t="shared" si="8"/>
        <v>400</v>
      </c>
      <c r="G27" s="296">
        <v>1</v>
      </c>
      <c r="H27" s="296"/>
      <c r="I27" s="296"/>
      <c r="J27" s="296"/>
      <c r="K27" s="357">
        <v>1</v>
      </c>
      <c r="L27" s="297">
        <f t="shared" si="7"/>
        <v>400</v>
      </c>
      <c r="M27" s="298">
        <v>43570</v>
      </c>
      <c r="N27" s="477">
        <v>43573</v>
      </c>
      <c r="O27" s="315"/>
      <c r="P27" s="300"/>
      <c r="S27" s="301">
        <f t="shared" si="2"/>
        <v>0</v>
      </c>
      <c r="T27" s="301">
        <f t="shared" si="3"/>
        <v>0</v>
      </c>
      <c r="U27" s="301">
        <f t="shared" si="4"/>
        <v>0</v>
      </c>
      <c r="V27" s="301">
        <f t="shared" si="5"/>
        <v>400</v>
      </c>
    </row>
    <row r="28" spans="1:22" s="301" customFormat="1" x14ac:dyDescent="0.2">
      <c r="A28" s="350">
        <v>5348</v>
      </c>
      <c r="B28" s="353" t="s">
        <v>199</v>
      </c>
      <c r="C28" s="396" t="s">
        <v>713</v>
      </c>
      <c r="D28" s="355">
        <v>1</v>
      </c>
      <c r="E28" s="410">
        <v>2800</v>
      </c>
      <c r="F28" s="379">
        <f t="shared" si="8"/>
        <v>2800</v>
      </c>
      <c r="G28" s="296">
        <v>1</v>
      </c>
      <c r="H28" s="296"/>
      <c r="I28" s="296"/>
      <c r="J28" s="296"/>
      <c r="K28" s="296"/>
      <c r="L28" s="297">
        <f t="shared" si="7"/>
        <v>0</v>
      </c>
      <c r="M28" s="298">
        <v>43578</v>
      </c>
      <c r="N28" s="298"/>
      <c r="O28" s="315"/>
      <c r="P28" s="300"/>
      <c r="S28" s="301">
        <f t="shared" si="2"/>
        <v>0</v>
      </c>
      <c r="T28" s="301">
        <f t="shared" si="3"/>
        <v>0</v>
      </c>
      <c r="U28" s="301">
        <f t="shared" si="4"/>
        <v>0</v>
      </c>
      <c r="V28" s="301">
        <f t="shared" si="5"/>
        <v>0</v>
      </c>
    </row>
    <row r="29" spans="1:22" s="301" customFormat="1" x14ac:dyDescent="0.2">
      <c r="A29" s="359">
        <v>5392</v>
      </c>
      <c r="B29" s="390" t="s">
        <v>199</v>
      </c>
      <c r="C29" s="397" t="s">
        <v>723</v>
      </c>
      <c r="D29" s="422">
        <v>1</v>
      </c>
      <c r="E29" s="410">
        <v>800</v>
      </c>
      <c r="F29" s="379">
        <f>E29*D29</f>
        <v>800</v>
      </c>
      <c r="G29" s="296">
        <v>1</v>
      </c>
      <c r="H29" s="296"/>
      <c r="I29" s="296"/>
      <c r="J29" s="296"/>
      <c r="K29" s="296"/>
      <c r="L29" s="297">
        <f>E29*(H29+I29+J29+K29)</f>
        <v>0</v>
      </c>
      <c r="M29" s="298">
        <v>43581</v>
      </c>
      <c r="N29" s="298">
        <v>43581</v>
      </c>
      <c r="O29" s="315"/>
      <c r="P29" s="300"/>
      <c r="S29" s="301">
        <f>H29*E29</f>
        <v>0</v>
      </c>
      <c r="T29" s="301">
        <f>I29*E29</f>
        <v>0</v>
      </c>
      <c r="U29" s="301">
        <f>J29*E29</f>
        <v>0</v>
      </c>
      <c r="V29" s="301">
        <f>K29*E29</f>
        <v>0</v>
      </c>
    </row>
    <row r="30" spans="1:22" s="301" customFormat="1" x14ac:dyDescent="0.2">
      <c r="A30" s="350"/>
      <c r="B30" s="353"/>
      <c r="C30" s="396"/>
      <c r="D30" s="355"/>
      <c r="E30" s="409"/>
      <c r="F30" s="379">
        <f t="shared" si="8"/>
        <v>0</v>
      </c>
      <c r="G30" s="296"/>
      <c r="H30" s="296"/>
      <c r="I30" s="296"/>
      <c r="J30" s="296"/>
      <c r="K30" s="296"/>
      <c r="L30" s="297">
        <f t="shared" si="7"/>
        <v>0</v>
      </c>
      <c r="M30" s="298">
        <v>43578</v>
      </c>
      <c r="N30" s="298">
        <v>43585</v>
      </c>
      <c r="O30" s="315"/>
      <c r="P30" s="300"/>
      <c r="S30" s="301">
        <f t="shared" si="2"/>
        <v>0</v>
      </c>
      <c r="T30" s="301">
        <f t="shared" si="3"/>
        <v>0</v>
      </c>
      <c r="U30" s="301">
        <f t="shared" si="4"/>
        <v>0</v>
      </c>
      <c r="V30" s="301">
        <f t="shared" si="5"/>
        <v>0</v>
      </c>
    </row>
    <row r="31" spans="1:22" s="301" customFormat="1" x14ac:dyDescent="0.2">
      <c r="A31" s="290" t="s">
        <v>205</v>
      </c>
      <c r="B31" s="291"/>
      <c r="C31" s="395" t="s">
        <v>206</v>
      </c>
      <c r="D31" s="293"/>
      <c r="E31" s="408">
        <v>1610.17</v>
      </c>
      <c r="F31" s="379">
        <f t="shared" si="8"/>
        <v>0</v>
      </c>
      <c r="G31" s="296"/>
      <c r="H31" s="296"/>
      <c r="I31" s="296"/>
      <c r="J31" s="296"/>
      <c r="K31" s="296"/>
      <c r="L31" s="297">
        <f t="shared" si="7"/>
        <v>0</v>
      </c>
      <c r="M31" s="298"/>
      <c r="N31" s="298"/>
      <c r="O31" s="315"/>
      <c r="P31" s="300"/>
      <c r="S31" s="301">
        <f t="shared" si="2"/>
        <v>0</v>
      </c>
      <c r="T31" s="301">
        <f t="shared" si="3"/>
        <v>0</v>
      </c>
      <c r="U31" s="301">
        <f t="shared" si="4"/>
        <v>0</v>
      </c>
      <c r="V31" s="301">
        <f t="shared" si="5"/>
        <v>0</v>
      </c>
    </row>
    <row r="32" spans="1:22" s="301" customFormat="1" x14ac:dyDescent="0.2">
      <c r="A32" s="290" t="s">
        <v>207</v>
      </c>
      <c r="B32" s="291"/>
      <c r="C32" s="395" t="s">
        <v>206</v>
      </c>
      <c r="D32" s="293"/>
      <c r="E32" s="408">
        <v>1686.44</v>
      </c>
      <c r="F32" s="379">
        <f t="shared" si="8"/>
        <v>0</v>
      </c>
      <c r="G32" s="296">
        <v>25</v>
      </c>
      <c r="H32" s="296"/>
      <c r="I32" s="296"/>
      <c r="J32" s="296"/>
      <c r="K32" s="357">
        <v>2</v>
      </c>
      <c r="L32" s="297">
        <f t="shared" si="7"/>
        <v>3372.88</v>
      </c>
      <c r="M32" s="298"/>
      <c r="N32" s="298"/>
      <c r="O32" s="315"/>
      <c r="P32" s="300"/>
      <c r="S32" s="301">
        <f t="shared" si="2"/>
        <v>0</v>
      </c>
      <c r="T32" s="301">
        <f t="shared" si="3"/>
        <v>0</v>
      </c>
      <c r="U32" s="301">
        <f t="shared" si="4"/>
        <v>0</v>
      </c>
      <c r="V32" s="301">
        <f t="shared" si="5"/>
        <v>3372.88</v>
      </c>
    </row>
    <row r="33" spans="1:22" s="301" customFormat="1" x14ac:dyDescent="0.2">
      <c r="A33" s="290"/>
      <c r="B33" s="291"/>
      <c r="C33" s="395"/>
      <c r="D33" s="293"/>
      <c r="E33" s="408"/>
      <c r="F33" s="379">
        <f t="shared" ref="F33" si="9">E33*D33</f>
        <v>0</v>
      </c>
      <c r="G33" s="296"/>
      <c r="H33" s="296"/>
      <c r="I33" s="296"/>
      <c r="J33" s="296"/>
      <c r="K33" s="296"/>
      <c r="L33" s="297">
        <f t="shared" si="7"/>
        <v>0</v>
      </c>
      <c r="M33" s="298"/>
      <c r="N33" s="298"/>
      <c r="O33" s="315"/>
      <c r="P33" s="300"/>
      <c r="S33" s="301">
        <f t="shared" si="2"/>
        <v>0</v>
      </c>
      <c r="T33" s="301">
        <f t="shared" si="3"/>
        <v>0</v>
      </c>
      <c r="U33" s="301">
        <f t="shared" si="4"/>
        <v>0</v>
      </c>
      <c r="V33" s="301">
        <f t="shared" si="5"/>
        <v>0</v>
      </c>
    </row>
    <row r="34" spans="1:22" s="301" customFormat="1" x14ac:dyDescent="0.2">
      <c r="A34" s="359">
        <v>5081</v>
      </c>
      <c r="B34" s="390" t="s">
        <v>442</v>
      </c>
      <c r="C34" s="397" t="s">
        <v>224</v>
      </c>
      <c r="D34" s="422">
        <v>1000</v>
      </c>
      <c r="E34" s="410">
        <v>1242</v>
      </c>
      <c r="F34" s="379">
        <f>E34*D34</f>
        <v>1242000</v>
      </c>
      <c r="G34" s="296"/>
      <c r="H34" s="296"/>
      <c r="I34" s="296"/>
      <c r="J34" s="296"/>
      <c r="K34" s="296"/>
      <c r="L34" s="297">
        <f t="shared" si="7"/>
        <v>0</v>
      </c>
      <c r="M34" s="298">
        <v>43514</v>
      </c>
      <c r="N34" s="298"/>
      <c r="O34" s="394" t="s">
        <v>441</v>
      </c>
      <c r="P34" s="300"/>
      <c r="S34" s="301">
        <f t="shared" si="2"/>
        <v>0</v>
      </c>
      <c r="T34" s="301">
        <f t="shared" si="3"/>
        <v>0</v>
      </c>
      <c r="U34" s="301">
        <f t="shared" si="4"/>
        <v>0</v>
      </c>
      <c r="V34" s="301">
        <f t="shared" si="5"/>
        <v>0</v>
      </c>
    </row>
    <row r="35" spans="1:22" s="301" customFormat="1" x14ac:dyDescent="0.2">
      <c r="A35" s="319">
        <v>4975</v>
      </c>
      <c r="B35" s="320" t="s">
        <v>530</v>
      </c>
      <c r="C35" s="436" t="s">
        <v>536</v>
      </c>
      <c r="D35" s="355">
        <v>1</v>
      </c>
      <c r="E35" s="409">
        <v>21450</v>
      </c>
      <c r="F35" s="379">
        <f t="shared" ref="F35:F53" si="10">E35*D35</f>
        <v>21450</v>
      </c>
      <c r="G35" s="296">
        <v>1</v>
      </c>
      <c r="H35" s="296"/>
      <c r="I35" s="357">
        <v>1</v>
      </c>
      <c r="J35" s="296"/>
      <c r="K35" s="296"/>
      <c r="L35" s="297">
        <f t="shared" si="6"/>
        <v>21450</v>
      </c>
      <c r="M35" s="298">
        <v>43525</v>
      </c>
      <c r="N35" s="477">
        <v>43553</v>
      </c>
      <c r="O35" s="433" t="s">
        <v>534</v>
      </c>
      <c r="P35" s="300"/>
      <c r="S35" s="301">
        <f t="shared" si="2"/>
        <v>0</v>
      </c>
      <c r="T35" s="301">
        <f t="shared" si="3"/>
        <v>21450</v>
      </c>
      <c r="U35" s="301">
        <f t="shared" si="4"/>
        <v>0</v>
      </c>
      <c r="V35" s="301">
        <f t="shared" si="5"/>
        <v>0</v>
      </c>
    </row>
    <row r="36" spans="1:22" s="301" customFormat="1" x14ac:dyDescent="0.2">
      <c r="A36" s="319">
        <v>4976</v>
      </c>
      <c r="B36" s="320" t="s">
        <v>530</v>
      </c>
      <c r="C36" s="396" t="s">
        <v>519</v>
      </c>
      <c r="D36" s="355">
        <v>1</v>
      </c>
      <c r="E36" s="409">
        <v>30800</v>
      </c>
      <c r="F36" s="379">
        <f t="shared" si="10"/>
        <v>30800</v>
      </c>
      <c r="G36" s="296">
        <v>1</v>
      </c>
      <c r="H36" s="296"/>
      <c r="I36" s="357">
        <v>1</v>
      </c>
      <c r="J36" s="296"/>
      <c r="K36" s="296"/>
      <c r="L36" s="297">
        <f t="shared" si="6"/>
        <v>30800</v>
      </c>
      <c r="M36" s="298">
        <v>43525</v>
      </c>
      <c r="N36" s="477">
        <v>43553</v>
      </c>
      <c r="O36" s="434" t="s">
        <v>529</v>
      </c>
      <c r="P36" s="300"/>
      <c r="S36" s="301">
        <f t="shared" si="2"/>
        <v>0</v>
      </c>
      <c r="T36" s="301">
        <f t="shared" si="3"/>
        <v>30800</v>
      </c>
      <c r="U36" s="301">
        <f t="shared" si="4"/>
        <v>0</v>
      </c>
      <c r="V36" s="301">
        <f t="shared" si="5"/>
        <v>0</v>
      </c>
    </row>
    <row r="37" spans="1:22" s="301" customFormat="1" x14ac:dyDescent="0.2">
      <c r="A37" s="319">
        <v>4977</v>
      </c>
      <c r="B37" s="320" t="s">
        <v>530</v>
      </c>
      <c r="C37" s="396" t="s">
        <v>520</v>
      </c>
      <c r="D37" s="355">
        <v>1</v>
      </c>
      <c r="E37" s="409">
        <v>7480</v>
      </c>
      <c r="F37" s="379">
        <f t="shared" si="10"/>
        <v>7480</v>
      </c>
      <c r="G37" s="296">
        <v>1</v>
      </c>
      <c r="H37" s="296"/>
      <c r="I37" s="357">
        <v>1</v>
      </c>
      <c r="J37" s="296"/>
      <c r="K37" s="296"/>
      <c r="L37" s="297">
        <f t="shared" si="6"/>
        <v>7480</v>
      </c>
      <c r="M37" s="298">
        <v>43525</v>
      </c>
      <c r="N37" s="477">
        <v>43553</v>
      </c>
      <c r="O37" s="434" t="s">
        <v>529</v>
      </c>
      <c r="P37" s="300"/>
      <c r="S37" s="301">
        <f t="shared" si="2"/>
        <v>0</v>
      </c>
      <c r="T37" s="301">
        <f t="shared" si="3"/>
        <v>7480</v>
      </c>
      <c r="U37" s="301">
        <f t="shared" si="4"/>
        <v>0</v>
      </c>
      <c r="V37" s="301">
        <f t="shared" si="5"/>
        <v>0</v>
      </c>
    </row>
    <row r="38" spans="1:22" s="301" customFormat="1" x14ac:dyDescent="0.2">
      <c r="A38" s="319">
        <v>4978</v>
      </c>
      <c r="B38" s="320" t="s">
        <v>530</v>
      </c>
      <c r="C38" s="396" t="s">
        <v>521</v>
      </c>
      <c r="D38" s="355">
        <v>1</v>
      </c>
      <c r="E38" s="409">
        <v>2860</v>
      </c>
      <c r="F38" s="379">
        <f t="shared" si="10"/>
        <v>2860</v>
      </c>
      <c r="G38" s="296">
        <v>1</v>
      </c>
      <c r="H38" s="296"/>
      <c r="I38" s="357">
        <v>1</v>
      </c>
      <c r="J38" s="296"/>
      <c r="K38" s="296"/>
      <c r="L38" s="297">
        <f t="shared" si="6"/>
        <v>2860</v>
      </c>
      <c r="M38" s="298">
        <v>43525</v>
      </c>
      <c r="N38" s="477">
        <v>43553</v>
      </c>
      <c r="O38" s="434" t="s">
        <v>529</v>
      </c>
      <c r="P38" s="300"/>
      <c r="S38" s="301">
        <f t="shared" si="2"/>
        <v>0</v>
      </c>
      <c r="T38" s="301">
        <f t="shared" si="3"/>
        <v>2860</v>
      </c>
      <c r="U38" s="301">
        <f t="shared" si="4"/>
        <v>0</v>
      </c>
      <c r="V38" s="301">
        <f t="shared" si="5"/>
        <v>0</v>
      </c>
    </row>
    <row r="39" spans="1:22" s="301" customFormat="1" x14ac:dyDescent="0.2">
      <c r="A39" s="319">
        <v>4979</v>
      </c>
      <c r="B39" s="320" t="s">
        <v>530</v>
      </c>
      <c r="C39" s="396" t="s">
        <v>522</v>
      </c>
      <c r="D39" s="355">
        <v>2</v>
      </c>
      <c r="E39" s="409">
        <v>17050</v>
      </c>
      <c r="F39" s="379">
        <f t="shared" si="10"/>
        <v>34100</v>
      </c>
      <c r="G39" s="296">
        <v>2</v>
      </c>
      <c r="H39" s="296"/>
      <c r="I39" s="357">
        <v>2</v>
      </c>
      <c r="J39" s="296"/>
      <c r="K39" s="296"/>
      <c r="L39" s="297">
        <f t="shared" si="1"/>
        <v>34100</v>
      </c>
      <c r="M39" s="298">
        <v>43525</v>
      </c>
      <c r="N39" s="477">
        <v>43553</v>
      </c>
      <c r="O39" s="434" t="s">
        <v>529</v>
      </c>
      <c r="P39" s="300"/>
      <c r="S39" s="301">
        <f t="shared" si="2"/>
        <v>0</v>
      </c>
      <c r="T39" s="301">
        <f t="shared" si="3"/>
        <v>34100</v>
      </c>
      <c r="U39" s="301">
        <f t="shared" si="4"/>
        <v>0</v>
      </c>
      <c r="V39" s="301">
        <f t="shared" si="5"/>
        <v>0</v>
      </c>
    </row>
    <row r="40" spans="1:22" s="301" customFormat="1" x14ac:dyDescent="0.2">
      <c r="A40" s="319">
        <v>4980</v>
      </c>
      <c r="B40" s="320" t="s">
        <v>530</v>
      </c>
      <c r="C40" s="396" t="s">
        <v>523</v>
      </c>
      <c r="D40" s="355">
        <v>4</v>
      </c>
      <c r="E40" s="409">
        <v>2200</v>
      </c>
      <c r="F40" s="379">
        <f t="shared" si="10"/>
        <v>8800</v>
      </c>
      <c r="G40" s="296">
        <v>4</v>
      </c>
      <c r="H40" s="296"/>
      <c r="I40" s="357">
        <v>4</v>
      </c>
      <c r="J40" s="296"/>
      <c r="K40" s="296"/>
      <c r="L40" s="297">
        <f t="shared" si="1"/>
        <v>8800</v>
      </c>
      <c r="M40" s="298">
        <v>43525</v>
      </c>
      <c r="N40" s="477">
        <v>43553</v>
      </c>
      <c r="O40" s="434" t="s">
        <v>529</v>
      </c>
      <c r="P40" s="300"/>
      <c r="S40" s="301">
        <f t="shared" si="2"/>
        <v>0</v>
      </c>
      <c r="T40" s="301">
        <f t="shared" si="3"/>
        <v>8800</v>
      </c>
      <c r="U40" s="301">
        <f t="shared" si="4"/>
        <v>0</v>
      </c>
      <c r="V40" s="301">
        <f t="shared" si="5"/>
        <v>0</v>
      </c>
    </row>
    <row r="41" spans="1:22" s="301" customFormat="1" x14ac:dyDescent="0.2">
      <c r="A41" s="319">
        <v>4981</v>
      </c>
      <c r="B41" s="320" t="s">
        <v>530</v>
      </c>
      <c r="C41" s="396" t="s">
        <v>524</v>
      </c>
      <c r="D41" s="355">
        <v>4</v>
      </c>
      <c r="E41" s="409">
        <v>2090</v>
      </c>
      <c r="F41" s="379">
        <f t="shared" si="10"/>
        <v>8360</v>
      </c>
      <c r="G41" s="296">
        <v>4</v>
      </c>
      <c r="H41" s="296"/>
      <c r="I41" s="357">
        <v>4</v>
      </c>
      <c r="J41" s="296"/>
      <c r="K41" s="296"/>
      <c r="L41" s="297">
        <f t="shared" si="1"/>
        <v>8360</v>
      </c>
      <c r="M41" s="298">
        <v>43525</v>
      </c>
      <c r="N41" s="477">
        <v>43553</v>
      </c>
      <c r="O41" s="434" t="s">
        <v>529</v>
      </c>
      <c r="P41" s="300"/>
      <c r="S41" s="301">
        <f t="shared" si="2"/>
        <v>0</v>
      </c>
      <c r="T41" s="301">
        <f t="shared" si="3"/>
        <v>8360</v>
      </c>
      <c r="U41" s="301">
        <f t="shared" si="4"/>
        <v>0</v>
      </c>
      <c r="V41" s="301">
        <f t="shared" si="5"/>
        <v>0</v>
      </c>
    </row>
    <row r="42" spans="1:22" s="301" customFormat="1" x14ac:dyDescent="0.2">
      <c r="A42" s="319">
        <v>4982</v>
      </c>
      <c r="B42" s="320" t="s">
        <v>530</v>
      </c>
      <c r="C42" s="396" t="s">
        <v>521</v>
      </c>
      <c r="D42" s="355">
        <v>1</v>
      </c>
      <c r="E42" s="409">
        <v>385</v>
      </c>
      <c r="F42" s="379">
        <f t="shared" si="10"/>
        <v>385</v>
      </c>
      <c r="G42" s="296">
        <v>1</v>
      </c>
      <c r="H42" s="296"/>
      <c r="I42" s="357">
        <v>1</v>
      </c>
      <c r="J42" s="296"/>
      <c r="K42" s="296"/>
      <c r="L42" s="297">
        <f t="shared" si="1"/>
        <v>385</v>
      </c>
      <c r="M42" s="298">
        <v>43525</v>
      </c>
      <c r="N42" s="477">
        <v>43553</v>
      </c>
      <c r="O42" s="434" t="s">
        <v>529</v>
      </c>
      <c r="P42" s="300"/>
      <c r="S42" s="301">
        <f t="shared" si="2"/>
        <v>0</v>
      </c>
      <c r="T42" s="301">
        <f t="shared" si="3"/>
        <v>385</v>
      </c>
      <c r="U42" s="301">
        <f t="shared" si="4"/>
        <v>0</v>
      </c>
      <c r="V42" s="301">
        <f t="shared" si="5"/>
        <v>0</v>
      </c>
    </row>
    <row r="43" spans="1:22" s="301" customFormat="1" x14ac:dyDescent="0.2">
      <c r="A43" s="319">
        <v>4983</v>
      </c>
      <c r="B43" s="320" t="s">
        <v>530</v>
      </c>
      <c r="C43" s="396" t="s">
        <v>525</v>
      </c>
      <c r="D43" s="355">
        <v>30</v>
      </c>
      <c r="E43" s="409">
        <v>55</v>
      </c>
      <c r="F43" s="379">
        <f t="shared" si="10"/>
        <v>1650</v>
      </c>
      <c r="G43" s="296">
        <v>30</v>
      </c>
      <c r="H43" s="296"/>
      <c r="I43" s="357">
        <v>30</v>
      </c>
      <c r="J43" s="296"/>
      <c r="K43" s="296"/>
      <c r="L43" s="297">
        <f t="shared" si="1"/>
        <v>1650</v>
      </c>
      <c r="M43" s="298">
        <v>43525</v>
      </c>
      <c r="N43" s="477">
        <v>43553</v>
      </c>
      <c r="O43" s="434" t="s">
        <v>529</v>
      </c>
      <c r="P43" s="300"/>
      <c r="S43" s="301">
        <f t="shared" si="2"/>
        <v>0</v>
      </c>
      <c r="T43" s="301">
        <f t="shared" si="3"/>
        <v>1650</v>
      </c>
      <c r="U43" s="301">
        <f t="shared" si="4"/>
        <v>0</v>
      </c>
      <c r="V43" s="301">
        <f t="shared" si="5"/>
        <v>0</v>
      </c>
    </row>
    <row r="44" spans="1:22" s="301" customFormat="1" x14ac:dyDescent="0.2">
      <c r="A44" s="319">
        <v>4984</v>
      </c>
      <c r="B44" s="320" t="s">
        <v>530</v>
      </c>
      <c r="C44" s="396" t="s">
        <v>526</v>
      </c>
      <c r="D44" s="355">
        <v>10</v>
      </c>
      <c r="E44" s="409">
        <v>93.5</v>
      </c>
      <c r="F44" s="379">
        <f t="shared" si="10"/>
        <v>935</v>
      </c>
      <c r="G44" s="296">
        <v>10</v>
      </c>
      <c r="H44" s="296"/>
      <c r="I44" s="357">
        <v>10</v>
      </c>
      <c r="J44" s="296"/>
      <c r="K44" s="296"/>
      <c r="L44" s="297">
        <f t="shared" si="1"/>
        <v>935</v>
      </c>
      <c r="M44" s="298">
        <v>43525</v>
      </c>
      <c r="N44" s="477">
        <v>43553</v>
      </c>
      <c r="O44" s="434" t="s">
        <v>529</v>
      </c>
      <c r="P44" s="300"/>
      <c r="S44" s="301">
        <f t="shared" si="2"/>
        <v>0</v>
      </c>
      <c r="T44" s="301">
        <f t="shared" si="3"/>
        <v>935</v>
      </c>
      <c r="U44" s="301">
        <f t="shared" si="4"/>
        <v>0</v>
      </c>
      <c r="V44" s="301">
        <f t="shared" si="5"/>
        <v>0</v>
      </c>
    </row>
    <row r="45" spans="1:22" s="301" customFormat="1" x14ac:dyDescent="0.2">
      <c r="A45" s="319">
        <v>4985</v>
      </c>
      <c r="B45" s="320" t="s">
        <v>530</v>
      </c>
      <c r="C45" s="396" t="s">
        <v>527</v>
      </c>
      <c r="D45" s="355">
        <v>1</v>
      </c>
      <c r="E45" s="409">
        <v>451</v>
      </c>
      <c r="F45" s="379">
        <f t="shared" si="10"/>
        <v>451</v>
      </c>
      <c r="G45" s="296">
        <v>1</v>
      </c>
      <c r="H45" s="296"/>
      <c r="I45" s="357">
        <v>1</v>
      </c>
      <c r="J45" s="296"/>
      <c r="K45" s="296"/>
      <c r="L45" s="297">
        <f t="shared" si="1"/>
        <v>451</v>
      </c>
      <c r="M45" s="298">
        <v>43525</v>
      </c>
      <c r="N45" s="477">
        <v>43553</v>
      </c>
      <c r="O45" s="434" t="s">
        <v>529</v>
      </c>
      <c r="P45" s="300"/>
      <c r="S45" s="301">
        <f t="shared" si="2"/>
        <v>0</v>
      </c>
      <c r="T45" s="301">
        <f t="shared" si="3"/>
        <v>451</v>
      </c>
      <c r="U45" s="301">
        <f t="shared" si="4"/>
        <v>0</v>
      </c>
      <c r="V45" s="301">
        <f t="shared" si="5"/>
        <v>0</v>
      </c>
    </row>
    <row r="46" spans="1:22" s="301" customFormat="1" x14ac:dyDescent="0.2">
      <c r="A46" s="319">
        <v>4986</v>
      </c>
      <c r="B46" s="320" t="s">
        <v>530</v>
      </c>
      <c r="C46" s="396" t="s">
        <v>528</v>
      </c>
      <c r="D46" s="355">
        <v>1</v>
      </c>
      <c r="E46" s="409">
        <v>1430</v>
      </c>
      <c r="F46" s="379">
        <f t="shared" si="10"/>
        <v>1430</v>
      </c>
      <c r="G46" s="296">
        <v>1</v>
      </c>
      <c r="H46" s="296"/>
      <c r="I46" s="357">
        <v>1</v>
      </c>
      <c r="J46" s="296"/>
      <c r="K46" s="296"/>
      <c r="L46" s="297">
        <f t="shared" si="1"/>
        <v>1430</v>
      </c>
      <c r="M46" s="298">
        <v>43525</v>
      </c>
      <c r="N46" s="477">
        <v>43553</v>
      </c>
      <c r="O46" s="434" t="s">
        <v>529</v>
      </c>
      <c r="P46" s="300"/>
      <c r="S46" s="301">
        <f t="shared" si="2"/>
        <v>0</v>
      </c>
      <c r="T46" s="301">
        <f t="shared" si="3"/>
        <v>1430</v>
      </c>
      <c r="U46" s="301">
        <f t="shared" si="4"/>
        <v>0</v>
      </c>
      <c r="V46" s="301">
        <f t="shared" si="5"/>
        <v>0</v>
      </c>
    </row>
    <row r="47" spans="1:22" s="301" customFormat="1" x14ac:dyDescent="0.2">
      <c r="A47" s="319">
        <v>5213</v>
      </c>
      <c r="B47" s="320" t="s">
        <v>581</v>
      </c>
      <c r="C47" s="396" t="s">
        <v>567</v>
      </c>
      <c r="D47" s="355">
        <v>18</v>
      </c>
      <c r="E47" s="409">
        <v>1406</v>
      </c>
      <c r="F47" s="379">
        <f t="shared" si="10"/>
        <v>25308</v>
      </c>
      <c r="G47" s="296">
        <v>18</v>
      </c>
      <c r="H47" s="357">
        <v>18</v>
      </c>
      <c r="I47" s="296"/>
      <c r="J47" s="296"/>
      <c r="K47" s="296"/>
      <c r="L47" s="297">
        <f t="shared" si="1"/>
        <v>25308</v>
      </c>
      <c r="M47" s="298">
        <v>43539</v>
      </c>
      <c r="N47" s="477">
        <v>43553</v>
      </c>
      <c r="O47" s="446" t="s">
        <v>613</v>
      </c>
      <c r="P47" s="300"/>
      <c r="S47" s="301">
        <f t="shared" si="2"/>
        <v>25308</v>
      </c>
      <c r="T47" s="301">
        <f t="shared" si="3"/>
        <v>0</v>
      </c>
      <c r="U47" s="301">
        <f t="shared" si="4"/>
        <v>0</v>
      </c>
      <c r="V47" s="301">
        <f t="shared" si="5"/>
        <v>0</v>
      </c>
    </row>
    <row r="48" spans="1:22" s="301" customFormat="1" x14ac:dyDescent="0.2">
      <c r="A48" s="319">
        <v>5220</v>
      </c>
      <c r="B48" s="320" t="s">
        <v>581</v>
      </c>
      <c r="C48" s="396" t="s">
        <v>574</v>
      </c>
      <c r="D48" s="355">
        <v>1</v>
      </c>
      <c r="E48" s="409">
        <v>11733.5</v>
      </c>
      <c r="F48" s="379">
        <f t="shared" si="10"/>
        <v>11733.5</v>
      </c>
      <c r="G48" s="296">
        <v>1</v>
      </c>
      <c r="H48" s="357">
        <v>1</v>
      </c>
      <c r="I48" s="296"/>
      <c r="J48" s="296"/>
      <c r="K48" s="296"/>
      <c r="L48" s="297">
        <f t="shared" si="1"/>
        <v>11733.5</v>
      </c>
      <c r="M48" s="298">
        <v>43539</v>
      </c>
      <c r="N48" s="477">
        <v>43553</v>
      </c>
      <c r="O48" s="446" t="s">
        <v>613</v>
      </c>
      <c r="P48" s="300"/>
      <c r="S48" s="301">
        <f t="shared" si="2"/>
        <v>11733.5</v>
      </c>
      <c r="T48" s="301">
        <f t="shared" si="3"/>
        <v>0</v>
      </c>
      <c r="U48" s="301">
        <f t="shared" si="4"/>
        <v>0</v>
      </c>
      <c r="V48" s="301">
        <f t="shared" si="5"/>
        <v>0</v>
      </c>
    </row>
    <row r="49" spans="1:22" s="301" customFormat="1" x14ac:dyDescent="0.2">
      <c r="A49" s="319">
        <v>5223</v>
      </c>
      <c r="B49" s="320" t="s">
        <v>581</v>
      </c>
      <c r="C49" s="396" t="s">
        <v>577</v>
      </c>
      <c r="D49" s="355">
        <v>1</v>
      </c>
      <c r="E49" s="409">
        <v>5407</v>
      </c>
      <c r="F49" s="379">
        <f t="shared" si="10"/>
        <v>5407</v>
      </c>
      <c r="G49" s="296">
        <v>1</v>
      </c>
      <c r="H49" s="357">
        <v>1</v>
      </c>
      <c r="I49" s="296"/>
      <c r="J49" s="296"/>
      <c r="K49" s="296"/>
      <c r="L49" s="297">
        <f t="shared" si="1"/>
        <v>5407</v>
      </c>
      <c r="M49" s="298">
        <v>43539</v>
      </c>
      <c r="N49" s="476">
        <v>43565</v>
      </c>
      <c r="O49" s="446" t="s">
        <v>613</v>
      </c>
      <c r="P49" s="300"/>
      <c r="S49" s="301">
        <f t="shared" si="2"/>
        <v>5407</v>
      </c>
      <c r="T49" s="301">
        <f t="shared" si="3"/>
        <v>0</v>
      </c>
      <c r="U49" s="301">
        <f t="shared" si="4"/>
        <v>0</v>
      </c>
      <c r="V49" s="301">
        <f t="shared" si="5"/>
        <v>0</v>
      </c>
    </row>
    <row r="50" spans="1:22" s="301" customFormat="1" x14ac:dyDescent="0.2">
      <c r="A50" s="319">
        <v>5224</v>
      </c>
      <c r="B50" s="320" t="s">
        <v>581</v>
      </c>
      <c r="C50" s="396" t="s">
        <v>578</v>
      </c>
      <c r="D50" s="355">
        <v>9</v>
      </c>
      <c r="E50" s="409">
        <v>8543.5</v>
      </c>
      <c r="F50" s="379">
        <f t="shared" si="10"/>
        <v>76891.5</v>
      </c>
      <c r="G50" s="296">
        <v>9</v>
      </c>
      <c r="H50" s="357">
        <v>9</v>
      </c>
      <c r="I50" s="296"/>
      <c r="J50" s="296"/>
      <c r="K50" s="296"/>
      <c r="L50" s="297">
        <f t="shared" si="1"/>
        <v>76891.5</v>
      </c>
      <c r="M50" s="298">
        <v>43539</v>
      </c>
      <c r="N50" s="476">
        <v>43565</v>
      </c>
      <c r="O50" s="446" t="s">
        <v>613</v>
      </c>
      <c r="P50" s="300"/>
      <c r="S50" s="301">
        <f t="shared" si="2"/>
        <v>76891.5</v>
      </c>
      <c r="T50" s="301">
        <f t="shared" si="3"/>
        <v>0</v>
      </c>
      <c r="U50" s="301">
        <f t="shared" si="4"/>
        <v>0</v>
      </c>
      <c r="V50" s="301">
        <f t="shared" si="5"/>
        <v>0</v>
      </c>
    </row>
    <row r="51" spans="1:22" s="301" customFormat="1" x14ac:dyDescent="0.2">
      <c r="A51" s="319">
        <v>5225</v>
      </c>
      <c r="B51" s="320" t="s">
        <v>581</v>
      </c>
      <c r="C51" s="396" t="s">
        <v>579</v>
      </c>
      <c r="D51" s="355">
        <v>9</v>
      </c>
      <c r="E51" s="409">
        <v>11247</v>
      </c>
      <c r="F51" s="379">
        <f t="shared" si="10"/>
        <v>101223</v>
      </c>
      <c r="G51" s="296">
        <v>9</v>
      </c>
      <c r="H51" s="357">
        <v>9</v>
      </c>
      <c r="I51" s="296"/>
      <c r="J51" s="296"/>
      <c r="K51" s="296"/>
      <c r="L51" s="297">
        <f t="shared" si="1"/>
        <v>101223</v>
      </c>
      <c r="M51" s="298">
        <v>43539</v>
      </c>
      <c r="N51" s="476">
        <v>43565</v>
      </c>
      <c r="O51" s="446" t="s">
        <v>613</v>
      </c>
      <c r="P51" s="300"/>
      <c r="S51" s="301">
        <f t="shared" si="2"/>
        <v>101223</v>
      </c>
      <c r="T51" s="301">
        <f t="shared" si="3"/>
        <v>0</v>
      </c>
      <c r="U51" s="301">
        <f t="shared" si="4"/>
        <v>0</v>
      </c>
      <c r="V51" s="301">
        <f t="shared" si="5"/>
        <v>0</v>
      </c>
    </row>
    <row r="52" spans="1:22" s="301" customFormat="1" x14ac:dyDescent="0.2">
      <c r="A52" s="319">
        <v>5226</v>
      </c>
      <c r="B52" s="320" t="s">
        <v>581</v>
      </c>
      <c r="C52" s="396" t="s">
        <v>580</v>
      </c>
      <c r="D52" s="355">
        <v>1</v>
      </c>
      <c r="E52" s="409">
        <v>13301.5</v>
      </c>
      <c r="F52" s="379">
        <f t="shared" si="10"/>
        <v>13301.5</v>
      </c>
      <c r="G52" s="296">
        <v>1</v>
      </c>
      <c r="H52" s="357">
        <v>1</v>
      </c>
      <c r="I52" s="296"/>
      <c r="J52" s="296"/>
      <c r="K52" s="296"/>
      <c r="L52" s="297">
        <f t="shared" si="1"/>
        <v>13301.5</v>
      </c>
      <c r="M52" s="298">
        <v>43539</v>
      </c>
      <c r="N52" s="476">
        <v>43565</v>
      </c>
      <c r="O52" s="446" t="s">
        <v>613</v>
      </c>
      <c r="P52" s="300"/>
      <c r="S52" s="301">
        <f t="shared" si="2"/>
        <v>13301.5</v>
      </c>
      <c r="T52" s="301">
        <f t="shared" si="3"/>
        <v>0</v>
      </c>
      <c r="U52" s="301">
        <f t="shared" si="4"/>
        <v>0</v>
      </c>
      <c r="V52" s="301">
        <f t="shared" si="5"/>
        <v>0</v>
      </c>
    </row>
    <row r="53" spans="1:22" s="301" customFormat="1" x14ac:dyDescent="0.2">
      <c r="A53" s="319">
        <v>5237</v>
      </c>
      <c r="B53" s="320" t="s">
        <v>641</v>
      </c>
      <c r="C53" s="396" t="s">
        <v>640</v>
      </c>
      <c r="D53" s="355">
        <v>2</v>
      </c>
      <c r="E53" s="409">
        <v>17600</v>
      </c>
      <c r="F53" s="379">
        <f t="shared" si="10"/>
        <v>35200</v>
      </c>
      <c r="G53" s="296">
        <v>2</v>
      </c>
      <c r="H53" s="357">
        <v>2</v>
      </c>
      <c r="I53" s="296"/>
      <c r="J53" s="296"/>
      <c r="K53" s="296"/>
      <c r="L53" s="297">
        <f t="shared" si="1"/>
        <v>35200</v>
      </c>
      <c r="M53" s="298"/>
      <c r="N53" s="476"/>
      <c r="O53" s="458" t="s">
        <v>657</v>
      </c>
      <c r="P53" s="300"/>
      <c r="S53" s="301">
        <f t="shared" si="2"/>
        <v>35200</v>
      </c>
      <c r="T53" s="301">
        <f t="shared" si="3"/>
        <v>0</v>
      </c>
      <c r="U53" s="301">
        <f t="shared" si="4"/>
        <v>0</v>
      </c>
      <c r="V53" s="301">
        <f t="shared" si="5"/>
        <v>0</v>
      </c>
    </row>
    <row r="54" spans="1:22" s="301" customFormat="1" x14ac:dyDescent="0.2">
      <c r="A54" s="319">
        <v>5292</v>
      </c>
      <c r="B54" s="320" t="s">
        <v>648</v>
      </c>
      <c r="C54" s="396" t="s">
        <v>645</v>
      </c>
      <c r="D54" s="355">
        <v>5</v>
      </c>
      <c r="E54" s="440">
        <v>5500</v>
      </c>
      <c r="F54" s="379">
        <f t="shared" ref="F54:F85" si="11">E54*D54</f>
        <v>27500</v>
      </c>
      <c r="G54" s="296">
        <v>5</v>
      </c>
      <c r="H54" s="296"/>
      <c r="I54" s="296"/>
      <c r="J54" s="357">
        <v>5</v>
      </c>
      <c r="K54" s="296"/>
      <c r="L54" s="297">
        <f t="shared" ref="L54:L87" si="12">E54*(H54+I54+J54+K54)</f>
        <v>27500</v>
      </c>
      <c r="M54" s="298">
        <v>43560</v>
      </c>
      <c r="N54" s="476">
        <v>43570</v>
      </c>
      <c r="O54" s="393" t="s">
        <v>658</v>
      </c>
      <c r="P54" s="300"/>
      <c r="S54" s="301">
        <f t="shared" si="2"/>
        <v>0</v>
      </c>
      <c r="T54" s="301">
        <f t="shared" si="3"/>
        <v>0</v>
      </c>
      <c r="U54" s="301">
        <f t="shared" si="4"/>
        <v>27500</v>
      </c>
      <c r="V54" s="301">
        <f t="shared" si="5"/>
        <v>0</v>
      </c>
    </row>
    <row r="55" spans="1:22" s="301" customFormat="1" x14ac:dyDescent="0.2">
      <c r="A55" s="319">
        <v>5293</v>
      </c>
      <c r="B55" s="320" t="s">
        <v>648</v>
      </c>
      <c r="C55" s="396" t="s">
        <v>646</v>
      </c>
      <c r="D55" s="355">
        <v>5</v>
      </c>
      <c r="E55" s="440">
        <v>5510</v>
      </c>
      <c r="F55" s="379">
        <f t="shared" si="11"/>
        <v>27550</v>
      </c>
      <c r="G55" s="296">
        <v>5</v>
      </c>
      <c r="H55" s="296"/>
      <c r="I55" s="296"/>
      <c r="J55" s="357">
        <v>5</v>
      </c>
      <c r="K55" s="296"/>
      <c r="L55" s="297">
        <f t="shared" si="12"/>
        <v>27550</v>
      </c>
      <c r="M55" s="298">
        <v>43560</v>
      </c>
      <c r="N55" s="476">
        <v>43570</v>
      </c>
      <c r="O55" s="393" t="s">
        <v>658</v>
      </c>
      <c r="P55" s="300"/>
      <c r="S55" s="301">
        <f t="shared" si="2"/>
        <v>0</v>
      </c>
      <c r="T55" s="301">
        <f t="shared" si="3"/>
        <v>0</v>
      </c>
      <c r="U55" s="301">
        <f t="shared" si="4"/>
        <v>27550</v>
      </c>
      <c r="V55" s="301">
        <f t="shared" si="5"/>
        <v>0</v>
      </c>
    </row>
    <row r="56" spans="1:22" s="301" customFormat="1" x14ac:dyDescent="0.2">
      <c r="A56" s="319">
        <v>5294</v>
      </c>
      <c r="B56" s="320" t="s">
        <v>648</v>
      </c>
      <c r="C56" s="396" t="s">
        <v>647</v>
      </c>
      <c r="D56" s="355">
        <v>5</v>
      </c>
      <c r="E56" s="440">
        <v>5400</v>
      </c>
      <c r="F56" s="379">
        <f t="shared" si="11"/>
        <v>27000</v>
      </c>
      <c r="G56" s="296">
        <v>5</v>
      </c>
      <c r="H56" s="296"/>
      <c r="I56" s="296"/>
      <c r="J56" s="357">
        <v>5</v>
      </c>
      <c r="K56" s="296"/>
      <c r="L56" s="297">
        <f t="shared" si="12"/>
        <v>27000</v>
      </c>
      <c r="M56" s="298">
        <v>43560</v>
      </c>
      <c r="N56" s="476">
        <v>43570</v>
      </c>
      <c r="O56" s="393" t="s">
        <v>658</v>
      </c>
      <c r="P56" s="300"/>
      <c r="S56" s="301">
        <f t="shared" si="2"/>
        <v>0</v>
      </c>
      <c r="T56" s="301">
        <f t="shared" si="3"/>
        <v>0</v>
      </c>
      <c r="U56" s="301">
        <f t="shared" si="4"/>
        <v>27000</v>
      </c>
      <c r="V56" s="301">
        <f t="shared" si="5"/>
        <v>0</v>
      </c>
    </row>
    <row r="57" spans="1:22" s="301" customFormat="1" x14ac:dyDescent="0.2">
      <c r="A57" s="319">
        <v>5295</v>
      </c>
      <c r="B57" s="320" t="s">
        <v>648</v>
      </c>
      <c r="C57" s="396" t="s">
        <v>646</v>
      </c>
      <c r="D57" s="355">
        <v>5</v>
      </c>
      <c r="E57" s="440">
        <v>5410</v>
      </c>
      <c r="F57" s="379">
        <f t="shared" si="11"/>
        <v>27050</v>
      </c>
      <c r="G57" s="296">
        <v>5</v>
      </c>
      <c r="H57" s="296"/>
      <c r="I57" s="296"/>
      <c r="J57" s="357">
        <v>5</v>
      </c>
      <c r="K57" s="296"/>
      <c r="L57" s="297">
        <f t="shared" si="12"/>
        <v>27050</v>
      </c>
      <c r="M57" s="298">
        <v>43560</v>
      </c>
      <c r="N57" s="476">
        <v>43570</v>
      </c>
      <c r="O57" s="393" t="s">
        <v>658</v>
      </c>
      <c r="P57" s="300"/>
      <c r="S57" s="301">
        <f t="shared" si="2"/>
        <v>0</v>
      </c>
      <c r="T57" s="301">
        <f t="shared" si="3"/>
        <v>0</v>
      </c>
      <c r="U57" s="301">
        <f t="shared" si="4"/>
        <v>27050</v>
      </c>
      <c r="V57" s="301">
        <f t="shared" si="5"/>
        <v>0</v>
      </c>
    </row>
    <row r="58" spans="1:22" s="301" customFormat="1" x14ac:dyDescent="0.2">
      <c r="A58" s="319">
        <v>5241</v>
      </c>
      <c r="B58" s="353" t="s">
        <v>656</v>
      </c>
      <c r="C58" s="396" t="s">
        <v>651</v>
      </c>
      <c r="D58" s="355">
        <v>1</v>
      </c>
      <c r="E58" s="440">
        <v>918</v>
      </c>
      <c r="F58" s="379">
        <f t="shared" si="11"/>
        <v>918</v>
      </c>
      <c r="G58" s="296">
        <v>1</v>
      </c>
      <c r="H58" s="296"/>
      <c r="I58" s="357">
        <v>1</v>
      </c>
      <c r="J58" s="296"/>
      <c r="K58" s="296"/>
      <c r="L58" s="297">
        <f t="shared" si="12"/>
        <v>918</v>
      </c>
      <c r="M58" s="298">
        <v>43560</v>
      </c>
      <c r="N58" s="476">
        <v>43570</v>
      </c>
      <c r="O58" s="393" t="s">
        <v>659</v>
      </c>
      <c r="P58" s="300"/>
      <c r="S58" s="301">
        <f t="shared" si="2"/>
        <v>0</v>
      </c>
      <c r="T58" s="301">
        <f t="shared" si="3"/>
        <v>918</v>
      </c>
      <c r="U58" s="301">
        <f t="shared" si="4"/>
        <v>0</v>
      </c>
      <c r="V58" s="301">
        <f t="shared" si="5"/>
        <v>0</v>
      </c>
    </row>
    <row r="59" spans="1:22" s="301" customFormat="1" x14ac:dyDescent="0.2">
      <c r="A59" s="319">
        <v>5242</v>
      </c>
      <c r="B59" s="353" t="s">
        <v>656</v>
      </c>
      <c r="C59" s="396" t="s">
        <v>651</v>
      </c>
      <c r="D59" s="355">
        <v>1</v>
      </c>
      <c r="E59" s="440">
        <v>54.5</v>
      </c>
      <c r="F59" s="379">
        <f t="shared" si="11"/>
        <v>54.5</v>
      </c>
      <c r="G59" s="296">
        <v>1</v>
      </c>
      <c r="H59" s="296"/>
      <c r="I59" s="357">
        <v>1</v>
      </c>
      <c r="J59" s="296"/>
      <c r="K59" s="296"/>
      <c r="L59" s="297">
        <f t="shared" si="12"/>
        <v>54.5</v>
      </c>
      <c r="M59" s="298">
        <v>43560</v>
      </c>
      <c r="N59" s="476">
        <v>43570</v>
      </c>
      <c r="O59" s="393" t="s">
        <v>659</v>
      </c>
      <c r="P59" s="300"/>
      <c r="S59" s="301">
        <f t="shared" si="2"/>
        <v>0</v>
      </c>
      <c r="T59" s="301">
        <f t="shared" si="3"/>
        <v>54.5</v>
      </c>
      <c r="U59" s="301">
        <f t="shared" si="4"/>
        <v>0</v>
      </c>
      <c r="V59" s="301">
        <f t="shared" si="5"/>
        <v>0</v>
      </c>
    </row>
    <row r="60" spans="1:22" s="301" customFormat="1" x14ac:dyDescent="0.2">
      <c r="A60" s="319">
        <v>5243</v>
      </c>
      <c r="B60" s="353" t="s">
        <v>656</v>
      </c>
      <c r="C60" s="396" t="s">
        <v>652</v>
      </c>
      <c r="D60" s="355">
        <v>1</v>
      </c>
      <c r="E60" s="440">
        <v>943.5</v>
      </c>
      <c r="F60" s="379">
        <f t="shared" si="11"/>
        <v>943.5</v>
      </c>
      <c r="G60" s="296">
        <v>1</v>
      </c>
      <c r="H60" s="296"/>
      <c r="I60" s="357">
        <v>1</v>
      </c>
      <c r="J60" s="296"/>
      <c r="K60" s="296"/>
      <c r="L60" s="297">
        <f t="shared" si="12"/>
        <v>943.5</v>
      </c>
      <c r="M60" s="298">
        <v>43560</v>
      </c>
      <c r="N60" s="476">
        <v>43570</v>
      </c>
      <c r="O60" s="393" t="s">
        <v>659</v>
      </c>
      <c r="P60" s="300"/>
      <c r="S60" s="301">
        <f t="shared" si="2"/>
        <v>0</v>
      </c>
      <c r="T60" s="301">
        <f t="shared" si="3"/>
        <v>943.5</v>
      </c>
      <c r="U60" s="301">
        <f t="shared" si="4"/>
        <v>0</v>
      </c>
      <c r="V60" s="301">
        <f t="shared" si="5"/>
        <v>0</v>
      </c>
    </row>
    <row r="61" spans="1:22" s="301" customFormat="1" x14ac:dyDescent="0.2">
      <c r="A61" s="319">
        <v>5244</v>
      </c>
      <c r="B61" s="353" t="s">
        <v>656</v>
      </c>
      <c r="C61" s="396" t="s">
        <v>652</v>
      </c>
      <c r="D61" s="355">
        <v>1</v>
      </c>
      <c r="E61" s="440">
        <v>943.5</v>
      </c>
      <c r="F61" s="379">
        <f t="shared" si="11"/>
        <v>943.5</v>
      </c>
      <c r="G61" s="296">
        <v>1</v>
      </c>
      <c r="H61" s="296"/>
      <c r="I61" s="357">
        <v>1</v>
      </c>
      <c r="J61" s="296"/>
      <c r="K61" s="296"/>
      <c r="L61" s="297">
        <f t="shared" si="12"/>
        <v>943.5</v>
      </c>
      <c r="M61" s="298">
        <v>43560</v>
      </c>
      <c r="N61" s="476">
        <v>43570</v>
      </c>
      <c r="O61" s="393" t="s">
        <v>659</v>
      </c>
      <c r="P61" s="300"/>
      <c r="S61" s="301">
        <f t="shared" si="2"/>
        <v>0</v>
      </c>
      <c r="T61" s="301">
        <f t="shared" si="3"/>
        <v>943.5</v>
      </c>
      <c r="U61" s="301">
        <f t="shared" si="4"/>
        <v>0</v>
      </c>
      <c r="V61" s="301">
        <f t="shared" si="5"/>
        <v>0</v>
      </c>
    </row>
    <row r="62" spans="1:22" s="301" customFormat="1" x14ac:dyDescent="0.2">
      <c r="A62" s="319">
        <v>5245</v>
      </c>
      <c r="B62" s="353" t="s">
        <v>656</v>
      </c>
      <c r="C62" s="396" t="s">
        <v>653</v>
      </c>
      <c r="D62" s="355">
        <v>2</v>
      </c>
      <c r="E62" s="440">
        <v>34</v>
      </c>
      <c r="F62" s="379">
        <f t="shared" si="11"/>
        <v>68</v>
      </c>
      <c r="G62" s="296">
        <v>2</v>
      </c>
      <c r="H62" s="296"/>
      <c r="I62" s="357">
        <v>2</v>
      </c>
      <c r="J62" s="296"/>
      <c r="K62" s="296"/>
      <c r="L62" s="297">
        <f t="shared" si="12"/>
        <v>68</v>
      </c>
      <c r="M62" s="298">
        <v>43560</v>
      </c>
      <c r="N62" s="476">
        <v>43570</v>
      </c>
      <c r="O62" s="393" t="s">
        <v>659</v>
      </c>
      <c r="P62" s="300"/>
      <c r="S62" s="301">
        <f t="shared" si="2"/>
        <v>0</v>
      </c>
      <c r="T62" s="301">
        <f t="shared" si="3"/>
        <v>68</v>
      </c>
      <c r="U62" s="301">
        <f t="shared" si="4"/>
        <v>0</v>
      </c>
      <c r="V62" s="301">
        <f t="shared" si="5"/>
        <v>0</v>
      </c>
    </row>
    <row r="63" spans="1:22" s="301" customFormat="1" x14ac:dyDescent="0.2">
      <c r="A63" s="319">
        <v>5246</v>
      </c>
      <c r="B63" s="353" t="s">
        <v>656</v>
      </c>
      <c r="C63" s="396" t="s">
        <v>653</v>
      </c>
      <c r="D63" s="355">
        <v>1</v>
      </c>
      <c r="E63" s="440">
        <v>127.5</v>
      </c>
      <c r="F63" s="379">
        <f t="shared" si="11"/>
        <v>127.5</v>
      </c>
      <c r="G63" s="296">
        <v>1</v>
      </c>
      <c r="H63" s="296"/>
      <c r="I63" s="357">
        <v>1</v>
      </c>
      <c r="J63" s="296"/>
      <c r="K63" s="296"/>
      <c r="L63" s="297">
        <f t="shared" si="12"/>
        <v>127.5</v>
      </c>
      <c r="M63" s="298">
        <v>43560</v>
      </c>
      <c r="N63" s="476">
        <v>43570</v>
      </c>
      <c r="O63" s="393" t="s">
        <v>659</v>
      </c>
      <c r="P63" s="300"/>
      <c r="S63" s="301">
        <f t="shared" si="2"/>
        <v>0</v>
      </c>
      <c r="T63" s="301">
        <f t="shared" si="3"/>
        <v>127.5</v>
      </c>
      <c r="U63" s="301">
        <f t="shared" si="4"/>
        <v>0</v>
      </c>
      <c r="V63" s="301">
        <f t="shared" si="5"/>
        <v>0</v>
      </c>
    </row>
    <row r="64" spans="1:22" s="301" customFormat="1" x14ac:dyDescent="0.2">
      <c r="A64" s="319">
        <v>5247</v>
      </c>
      <c r="B64" s="353" t="s">
        <v>656</v>
      </c>
      <c r="C64" s="396" t="s">
        <v>653</v>
      </c>
      <c r="D64" s="355">
        <v>1</v>
      </c>
      <c r="E64" s="440">
        <v>82</v>
      </c>
      <c r="F64" s="379">
        <f t="shared" si="11"/>
        <v>82</v>
      </c>
      <c r="G64" s="296">
        <v>1</v>
      </c>
      <c r="H64" s="296"/>
      <c r="I64" s="357">
        <v>1</v>
      </c>
      <c r="J64" s="296"/>
      <c r="K64" s="296"/>
      <c r="L64" s="297">
        <f t="shared" si="12"/>
        <v>82</v>
      </c>
      <c r="M64" s="298">
        <v>43560</v>
      </c>
      <c r="N64" s="476">
        <v>43570</v>
      </c>
      <c r="O64" s="393" t="s">
        <v>659</v>
      </c>
      <c r="P64" s="300"/>
      <c r="S64" s="301">
        <f t="shared" si="2"/>
        <v>0</v>
      </c>
      <c r="T64" s="301">
        <f t="shared" si="3"/>
        <v>82</v>
      </c>
      <c r="U64" s="301">
        <f t="shared" si="4"/>
        <v>0</v>
      </c>
      <c r="V64" s="301">
        <f t="shared" si="5"/>
        <v>0</v>
      </c>
    </row>
    <row r="65" spans="1:22" s="301" customFormat="1" x14ac:dyDescent="0.2">
      <c r="A65" s="319">
        <v>5248</v>
      </c>
      <c r="B65" s="353" t="s">
        <v>656</v>
      </c>
      <c r="C65" s="396" t="s">
        <v>654</v>
      </c>
      <c r="D65" s="355">
        <v>1</v>
      </c>
      <c r="E65" s="440">
        <v>275.5</v>
      </c>
      <c r="F65" s="379">
        <f t="shared" si="11"/>
        <v>275.5</v>
      </c>
      <c r="G65" s="296">
        <v>1</v>
      </c>
      <c r="H65" s="296"/>
      <c r="I65" s="357">
        <v>1</v>
      </c>
      <c r="J65" s="296"/>
      <c r="K65" s="296"/>
      <c r="L65" s="297">
        <f t="shared" si="12"/>
        <v>275.5</v>
      </c>
      <c r="M65" s="298">
        <v>43560</v>
      </c>
      <c r="N65" s="476">
        <v>43570</v>
      </c>
      <c r="O65" s="393" t="s">
        <v>659</v>
      </c>
      <c r="P65" s="300"/>
      <c r="S65" s="301">
        <f t="shared" si="2"/>
        <v>0</v>
      </c>
      <c r="T65" s="301">
        <f t="shared" si="3"/>
        <v>275.5</v>
      </c>
      <c r="U65" s="301">
        <f t="shared" si="4"/>
        <v>0</v>
      </c>
      <c r="V65" s="301">
        <f t="shared" si="5"/>
        <v>0</v>
      </c>
    </row>
    <row r="66" spans="1:22" s="301" customFormat="1" x14ac:dyDescent="0.2">
      <c r="A66" s="319">
        <v>5249</v>
      </c>
      <c r="B66" s="353" t="s">
        <v>656</v>
      </c>
      <c r="C66" s="396" t="s">
        <v>654</v>
      </c>
      <c r="D66" s="355">
        <v>1</v>
      </c>
      <c r="E66" s="440">
        <v>275.5</v>
      </c>
      <c r="F66" s="379">
        <f t="shared" si="11"/>
        <v>275.5</v>
      </c>
      <c r="G66" s="296">
        <v>1</v>
      </c>
      <c r="H66" s="296"/>
      <c r="I66" s="357">
        <v>1</v>
      </c>
      <c r="J66" s="296"/>
      <c r="K66" s="296"/>
      <c r="L66" s="297">
        <f t="shared" si="12"/>
        <v>275.5</v>
      </c>
      <c r="M66" s="298">
        <v>43560</v>
      </c>
      <c r="N66" s="476">
        <v>43570</v>
      </c>
      <c r="O66" s="393" t="s">
        <v>659</v>
      </c>
      <c r="P66" s="300"/>
      <c r="S66" s="301">
        <f t="shared" si="2"/>
        <v>0</v>
      </c>
      <c r="T66" s="301">
        <f t="shared" si="3"/>
        <v>275.5</v>
      </c>
      <c r="U66" s="301">
        <f t="shared" si="4"/>
        <v>0</v>
      </c>
      <c r="V66" s="301">
        <f t="shared" si="5"/>
        <v>0</v>
      </c>
    </row>
    <row r="67" spans="1:22" s="301" customFormat="1" x14ac:dyDescent="0.2">
      <c r="A67" s="319">
        <v>5250</v>
      </c>
      <c r="B67" s="353" t="s">
        <v>656</v>
      </c>
      <c r="C67" s="396" t="s">
        <v>655</v>
      </c>
      <c r="D67" s="355">
        <v>1</v>
      </c>
      <c r="E67" s="440">
        <v>561</v>
      </c>
      <c r="F67" s="379">
        <f t="shared" si="11"/>
        <v>561</v>
      </c>
      <c r="G67" s="296">
        <v>1</v>
      </c>
      <c r="H67" s="296"/>
      <c r="I67" s="357">
        <v>1</v>
      </c>
      <c r="J67" s="296"/>
      <c r="K67" s="296"/>
      <c r="L67" s="297">
        <f t="shared" si="12"/>
        <v>561</v>
      </c>
      <c r="M67" s="298">
        <v>43560</v>
      </c>
      <c r="N67" s="476">
        <v>43570</v>
      </c>
      <c r="O67" s="393" t="s">
        <v>659</v>
      </c>
      <c r="P67" s="300"/>
      <c r="S67" s="301">
        <f t="shared" si="2"/>
        <v>0</v>
      </c>
      <c r="T67" s="301">
        <f t="shared" si="3"/>
        <v>561</v>
      </c>
      <c r="U67" s="301">
        <f t="shared" si="4"/>
        <v>0</v>
      </c>
      <c r="V67" s="301">
        <f t="shared" si="5"/>
        <v>0</v>
      </c>
    </row>
    <row r="68" spans="1:22" s="301" customFormat="1" x14ac:dyDescent="0.2">
      <c r="A68" s="319">
        <v>5287</v>
      </c>
      <c r="B68" s="353" t="s">
        <v>664</v>
      </c>
      <c r="C68" s="396" t="s">
        <v>665</v>
      </c>
      <c r="D68" s="355">
        <v>10</v>
      </c>
      <c r="E68" s="409">
        <v>12120</v>
      </c>
      <c r="F68" s="379">
        <f t="shared" si="11"/>
        <v>121200</v>
      </c>
      <c r="G68" s="296">
        <v>10</v>
      </c>
      <c r="H68" s="296"/>
      <c r="I68" s="296"/>
      <c r="J68" s="296"/>
      <c r="K68" s="357">
        <v>10</v>
      </c>
      <c r="L68" s="297">
        <f t="shared" si="12"/>
        <v>121200</v>
      </c>
      <c r="M68" s="298">
        <v>43560</v>
      </c>
      <c r="N68" s="476">
        <v>43574</v>
      </c>
      <c r="O68" s="459" t="s">
        <v>666</v>
      </c>
      <c r="P68" s="300"/>
      <c r="S68" s="301">
        <f t="shared" si="2"/>
        <v>0</v>
      </c>
      <c r="T68" s="301">
        <f t="shared" si="3"/>
        <v>0</v>
      </c>
      <c r="U68" s="301">
        <f t="shared" si="4"/>
        <v>0</v>
      </c>
      <c r="V68" s="301">
        <f t="shared" si="5"/>
        <v>121200</v>
      </c>
    </row>
    <row r="69" spans="1:22" s="301" customFormat="1" x14ac:dyDescent="0.2">
      <c r="A69" s="350">
        <v>5336</v>
      </c>
      <c r="B69" s="353" t="s">
        <v>694</v>
      </c>
      <c r="C69" s="396" t="s">
        <v>685</v>
      </c>
      <c r="D69" s="355">
        <v>5</v>
      </c>
      <c r="E69" s="409">
        <v>44000</v>
      </c>
      <c r="F69" s="379"/>
      <c r="G69" s="296"/>
      <c r="H69" s="296"/>
      <c r="I69" s="296"/>
      <c r="J69" s="296"/>
      <c r="K69" s="296"/>
      <c r="L69" s="297">
        <f t="shared" ref="L69:L79" si="13">E69*(H69+I69+J69+K69)</f>
        <v>0</v>
      </c>
      <c r="M69" s="298">
        <v>43573</v>
      </c>
      <c r="N69" s="298">
        <v>43603</v>
      </c>
      <c r="O69" s="459" t="s">
        <v>693</v>
      </c>
      <c r="P69" s="300"/>
      <c r="S69" s="301">
        <f t="shared" si="2"/>
        <v>0</v>
      </c>
      <c r="T69" s="301">
        <f t="shared" si="3"/>
        <v>0</v>
      </c>
      <c r="U69" s="301">
        <f t="shared" si="4"/>
        <v>0</v>
      </c>
      <c r="V69" s="301">
        <f t="shared" si="5"/>
        <v>0</v>
      </c>
    </row>
    <row r="70" spans="1:22" s="301" customFormat="1" x14ac:dyDescent="0.2">
      <c r="A70" s="350">
        <v>5337</v>
      </c>
      <c r="B70" s="353" t="s">
        <v>694</v>
      </c>
      <c r="C70" s="396" t="s">
        <v>686</v>
      </c>
      <c r="D70" s="355">
        <v>20</v>
      </c>
      <c r="E70" s="409">
        <v>510</v>
      </c>
      <c r="F70" s="379"/>
      <c r="G70" s="296"/>
      <c r="H70" s="296"/>
      <c r="I70" s="296"/>
      <c r="J70" s="296"/>
      <c r="K70" s="296"/>
      <c r="L70" s="297">
        <f t="shared" si="13"/>
        <v>0</v>
      </c>
      <c r="M70" s="298">
        <v>43573</v>
      </c>
      <c r="N70" s="298">
        <v>43603</v>
      </c>
      <c r="O70" s="459" t="s">
        <v>693</v>
      </c>
      <c r="P70" s="300"/>
      <c r="S70" s="301">
        <f t="shared" si="2"/>
        <v>0</v>
      </c>
      <c r="T70" s="301">
        <f t="shared" si="3"/>
        <v>0</v>
      </c>
      <c r="U70" s="301">
        <f t="shared" si="4"/>
        <v>0</v>
      </c>
      <c r="V70" s="301">
        <f t="shared" si="5"/>
        <v>0</v>
      </c>
    </row>
    <row r="71" spans="1:22" s="301" customFormat="1" x14ac:dyDescent="0.2">
      <c r="A71" s="350">
        <v>5338</v>
      </c>
      <c r="B71" s="353" t="s">
        <v>694</v>
      </c>
      <c r="C71" s="396" t="s">
        <v>687</v>
      </c>
      <c r="D71" s="355">
        <v>10</v>
      </c>
      <c r="E71" s="409">
        <v>1800</v>
      </c>
      <c r="F71" s="379"/>
      <c r="G71" s="296"/>
      <c r="H71" s="296"/>
      <c r="I71" s="296"/>
      <c r="J71" s="296"/>
      <c r="K71" s="296"/>
      <c r="L71" s="297">
        <f t="shared" si="13"/>
        <v>0</v>
      </c>
      <c r="M71" s="298">
        <v>43573</v>
      </c>
      <c r="N71" s="298">
        <v>43603</v>
      </c>
      <c r="O71" s="459" t="s">
        <v>693</v>
      </c>
      <c r="P71" s="300"/>
      <c r="S71" s="301">
        <f t="shared" si="2"/>
        <v>0</v>
      </c>
      <c r="T71" s="301">
        <f t="shared" si="3"/>
        <v>0</v>
      </c>
      <c r="U71" s="301">
        <f t="shared" si="4"/>
        <v>0</v>
      </c>
      <c r="V71" s="301">
        <f t="shared" si="5"/>
        <v>0</v>
      </c>
    </row>
    <row r="72" spans="1:22" s="301" customFormat="1" x14ac:dyDescent="0.2">
      <c r="A72" s="350">
        <v>5339</v>
      </c>
      <c r="B72" s="353" t="s">
        <v>694</v>
      </c>
      <c r="C72" s="396" t="s">
        <v>688</v>
      </c>
      <c r="D72" s="355">
        <v>5</v>
      </c>
      <c r="E72" s="409">
        <v>2000</v>
      </c>
      <c r="F72" s="379"/>
      <c r="G72" s="296"/>
      <c r="H72" s="296"/>
      <c r="I72" s="296"/>
      <c r="J72" s="296"/>
      <c r="K72" s="296"/>
      <c r="L72" s="297">
        <f t="shared" si="13"/>
        <v>0</v>
      </c>
      <c r="M72" s="298">
        <v>43573</v>
      </c>
      <c r="N72" s="298">
        <v>43603</v>
      </c>
      <c r="O72" s="459" t="s">
        <v>693</v>
      </c>
      <c r="P72" s="300"/>
      <c r="S72" s="301">
        <f t="shared" si="2"/>
        <v>0</v>
      </c>
      <c r="T72" s="301">
        <f t="shared" si="3"/>
        <v>0</v>
      </c>
      <c r="U72" s="301">
        <f t="shared" si="4"/>
        <v>0</v>
      </c>
      <c r="V72" s="301">
        <f t="shared" si="5"/>
        <v>0</v>
      </c>
    </row>
    <row r="73" spans="1:22" s="301" customFormat="1" x14ac:dyDescent="0.2">
      <c r="A73" s="350">
        <v>5340</v>
      </c>
      <c r="B73" s="353" t="s">
        <v>694</v>
      </c>
      <c r="C73" s="396" t="s">
        <v>688</v>
      </c>
      <c r="D73" s="355">
        <v>5</v>
      </c>
      <c r="E73" s="409">
        <v>2100</v>
      </c>
      <c r="F73" s="379"/>
      <c r="G73" s="296"/>
      <c r="H73" s="296"/>
      <c r="I73" s="296"/>
      <c r="J73" s="296"/>
      <c r="K73" s="296"/>
      <c r="L73" s="297">
        <f t="shared" si="13"/>
        <v>0</v>
      </c>
      <c r="M73" s="298">
        <v>43573</v>
      </c>
      <c r="N73" s="298">
        <v>43603</v>
      </c>
      <c r="O73" s="459" t="s">
        <v>693</v>
      </c>
      <c r="P73" s="300"/>
      <c r="S73" s="301">
        <f t="shared" si="2"/>
        <v>0</v>
      </c>
      <c r="T73" s="301">
        <f t="shared" si="3"/>
        <v>0</v>
      </c>
      <c r="U73" s="301">
        <f t="shared" si="4"/>
        <v>0</v>
      </c>
      <c r="V73" s="301">
        <f t="shared" si="5"/>
        <v>0</v>
      </c>
    </row>
    <row r="74" spans="1:22" s="301" customFormat="1" x14ac:dyDescent="0.2">
      <c r="A74" s="350">
        <v>5341</v>
      </c>
      <c r="B74" s="353" t="s">
        <v>694</v>
      </c>
      <c r="C74" s="396" t="s">
        <v>689</v>
      </c>
      <c r="D74" s="355">
        <v>5</v>
      </c>
      <c r="E74" s="409">
        <v>2200</v>
      </c>
      <c r="F74" s="379"/>
      <c r="G74" s="296"/>
      <c r="H74" s="296"/>
      <c r="I74" s="296"/>
      <c r="J74" s="296"/>
      <c r="K74" s="296"/>
      <c r="L74" s="297">
        <f t="shared" si="13"/>
        <v>0</v>
      </c>
      <c r="M74" s="298">
        <v>43573</v>
      </c>
      <c r="N74" s="298">
        <v>43603</v>
      </c>
      <c r="O74" s="459" t="s">
        <v>693</v>
      </c>
      <c r="P74" s="300"/>
      <c r="S74" s="301">
        <f t="shared" ref="S74:S141" si="14">H74*E74</f>
        <v>0</v>
      </c>
      <c r="T74" s="301">
        <f t="shared" ref="T74:T141" si="15">I74*E74</f>
        <v>0</v>
      </c>
      <c r="U74" s="301">
        <f t="shared" ref="U74:U141" si="16">J74*E74</f>
        <v>0</v>
      </c>
      <c r="V74" s="301">
        <f t="shared" ref="V74:V141" si="17">K74*E74</f>
        <v>0</v>
      </c>
    </row>
    <row r="75" spans="1:22" s="301" customFormat="1" x14ac:dyDescent="0.2">
      <c r="A75" s="350">
        <v>5342</v>
      </c>
      <c r="B75" s="353" t="s">
        <v>696</v>
      </c>
      <c r="C75" s="396" t="s">
        <v>690</v>
      </c>
      <c r="D75" s="355">
        <v>3</v>
      </c>
      <c r="E75" s="409">
        <v>31400</v>
      </c>
      <c r="F75" s="379"/>
      <c r="G75" s="296"/>
      <c r="H75" s="296"/>
      <c r="I75" s="296"/>
      <c r="J75" s="296"/>
      <c r="K75" s="296"/>
      <c r="L75" s="297">
        <f t="shared" si="13"/>
        <v>0</v>
      </c>
      <c r="M75" s="298">
        <v>43573</v>
      </c>
      <c r="N75" s="298">
        <v>43603</v>
      </c>
      <c r="O75" s="459" t="s">
        <v>695</v>
      </c>
      <c r="P75" s="300"/>
      <c r="S75" s="301">
        <f t="shared" si="14"/>
        <v>0</v>
      </c>
      <c r="T75" s="301">
        <f t="shared" si="15"/>
        <v>0</v>
      </c>
      <c r="U75" s="301">
        <f t="shared" si="16"/>
        <v>0</v>
      </c>
      <c r="V75" s="301">
        <f t="shared" si="17"/>
        <v>0</v>
      </c>
    </row>
    <row r="76" spans="1:22" s="301" customFormat="1" x14ac:dyDescent="0.2">
      <c r="A76" s="350">
        <v>5343</v>
      </c>
      <c r="B76" s="353" t="s">
        <v>696</v>
      </c>
      <c r="C76" s="396" t="s">
        <v>686</v>
      </c>
      <c r="D76" s="355">
        <v>12</v>
      </c>
      <c r="E76" s="409">
        <v>200</v>
      </c>
      <c r="F76" s="379"/>
      <c r="G76" s="296"/>
      <c r="H76" s="296"/>
      <c r="I76" s="296"/>
      <c r="J76" s="296"/>
      <c r="K76" s="296"/>
      <c r="L76" s="297">
        <f t="shared" si="13"/>
        <v>0</v>
      </c>
      <c r="M76" s="298">
        <v>43573</v>
      </c>
      <c r="N76" s="298">
        <v>43603</v>
      </c>
      <c r="O76" s="459" t="s">
        <v>695</v>
      </c>
      <c r="P76" s="300"/>
      <c r="S76" s="301">
        <f t="shared" si="14"/>
        <v>0</v>
      </c>
      <c r="T76" s="301">
        <f t="shared" si="15"/>
        <v>0</v>
      </c>
      <c r="U76" s="301">
        <f t="shared" si="16"/>
        <v>0</v>
      </c>
      <c r="V76" s="301">
        <f t="shared" si="17"/>
        <v>0</v>
      </c>
    </row>
    <row r="77" spans="1:22" s="301" customFormat="1" x14ac:dyDescent="0.2">
      <c r="A77" s="350">
        <v>5344</v>
      </c>
      <c r="B77" s="353" t="s">
        <v>696</v>
      </c>
      <c r="C77" s="396" t="s">
        <v>691</v>
      </c>
      <c r="D77" s="355">
        <v>6</v>
      </c>
      <c r="E77" s="409">
        <v>500</v>
      </c>
      <c r="F77" s="379"/>
      <c r="G77" s="296"/>
      <c r="H77" s="296"/>
      <c r="I77" s="296"/>
      <c r="J77" s="296"/>
      <c r="K77" s="296"/>
      <c r="L77" s="297">
        <f t="shared" si="13"/>
        <v>0</v>
      </c>
      <c r="M77" s="298">
        <v>43573</v>
      </c>
      <c r="N77" s="298">
        <v>43603</v>
      </c>
      <c r="O77" s="459" t="s">
        <v>695</v>
      </c>
      <c r="P77" s="300"/>
      <c r="S77" s="301">
        <f t="shared" si="14"/>
        <v>0</v>
      </c>
      <c r="T77" s="301">
        <f t="shared" si="15"/>
        <v>0</v>
      </c>
      <c r="U77" s="301">
        <f t="shared" si="16"/>
        <v>0</v>
      </c>
      <c r="V77" s="301">
        <f t="shared" si="17"/>
        <v>0</v>
      </c>
    </row>
    <row r="78" spans="1:22" s="301" customFormat="1" x14ac:dyDescent="0.2">
      <c r="A78" s="350">
        <v>5345</v>
      </c>
      <c r="B78" s="353" t="s">
        <v>696</v>
      </c>
      <c r="C78" s="396" t="s">
        <v>692</v>
      </c>
      <c r="D78" s="355">
        <v>6</v>
      </c>
      <c r="E78" s="409">
        <v>1450</v>
      </c>
      <c r="F78" s="379"/>
      <c r="G78" s="296"/>
      <c r="H78" s="296"/>
      <c r="I78" s="296"/>
      <c r="J78" s="296"/>
      <c r="K78" s="296"/>
      <c r="L78" s="297">
        <f t="shared" si="13"/>
        <v>0</v>
      </c>
      <c r="M78" s="298">
        <v>43573</v>
      </c>
      <c r="N78" s="298">
        <v>43603</v>
      </c>
      <c r="O78" s="459" t="s">
        <v>695</v>
      </c>
      <c r="P78" s="300"/>
      <c r="S78" s="301">
        <f t="shared" si="14"/>
        <v>0</v>
      </c>
      <c r="T78" s="301">
        <f t="shared" si="15"/>
        <v>0</v>
      </c>
      <c r="U78" s="301">
        <f t="shared" si="16"/>
        <v>0</v>
      </c>
      <c r="V78" s="301">
        <f t="shared" si="17"/>
        <v>0</v>
      </c>
    </row>
    <row r="79" spans="1:22" s="301" customFormat="1" x14ac:dyDescent="0.2">
      <c r="A79" s="350">
        <v>5346</v>
      </c>
      <c r="B79" s="353" t="s">
        <v>696</v>
      </c>
      <c r="C79" s="396" t="s">
        <v>692</v>
      </c>
      <c r="D79" s="355">
        <v>6</v>
      </c>
      <c r="E79" s="409">
        <v>1460</v>
      </c>
      <c r="F79" s="379"/>
      <c r="G79" s="296"/>
      <c r="H79" s="296"/>
      <c r="I79" s="296"/>
      <c r="J79" s="296"/>
      <c r="K79" s="296"/>
      <c r="L79" s="297">
        <f t="shared" si="13"/>
        <v>0</v>
      </c>
      <c r="M79" s="298">
        <v>43573</v>
      </c>
      <c r="N79" s="298">
        <v>43603</v>
      </c>
      <c r="O79" s="459" t="s">
        <v>695</v>
      </c>
      <c r="P79" s="300"/>
      <c r="S79" s="301">
        <f t="shared" si="14"/>
        <v>0</v>
      </c>
      <c r="T79" s="301">
        <f t="shared" si="15"/>
        <v>0</v>
      </c>
      <c r="U79" s="301">
        <f t="shared" si="16"/>
        <v>0</v>
      </c>
      <c r="V79" s="301">
        <f t="shared" si="17"/>
        <v>0</v>
      </c>
    </row>
    <row r="80" spans="1:22" s="301" customFormat="1" x14ac:dyDescent="0.2">
      <c r="A80" s="350">
        <v>5331</v>
      </c>
      <c r="B80" s="353" t="s">
        <v>706</v>
      </c>
      <c r="C80" s="396" t="s">
        <v>702</v>
      </c>
      <c r="D80" s="355">
        <v>1</v>
      </c>
      <c r="E80" s="409">
        <v>275275</v>
      </c>
      <c r="F80" s="379"/>
      <c r="G80" s="296"/>
      <c r="H80" s="296"/>
      <c r="I80" s="296"/>
      <c r="J80" s="296"/>
      <c r="K80" s="296"/>
      <c r="L80" s="297">
        <f t="shared" si="12"/>
        <v>0</v>
      </c>
      <c r="M80" s="298">
        <v>43577</v>
      </c>
      <c r="N80" s="298">
        <v>43607</v>
      </c>
      <c r="O80" s="459" t="s">
        <v>705</v>
      </c>
      <c r="P80" s="300"/>
      <c r="S80" s="301">
        <f t="shared" si="14"/>
        <v>0</v>
      </c>
      <c r="T80" s="301">
        <f t="shared" si="15"/>
        <v>0</v>
      </c>
      <c r="U80" s="301">
        <f t="shared" si="16"/>
        <v>0</v>
      </c>
      <c r="V80" s="301">
        <f t="shared" si="17"/>
        <v>0</v>
      </c>
    </row>
    <row r="81" spans="1:22" s="301" customFormat="1" x14ac:dyDescent="0.2">
      <c r="A81" s="350">
        <v>5332</v>
      </c>
      <c r="B81" s="353" t="s">
        <v>706</v>
      </c>
      <c r="C81" s="396" t="s">
        <v>703</v>
      </c>
      <c r="D81" s="355">
        <v>1</v>
      </c>
      <c r="E81" s="409">
        <v>42250</v>
      </c>
      <c r="F81" s="379"/>
      <c r="G81" s="296"/>
      <c r="H81" s="296"/>
      <c r="I81" s="296"/>
      <c r="J81" s="296"/>
      <c r="K81" s="296"/>
      <c r="L81" s="297">
        <f t="shared" si="12"/>
        <v>0</v>
      </c>
      <c r="M81" s="298">
        <v>43577</v>
      </c>
      <c r="N81" s="298">
        <v>43607</v>
      </c>
      <c r="O81" s="459" t="s">
        <v>705</v>
      </c>
      <c r="P81" s="300"/>
      <c r="S81" s="301">
        <f t="shared" si="14"/>
        <v>0</v>
      </c>
      <c r="T81" s="301">
        <f t="shared" si="15"/>
        <v>0</v>
      </c>
      <c r="U81" s="301">
        <f t="shared" si="16"/>
        <v>0</v>
      </c>
      <c r="V81" s="301">
        <f t="shared" si="17"/>
        <v>0</v>
      </c>
    </row>
    <row r="82" spans="1:22" s="301" customFormat="1" x14ac:dyDescent="0.2">
      <c r="A82" s="350">
        <v>5333</v>
      </c>
      <c r="B82" s="353" t="s">
        <v>706</v>
      </c>
      <c r="C82" s="396" t="s">
        <v>704</v>
      </c>
      <c r="D82" s="355">
        <v>1</v>
      </c>
      <c r="E82" s="409">
        <v>4225</v>
      </c>
      <c r="F82" s="379"/>
      <c r="G82" s="296"/>
      <c r="H82" s="296"/>
      <c r="I82" s="296"/>
      <c r="J82" s="296"/>
      <c r="K82" s="296"/>
      <c r="L82" s="297">
        <f t="shared" si="12"/>
        <v>0</v>
      </c>
      <c r="M82" s="298">
        <v>43577</v>
      </c>
      <c r="N82" s="298">
        <v>43607</v>
      </c>
      <c r="O82" s="459" t="s">
        <v>705</v>
      </c>
      <c r="P82" s="300"/>
      <c r="S82" s="301">
        <f t="shared" si="14"/>
        <v>0</v>
      </c>
      <c r="T82" s="301">
        <f t="shared" si="15"/>
        <v>0</v>
      </c>
      <c r="U82" s="301">
        <f t="shared" si="16"/>
        <v>0</v>
      </c>
      <c r="V82" s="301">
        <f t="shared" si="17"/>
        <v>0</v>
      </c>
    </row>
    <row r="83" spans="1:22" s="301" customFormat="1" x14ac:dyDescent="0.2">
      <c r="A83" s="350"/>
      <c r="B83" s="320"/>
      <c r="C83" s="396"/>
      <c r="D83" s="355"/>
      <c r="E83" s="440"/>
      <c r="F83" s="379">
        <f t="shared" si="11"/>
        <v>0</v>
      </c>
      <c r="G83" s="296"/>
      <c r="H83" s="296"/>
      <c r="I83" s="296"/>
      <c r="J83" s="296"/>
      <c r="K83" s="296"/>
      <c r="L83" s="297">
        <f t="shared" si="12"/>
        <v>0</v>
      </c>
      <c r="M83" s="298"/>
      <c r="N83" s="298"/>
      <c r="O83" s="393"/>
      <c r="P83" s="300"/>
      <c r="S83" s="301">
        <f t="shared" si="14"/>
        <v>0</v>
      </c>
      <c r="T83" s="301">
        <f t="shared" si="15"/>
        <v>0</v>
      </c>
      <c r="U83" s="301">
        <f t="shared" si="16"/>
        <v>0</v>
      </c>
      <c r="V83" s="301">
        <f t="shared" si="17"/>
        <v>0</v>
      </c>
    </row>
    <row r="84" spans="1:22" s="301" customFormat="1" x14ac:dyDescent="0.2">
      <c r="A84" s="290">
        <v>4924</v>
      </c>
      <c r="B84" s="353" t="s">
        <v>284</v>
      </c>
      <c r="C84" s="397" t="s">
        <v>602</v>
      </c>
      <c r="D84" s="293">
        <v>1</v>
      </c>
      <c r="E84" s="410">
        <v>2650</v>
      </c>
      <c r="F84" s="379">
        <f t="shared" si="11"/>
        <v>2650</v>
      </c>
      <c r="G84" s="296"/>
      <c r="H84" s="296"/>
      <c r="I84" s="296"/>
      <c r="J84" s="296"/>
      <c r="K84" s="296"/>
      <c r="L84" s="297">
        <f t="shared" si="12"/>
        <v>0</v>
      </c>
      <c r="M84" s="298">
        <v>43502</v>
      </c>
      <c r="N84" s="298" t="s">
        <v>401</v>
      </c>
      <c r="O84" s="315"/>
      <c r="P84" s="300"/>
      <c r="S84" s="301">
        <f t="shared" si="14"/>
        <v>0</v>
      </c>
      <c r="T84" s="301">
        <f t="shared" si="15"/>
        <v>0</v>
      </c>
      <c r="U84" s="301">
        <f t="shared" si="16"/>
        <v>0</v>
      </c>
      <c r="V84" s="301">
        <f t="shared" si="17"/>
        <v>0</v>
      </c>
    </row>
    <row r="85" spans="1:22" s="301" customFormat="1" x14ac:dyDescent="0.2">
      <c r="A85" s="350">
        <v>5253</v>
      </c>
      <c r="B85" s="353" t="s">
        <v>284</v>
      </c>
      <c r="C85" s="396" t="s">
        <v>631</v>
      </c>
      <c r="D85" s="355">
        <v>30</v>
      </c>
      <c r="E85" s="409">
        <v>160</v>
      </c>
      <c r="F85" s="379">
        <f t="shared" si="11"/>
        <v>4800</v>
      </c>
      <c r="G85" s="296">
        <v>30</v>
      </c>
      <c r="H85" s="296"/>
      <c r="I85" s="296"/>
      <c r="J85" s="296"/>
      <c r="K85" s="357">
        <v>30</v>
      </c>
      <c r="L85" s="297">
        <f t="shared" si="12"/>
        <v>4800</v>
      </c>
      <c r="M85" s="298">
        <v>43553</v>
      </c>
      <c r="N85" s="477">
        <v>43560</v>
      </c>
      <c r="O85" s="315"/>
      <c r="P85" s="300"/>
      <c r="S85" s="301">
        <f t="shared" si="14"/>
        <v>0</v>
      </c>
      <c r="T85" s="301">
        <f t="shared" si="15"/>
        <v>0</v>
      </c>
      <c r="U85" s="301">
        <f t="shared" si="16"/>
        <v>0</v>
      </c>
      <c r="V85" s="301">
        <f t="shared" si="17"/>
        <v>4800</v>
      </c>
    </row>
    <row r="86" spans="1:22" s="301" customFormat="1" x14ac:dyDescent="0.2">
      <c r="A86" s="350">
        <v>5254</v>
      </c>
      <c r="B86" s="353" t="s">
        <v>284</v>
      </c>
      <c r="C86" s="396" t="s">
        <v>632</v>
      </c>
      <c r="D86" s="355">
        <v>6</v>
      </c>
      <c r="E86" s="409">
        <v>950</v>
      </c>
      <c r="F86" s="379">
        <f>E86*D86</f>
        <v>5700</v>
      </c>
      <c r="G86" s="296">
        <v>6</v>
      </c>
      <c r="H86" s="296"/>
      <c r="I86" s="296"/>
      <c r="J86" s="357">
        <v>6</v>
      </c>
      <c r="K86" s="296"/>
      <c r="L86" s="297">
        <f t="shared" si="12"/>
        <v>5700</v>
      </c>
      <c r="M86" s="298">
        <v>43553</v>
      </c>
      <c r="N86" s="476">
        <v>43560</v>
      </c>
      <c r="O86" s="315"/>
      <c r="P86" s="300"/>
      <c r="S86" s="301">
        <f t="shared" si="14"/>
        <v>0</v>
      </c>
      <c r="T86" s="301">
        <f t="shared" si="15"/>
        <v>0</v>
      </c>
      <c r="U86" s="301">
        <f t="shared" si="16"/>
        <v>5700</v>
      </c>
      <c r="V86" s="301">
        <f t="shared" si="17"/>
        <v>0</v>
      </c>
    </row>
    <row r="87" spans="1:22" s="301" customFormat="1" x14ac:dyDescent="0.2">
      <c r="A87" s="350">
        <v>5276</v>
      </c>
      <c r="B87" s="353" t="s">
        <v>284</v>
      </c>
      <c r="C87" s="396" t="s">
        <v>633</v>
      </c>
      <c r="D87" s="355">
        <v>2</v>
      </c>
      <c r="E87" s="409">
        <v>350</v>
      </c>
      <c r="F87" s="379">
        <f>E87*D87</f>
        <v>700</v>
      </c>
      <c r="G87" s="296">
        <v>2</v>
      </c>
      <c r="H87" s="296"/>
      <c r="I87" s="296"/>
      <c r="J87" s="357">
        <v>2</v>
      </c>
      <c r="K87" s="296"/>
      <c r="L87" s="297">
        <f t="shared" si="12"/>
        <v>700</v>
      </c>
      <c r="M87" s="298">
        <v>43553</v>
      </c>
      <c r="N87" s="476">
        <v>43560</v>
      </c>
      <c r="O87" s="315"/>
      <c r="P87" s="300"/>
      <c r="S87" s="301">
        <f t="shared" si="14"/>
        <v>0</v>
      </c>
      <c r="T87" s="301">
        <f t="shared" si="15"/>
        <v>0</v>
      </c>
      <c r="U87" s="301">
        <f t="shared" si="16"/>
        <v>700</v>
      </c>
      <c r="V87" s="301">
        <f t="shared" si="17"/>
        <v>0</v>
      </c>
    </row>
    <row r="88" spans="1:22" s="301" customFormat="1" x14ac:dyDescent="0.2">
      <c r="A88" s="350">
        <v>5355</v>
      </c>
      <c r="B88" s="353" t="s">
        <v>284</v>
      </c>
      <c r="C88" s="396" t="s">
        <v>711</v>
      </c>
      <c r="D88" s="355">
        <v>2</v>
      </c>
      <c r="E88" s="412">
        <v>1500</v>
      </c>
      <c r="F88" s="379">
        <f>E88*D88</f>
        <v>3000</v>
      </c>
      <c r="G88" s="296">
        <v>2</v>
      </c>
      <c r="H88" s="296"/>
      <c r="I88" s="296"/>
      <c r="J88" s="296"/>
      <c r="K88" s="296"/>
      <c r="L88" s="297">
        <f t="shared" ref="L88:L95" si="18">E88*(H88+I88+J88+K88)</f>
        <v>0</v>
      </c>
      <c r="M88" s="298" t="s">
        <v>712</v>
      </c>
      <c r="N88" s="298">
        <v>43585</v>
      </c>
      <c r="O88" s="315"/>
      <c r="P88" s="300"/>
      <c r="S88" s="301">
        <f t="shared" si="14"/>
        <v>0</v>
      </c>
      <c r="T88" s="301">
        <f t="shared" si="15"/>
        <v>0</v>
      </c>
      <c r="U88" s="301">
        <f t="shared" si="16"/>
        <v>0</v>
      </c>
      <c r="V88" s="301">
        <f t="shared" si="17"/>
        <v>0</v>
      </c>
    </row>
    <row r="89" spans="1:22" s="301" customFormat="1" x14ac:dyDescent="0.2">
      <c r="A89" s="350">
        <v>5394</v>
      </c>
      <c r="B89" s="353" t="s">
        <v>284</v>
      </c>
      <c r="C89" s="396" t="s">
        <v>724</v>
      </c>
      <c r="D89" s="355">
        <v>2</v>
      </c>
      <c r="E89" s="409">
        <v>3100</v>
      </c>
      <c r="F89" s="379"/>
      <c r="G89" s="296"/>
      <c r="H89" s="296"/>
      <c r="I89" s="296"/>
      <c r="J89" s="296"/>
      <c r="K89" s="296"/>
      <c r="L89" s="297">
        <f>E89*(H89+I89+J89+K89)</f>
        <v>0</v>
      </c>
      <c r="M89" s="298"/>
      <c r="N89" s="298"/>
      <c r="O89" s="315"/>
      <c r="P89" s="300"/>
    </row>
    <row r="90" spans="1:22" s="301" customFormat="1" x14ac:dyDescent="0.2">
      <c r="A90" s="350">
        <v>5395</v>
      </c>
      <c r="B90" s="353" t="s">
        <v>284</v>
      </c>
      <c r="C90" s="396" t="s">
        <v>725</v>
      </c>
      <c r="D90" s="355">
        <v>2</v>
      </c>
      <c r="E90" s="409">
        <v>1500</v>
      </c>
      <c r="F90" s="379"/>
      <c r="G90" s="296"/>
      <c r="H90" s="296"/>
      <c r="I90" s="296"/>
      <c r="J90" s="296"/>
      <c r="K90" s="296"/>
      <c r="L90" s="297">
        <f>E90*(H90+I90+J90+K90)</f>
        <v>0</v>
      </c>
      <c r="M90" s="298"/>
      <c r="N90" s="298"/>
      <c r="O90" s="315"/>
      <c r="P90" s="300"/>
    </row>
    <row r="91" spans="1:22" s="301" customFormat="1" x14ac:dyDescent="0.2">
      <c r="A91" s="350">
        <v>5396</v>
      </c>
      <c r="B91" s="353" t="s">
        <v>284</v>
      </c>
      <c r="C91" s="396" t="s">
        <v>204</v>
      </c>
      <c r="D91" s="355">
        <v>2</v>
      </c>
      <c r="E91" s="409">
        <v>1980</v>
      </c>
      <c r="F91" s="379"/>
      <c r="G91" s="296"/>
      <c r="H91" s="296"/>
      <c r="I91" s="296"/>
      <c r="J91" s="296"/>
      <c r="K91" s="296"/>
      <c r="L91" s="297">
        <f>E91*(H91+I91+J91+K91)</f>
        <v>0</v>
      </c>
      <c r="M91" s="298"/>
      <c r="N91" s="298"/>
      <c r="O91" s="315"/>
      <c r="P91" s="300"/>
    </row>
    <row r="92" spans="1:22" s="301" customFormat="1" x14ac:dyDescent="0.2">
      <c r="A92" s="350">
        <v>5397</v>
      </c>
      <c r="B92" s="353" t="s">
        <v>284</v>
      </c>
      <c r="C92" s="396" t="s">
        <v>726</v>
      </c>
      <c r="D92" s="355">
        <v>150</v>
      </c>
      <c r="E92" s="409">
        <v>255</v>
      </c>
      <c r="F92" s="379"/>
      <c r="G92" s="296"/>
      <c r="H92" s="296"/>
      <c r="I92" s="296"/>
      <c r="J92" s="296"/>
      <c r="K92" s="296"/>
      <c r="L92" s="297">
        <f>E92*(H92+I92+J92+K92)</f>
        <v>0</v>
      </c>
      <c r="M92" s="298"/>
      <c r="N92" s="298"/>
      <c r="O92" s="315"/>
      <c r="P92" s="300"/>
      <c r="S92" s="301">
        <f>H92*E92</f>
        <v>0</v>
      </c>
      <c r="T92" s="301">
        <f>I92*E92</f>
        <v>0</v>
      </c>
      <c r="U92" s="301">
        <f>J92*E92</f>
        <v>0</v>
      </c>
      <c r="V92" s="301">
        <f>K92*E92</f>
        <v>0</v>
      </c>
    </row>
    <row r="93" spans="1:22" s="301" customFormat="1" x14ac:dyDescent="0.2">
      <c r="A93" s="350"/>
      <c r="B93" s="353"/>
      <c r="C93" s="396"/>
      <c r="D93" s="355"/>
      <c r="E93" s="409"/>
      <c r="F93" s="379"/>
      <c r="G93" s="296"/>
      <c r="H93" s="296"/>
      <c r="I93" s="296"/>
      <c r="J93" s="296"/>
      <c r="K93" s="296"/>
      <c r="L93" s="297">
        <f>E93*(H93+I93+J93+K93)</f>
        <v>0</v>
      </c>
      <c r="M93" s="298"/>
      <c r="N93" s="298"/>
      <c r="O93" s="315"/>
      <c r="P93" s="300"/>
    </row>
    <row r="94" spans="1:22" s="301" customFormat="1" x14ac:dyDescent="0.2">
      <c r="A94" s="350">
        <v>5252</v>
      </c>
      <c r="B94" s="353" t="s">
        <v>477</v>
      </c>
      <c r="C94" s="396" t="s">
        <v>603</v>
      </c>
      <c r="D94" s="355">
        <v>1</v>
      </c>
      <c r="E94" s="409"/>
      <c r="F94" s="379">
        <f>E94*D94</f>
        <v>0</v>
      </c>
      <c r="G94" s="296">
        <v>1</v>
      </c>
      <c r="H94" s="296"/>
      <c r="I94" s="296"/>
      <c r="J94" s="296"/>
      <c r="K94" s="296"/>
      <c r="L94" s="297">
        <f t="shared" si="18"/>
        <v>0</v>
      </c>
      <c r="M94" s="298"/>
      <c r="N94" s="298"/>
      <c r="O94" s="315"/>
      <c r="P94" s="300"/>
      <c r="S94" s="301">
        <f t="shared" si="14"/>
        <v>0</v>
      </c>
      <c r="T94" s="301">
        <f t="shared" si="15"/>
        <v>0</v>
      </c>
      <c r="U94" s="301">
        <f t="shared" si="16"/>
        <v>0</v>
      </c>
      <c r="V94" s="301">
        <f t="shared" si="17"/>
        <v>0</v>
      </c>
    </row>
    <row r="95" spans="1:22" s="301" customFormat="1" x14ac:dyDescent="0.2">
      <c r="A95" s="319"/>
      <c r="B95" s="353"/>
      <c r="C95" s="405"/>
      <c r="D95" s="322"/>
      <c r="E95" s="412"/>
      <c r="F95" s="379">
        <f t="shared" ref="F95:F227" si="19">E95*D95</f>
        <v>0</v>
      </c>
      <c r="G95" s="296"/>
      <c r="H95" s="296"/>
      <c r="I95" s="296"/>
      <c r="J95" s="296"/>
      <c r="K95" s="296"/>
      <c r="L95" s="297">
        <f t="shared" si="18"/>
        <v>0</v>
      </c>
      <c r="M95" s="298"/>
      <c r="N95" s="298"/>
      <c r="O95" s="315"/>
      <c r="P95" s="300"/>
      <c r="S95" s="301">
        <f t="shared" si="14"/>
        <v>0</v>
      </c>
      <c r="T95" s="301">
        <f t="shared" si="15"/>
        <v>0</v>
      </c>
      <c r="U95" s="301">
        <f t="shared" si="16"/>
        <v>0</v>
      </c>
      <c r="V95" s="301">
        <f t="shared" si="17"/>
        <v>0</v>
      </c>
    </row>
    <row r="96" spans="1:22" s="301" customFormat="1" x14ac:dyDescent="0.2">
      <c r="A96" s="319">
        <v>5088</v>
      </c>
      <c r="B96" s="353" t="s">
        <v>486</v>
      </c>
      <c r="C96" s="396" t="s">
        <v>487</v>
      </c>
      <c r="D96" s="355">
        <v>15</v>
      </c>
      <c r="E96" s="409">
        <v>1020</v>
      </c>
      <c r="F96" s="379">
        <f t="shared" si="19"/>
        <v>15300</v>
      </c>
      <c r="G96" s="296">
        <v>15</v>
      </c>
      <c r="H96" s="357">
        <v>15</v>
      </c>
      <c r="I96" s="296"/>
      <c r="J96" s="296"/>
      <c r="K96" s="296"/>
      <c r="L96" s="297">
        <f t="shared" ref="L96:L112" si="20">E96*(H96+I96+J96+K96)</f>
        <v>15300</v>
      </c>
      <c r="M96" s="298">
        <v>43522</v>
      </c>
      <c r="N96" s="476">
        <v>43530</v>
      </c>
      <c r="O96" s="315"/>
      <c r="P96" s="300"/>
      <c r="S96" s="301">
        <f t="shared" si="14"/>
        <v>15300</v>
      </c>
      <c r="T96" s="301">
        <f t="shared" si="15"/>
        <v>0</v>
      </c>
      <c r="U96" s="301">
        <f t="shared" si="16"/>
        <v>0</v>
      </c>
      <c r="V96" s="301">
        <f t="shared" si="17"/>
        <v>0</v>
      </c>
    </row>
    <row r="97" spans="1:22" s="301" customFormat="1" x14ac:dyDescent="0.2">
      <c r="A97" s="319">
        <v>5086</v>
      </c>
      <c r="B97" s="353" t="s">
        <v>486</v>
      </c>
      <c r="C97" s="396" t="s">
        <v>644</v>
      </c>
      <c r="D97" s="355">
        <v>2</v>
      </c>
      <c r="E97" s="409">
        <v>13100</v>
      </c>
      <c r="F97" s="379">
        <f t="shared" si="19"/>
        <v>26200</v>
      </c>
      <c r="G97" s="296">
        <v>2</v>
      </c>
      <c r="H97" s="457"/>
      <c r="I97" s="296"/>
      <c r="J97" s="296"/>
      <c r="K97" s="296"/>
      <c r="L97" s="297">
        <f t="shared" si="20"/>
        <v>0</v>
      </c>
      <c r="M97" s="298">
        <v>43559</v>
      </c>
      <c r="N97" s="298">
        <v>43581</v>
      </c>
      <c r="O97" s="315"/>
      <c r="P97" s="300"/>
      <c r="S97" s="301">
        <f t="shared" si="14"/>
        <v>0</v>
      </c>
      <c r="T97" s="301">
        <f t="shared" si="15"/>
        <v>0</v>
      </c>
      <c r="U97" s="301">
        <f t="shared" si="16"/>
        <v>0</v>
      </c>
      <c r="V97" s="301">
        <f t="shared" si="17"/>
        <v>0</v>
      </c>
    </row>
    <row r="98" spans="1:22" s="301" customFormat="1" x14ac:dyDescent="0.2">
      <c r="A98" s="319">
        <v>5087</v>
      </c>
      <c r="B98" s="353" t="s">
        <v>486</v>
      </c>
      <c r="C98" s="396" t="s">
        <v>487</v>
      </c>
      <c r="D98" s="355">
        <v>2</v>
      </c>
      <c r="E98" s="409">
        <v>10600</v>
      </c>
      <c r="F98" s="379">
        <f t="shared" si="19"/>
        <v>21200</v>
      </c>
      <c r="G98" s="296">
        <v>2</v>
      </c>
      <c r="H98" s="457"/>
      <c r="I98" s="296"/>
      <c r="J98" s="296"/>
      <c r="K98" s="296"/>
      <c r="L98" s="297">
        <f t="shared" si="20"/>
        <v>0</v>
      </c>
      <c r="M98" s="298">
        <v>43559</v>
      </c>
      <c r="N98" s="298">
        <v>43581</v>
      </c>
      <c r="O98" s="315"/>
      <c r="P98" s="300"/>
      <c r="S98" s="301">
        <f t="shared" si="14"/>
        <v>0</v>
      </c>
      <c r="T98" s="301">
        <f t="shared" si="15"/>
        <v>0</v>
      </c>
      <c r="U98" s="301">
        <f t="shared" si="16"/>
        <v>0</v>
      </c>
      <c r="V98" s="301">
        <f t="shared" si="17"/>
        <v>0</v>
      </c>
    </row>
    <row r="99" spans="1:22" s="301" customFormat="1" x14ac:dyDescent="0.2">
      <c r="A99" s="319"/>
      <c r="B99" s="353"/>
      <c r="C99" s="405"/>
      <c r="D99" s="322"/>
      <c r="E99" s="412"/>
      <c r="F99" s="379">
        <f t="shared" si="19"/>
        <v>0</v>
      </c>
      <c r="G99" s="296"/>
      <c r="H99" s="296"/>
      <c r="I99" s="296"/>
      <c r="J99" s="296"/>
      <c r="K99" s="296"/>
      <c r="L99" s="297">
        <f t="shared" si="20"/>
        <v>0</v>
      </c>
      <c r="M99" s="298"/>
      <c r="N99" s="298"/>
      <c r="O99" s="315"/>
      <c r="P99" s="300"/>
      <c r="S99" s="301">
        <f t="shared" si="14"/>
        <v>0</v>
      </c>
      <c r="T99" s="301">
        <f t="shared" si="15"/>
        <v>0</v>
      </c>
      <c r="U99" s="301">
        <f t="shared" si="16"/>
        <v>0</v>
      </c>
      <c r="V99" s="301">
        <f t="shared" si="17"/>
        <v>0</v>
      </c>
    </row>
    <row r="100" spans="1:22" s="301" customFormat="1" x14ac:dyDescent="0.2">
      <c r="A100" s="319"/>
      <c r="B100" s="353"/>
      <c r="C100" s="405"/>
      <c r="D100" s="322"/>
      <c r="E100" s="412"/>
      <c r="F100" s="379">
        <f t="shared" si="19"/>
        <v>0</v>
      </c>
      <c r="G100" s="296"/>
      <c r="H100" s="296"/>
      <c r="I100" s="296"/>
      <c r="J100" s="296"/>
      <c r="K100" s="296"/>
      <c r="L100" s="297">
        <f t="shared" si="20"/>
        <v>0</v>
      </c>
      <c r="M100" s="298"/>
      <c r="N100" s="298"/>
      <c r="O100" s="315"/>
      <c r="P100" s="300"/>
      <c r="S100" s="301">
        <f t="shared" si="14"/>
        <v>0</v>
      </c>
      <c r="T100" s="301">
        <f t="shared" si="15"/>
        <v>0</v>
      </c>
      <c r="U100" s="301">
        <f t="shared" si="16"/>
        <v>0</v>
      </c>
      <c r="V100" s="301">
        <f t="shared" si="17"/>
        <v>0</v>
      </c>
    </row>
    <row r="101" spans="1:22" s="301" customFormat="1" x14ac:dyDescent="0.2">
      <c r="A101" s="350">
        <v>5134</v>
      </c>
      <c r="B101" s="353" t="s">
        <v>488</v>
      </c>
      <c r="C101" s="396" t="s">
        <v>489</v>
      </c>
      <c r="D101" s="355">
        <v>3</v>
      </c>
      <c r="E101" s="409"/>
      <c r="F101" s="379">
        <f t="shared" si="19"/>
        <v>0</v>
      </c>
      <c r="G101" s="296">
        <v>3</v>
      </c>
      <c r="H101" s="296"/>
      <c r="I101" s="296"/>
      <c r="J101" s="296"/>
      <c r="K101" s="296"/>
      <c r="L101" s="297">
        <f t="shared" si="20"/>
        <v>0</v>
      </c>
      <c r="M101" s="298">
        <v>43522</v>
      </c>
      <c r="N101" s="298"/>
      <c r="O101" s="315"/>
      <c r="P101" s="300"/>
      <c r="S101" s="301">
        <f t="shared" si="14"/>
        <v>0</v>
      </c>
      <c r="T101" s="301">
        <f t="shared" si="15"/>
        <v>0</v>
      </c>
      <c r="U101" s="301">
        <f t="shared" si="16"/>
        <v>0</v>
      </c>
      <c r="V101" s="301">
        <f t="shared" si="17"/>
        <v>0</v>
      </c>
    </row>
    <row r="102" spans="1:22" s="301" customFormat="1" x14ac:dyDescent="0.2">
      <c r="A102" s="350"/>
      <c r="B102" s="353"/>
      <c r="C102" s="396"/>
      <c r="D102" s="355"/>
      <c r="E102" s="409"/>
      <c r="F102" s="379">
        <f t="shared" si="19"/>
        <v>0</v>
      </c>
      <c r="G102" s="296"/>
      <c r="H102" s="296"/>
      <c r="I102" s="296"/>
      <c r="J102" s="296"/>
      <c r="K102" s="296"/>
      <c r="L102" s="297">
        <f t="shared" si="20"/>
        <v>0</v>
      </c>
      <c r="M102" s="298"/>
      <c r="N102" s="298"/>
      <c r="O102" s="315"/>
      <c r="P102" s="300"/>
      <c r="S102" s="301">
        <f t="shared" si="14"/>
        <v>0</v>
      </c>
      <c r="T102" s="301">
        <f t="shared" si="15"/>
        <v>0</v>
      </c>
      <c r="U102" s="301">
        <f t="shared" si="16"/>
        <v>0</v>
      </c>
      <c r="V102" s="301">
        <f t="shared" si="17"/>
        <v>0</v>
      </c>
    </row>
    <row r="103" spans="1:22" s="301" customFormat="1" x14ac:dyDescent="0.2">
      <c r="A103" s="319" t="s">
        <v>557</v>
      </c>
      <c r="B103" s="353" t="s">
        <v>269</v>
      </c>
      <c r="C103" s="396" t="s">
        <v>413</v>
      </c>
      <c r="D103" s="355">
        <v>200</v>
      </c>
      <c r="E103" s="409">
        <v>9255</v>
      </c>
      <c r="F103" s="379">
        <f t="shared" si="19"/>
        <v>1851000</v>
      </c>
      <c r="G103" s="296">
        <v>200</v>
      </c>
      <c r="H103" s="296"/>
      <c r="I103" s="357">
        <v>200</v>
      </c>
      <c r="J103" s="296"/>
      <c r="K103" s="296"/>
      <c r="L103" s="297">
        <f t="shared" si="20"/>
        <v>1851000</v>
      </c>
      <c r="M103" s="298"/>
      <c r="N103" s="476"/>
      <c r="O103" s="315"/>
      <c r="P103" s="300"/>
      <c r="S103" s="301">
        <f t="shared" si="14"/>
        <v>0</v>
      </c>
      <c r="T103" s="301">
        <f t="shared" si="15"/>
        <v>1851000</v>
      </c>
      <c r="U103" s="301">
        <f t="shared" si="16"/>
        <v>0</v>
      </c>
      <c r="V103" s="301">
        <f t="shared" si="17"/>
        <v>0</v>
      </c>
    </row>
    <row r="104" spans="1:22" s="301" customFormat="1" x14ac:dyDescent="0.2">
      <c r="A104" s="319">
        <v>5302</v>
      </c>
      <c r="B104" s="353" t="s">
        <v>269</v>
      </c>
      <c r="C104" s="396" t="s">
        <v>668</v>
      </c>
      <c r="D104" s="355">
        <v>40</v>
      </c>
      <c r="E104" s="409">
        <v>5966</v>
      </c>
      <c r="F104" s="379">
        <f>E104*D104</f>
        <v>238640</v>
      </c>
      <c r="G104" s="296">
        <v>40</v>
      </c>
      <c r="H104" s="475"/>
      <c r="I104" s="296"/>
      <c r="J104" s="357">
        <v>40</v>
      </c>
      <c r="K104" s="296"/>
      <c r="L104" s="297">
        <f>E104*(H104+I104+J104+K104)</f>
        <v>238640</v>
      </c>
      <c r="M104" s="298">
        <v>43563</v>
      </c>
      <c r="N104" s="476">
        <v>43577</v>
      </c>
      <c r="O104" s="315"/>
      <c r="P104" s="300"/>
      <c r="S104" s="301">
        <f t="shared" si="14"/>
        <v>0</v>
      </c>
      <c r="T104" s="301">
        <f t="shared" si="15"/>
        <v>0</v>
      </c>
      <c r="U104" s="301">
        <f t="shared" si="16"/>
        <v>238640</v>
      </c>
      <c r="V104" s="301">
        <f t="shared" si="17"/>
        <v>0</v>
      </c>
    </row>
    <row r="105" spans="1:22" s="301" customFormat="1" ht="15" x14ac:dyDescent="0.25">
      <c r="A105" s="388"/>
      <c r="B105" s="460"/>
      <c r="C105" s="461"/>
      <c r="D105" s="462"/>
      <c r="E105" s="409"/>
      <c r="F105" s="379"/>
      <c r="G105" s="296"/>
      <c r="H105" s="463"/>
      <c r="I105" s="296"/>
      <c r="J105" s="296"/>
      <c r="K105" s="296"/>
      <c r="L105" s="297"/>
      <c r="M105" s="298"/>
      <c r="N105" s="298"/>
      <c r="O105" s="315"/>
      <c r="P105" s="300"/>
      <c r="S105" s="301">
        <f t="shared" si="14"/>
        <v>0</v>
      </c>
      <c r="T105" s="301">
        <f t="shared" si="15"/>
        <v>0</v>
      </c>
      <c r="U105" s="301">
        <f t="shared" si="16"/>
        <v>0</v>
      </c>
      <c r="V105" s="301">
        <f t="shared" si="17"/>
        <v>0</v>
      </c>
    </row>
    <row r="106" spans="1:22" s="301" customFormat="1" x14ac:dyDescent="0.2">
      <c r="A106" s="319">
        <v>4956</v>
      </c>
      <c r="B106" s="353" t="s">
        <v>593</v>
      </c>
      <c r="C106" s="396" t="s">
        <v>594</v>
      </c>
      <c r="D106" s="355">
        <v>2</v>
      </c>
      <c r="E106" s="409">
        <v>13650</v>
      </c>
      <c r="F106" s="379">
        <f t="shared" ref="F106:F160" si="21">E106*D106</f>
        <v>27300</v>
      </c>
      <c r="G106" s="296">
        <v>2</v>
      </c>
      <c r="H106" s="296"/>
      <c r="I106" s="296"/>
      <c r="J106" s="357">
        <v>2</v>
      </c>
      <c r="K106" s="296"/>
      <c r="L106" s="297">
        <f t="shared" si="20"/>
        <v>27300</v>
      </c>
      <c r="M106" s="298">
        <v>43542</v>
      </c>
      <c r="N106" s="477">
        <v>43565</v>
      </c>
      <c r="O106" s="438"/>
      <c r="P106" s="300"/>
      <c r="S106" s="301">
        <f t="shared" si="14"/>
        <v>0</v>
      </c>
      <c r="T106" s="301">
        <f t="shared" si="15"/>
        <v>0</v>
      </c>
      <c r="U106" s="301">
        <f t="shared" si="16"/>
        <v>27300</v>
      </c>
      <c r="V106" s="301">
        <f t="shared" si="17"/>
        <v>0</v>
      </c>
    </row>
    <row r="107" spans="1:22" s="301" customFormat="1" x14ac:dyDescent="0.2">
      <c r="A107" s="319">
        <v>4957</v>
      </c>
      <c r="B107" s="353" t="s">
        <v>593</v>
      </c>
      <c r="C107" s="396" t="s">
        <v>595</v>
      </c>
      <c r="D107" s="355">
        <v>2</v>
      </c>
      <c r="E107" s="409">
        <v>13300</v>
      </c>
      <c r="F107" s="379">
        <f t="shared" si="21"/>
        <v>26600</v>
      </c>
      <c r="G107" s="296">
        <v>2</v>
      </c>
      <c r="H107" s="296"/>
      <c r="I107" s="296"/>
      <c r="J107" s="357">
        <v>2</v>
      </c>
      <c r="K107" s="296"/>
      <c r="L107" s="297">
        <f t="shared" si="20"/>
        <v>26600</v>
      </c>
      <c r="M107" s="298">
        <v>43542</v>
      </c>
      <c r="N107" s="477">
        <v>43565</v>
      </c>
      <c r="O107" s="442"/>
      <c r="P107" s="300"/>
      <c r="S107" s="301">
        <f t="shared" si="14"/>
        <v>0</v>
      </c>
      <c r="T107" s="301">
        <f t="shared" si="15"/>
        <v>0</v>
      </c>
      <c r="U107" s="301">
        <f t="shared" si="16"/>
        <v>26600</v>
      </c>
      <c r="V107" s="301">
        <f t="shared" si="17"/>
        <v>0</v>
      </c>
    </row>
    <row r="108" spans="1:22" s="301" customFormat="1" x14ac:dyDescent="0.2">
      <c r="A108" s="388"/>
      <c r="B108" s="383"/>
      <c r="C108" s="396"/>
      <c r="D108" s="389"/>
      <c r="E108" s="441"/>
      <c r="F108" s="379">
        <f t="shared" si="21"/>
        <v>0</v>
      </c>
      <c r="G108" s="296"/>
      <c r="H108" s="296"/>
      <c r="I108" s="296"/>
      <c r="J108" s="296"/>
      <c r="K108" s="296"/>
      <c r="L108" s="297">
        <f t="shared" si="20"/>
        <v>0</v>
      </c>
      <c r="M108" s="298"/>
      <c r="N108" s="298"/>
      <c r="O108" s="442"/>
      <c r="P108" s="300"/>
      <c r="S108" s="301">
        <f t="shared" si="14"/>
        <v>0</v>
      </c>
      <c r="T108" s="301">
        <f t="shared" si="15"/>
        <v>0</v>
      </c>
      <c r="U108" s="301">
        <f t="shared" si="16"/>
        <v>0</v>
      </c>
      <c r="V108" s="301">
        <f t="shared" si="17"/>
        <v>0</v>
      </c>
    </row>
    <row r="109" spans="1:22" s="301" customFormat="1" x14ac:dyDescent="0.2">
      <c r="A109" s="350">
        <v>5179</v>
      </c>
      <c r="B109" s="447" t="s">
        <v>620</v>
      </c>
      <c r="C109" s="396" t="s">
        <v>540</v>
      </c>
      <c r="D109" s="355">
        <v>1</v>
      </c>
      <c r="E109" s="409">
        <v>3500</v>
      </c>
      <c r="F109" s="379">
        <f t="shared" si="21"/>
        <v>3500</v>
      </c>
      <c r="G109" s="296">
        <v>1</v>
      </c>
      <c r="H109" s="357">
        <v>1</v>
      </c>
      <c r="I109" s="296"/>
      <c r="J109" s="296"/>
      <c r="K109" s="296"/>
      <c r="L109" s="297">
        <f t="shared" si="20"/>
        <v>3500</v>
      </c>
      <c r="M109" s="298"/>
      <c r="N109" s="298"/>
      <c r="O109" s="315"/>
      <c r="P109" s="300"/>
      <c r="S109" s="301">
        <f t="shared" si="14"/>
        <v>3500</v>
      </c>
      <c r="T109" s="301">
        <f t="shared" si="15"/>
        <v>0</v>
      </c>
      <c r="U109" s="301">
        <f t="shared" si="16"/>
        <v>0</v>
      </c>
      <c r="V109" s="301">
        <f t="shared" si="17"/>
        <v>0</v>
      </c>
    </row>
    <row r="110" spans="1:22" s="301" customFormat="1" x14ac:dyDescent="0.2">
      <c r="A110" s="350"/>
      <c r="B110" s="353"/>
      <c r="C110" s="396"/>
      <c r="D110" s="355"/>
      <c r="E110" s="409"/>
      <c r="F110" s="379">
        <f t="shared" si="21"/>
        <v>0</v>
      </c>
      <c r="G110" s="296"/>
      <c r="H110" s="296"/>
      <c r="I110" s="296"/>
      <c r="J110" s="296"/>
      <c r="K110" s="296"/>
      <c r="L110" s="297">
        <f t="shared" si="20"/>
        <v>0</v>
      </c>
      <c r="M110" s="298"/>
      <c r="N110" s="298"/>
      <c r="O110" s="315"/>
      <c r="P110" s="300"/>
      <c r="S110" s="301">
        <f t="shared" si="14"/>
        <v>0</v>
      </c>
      <c r="T110" s="301">
        <f t="shared" si="15"/>
        <v>0</v>
      </c>
      <c r="U110" s="301">
        <f t="shared" si="16"/>
        <v>0</v>
      </c>
      <c r="V110" s="301">
        <f t="shared" si="17"/>
        <v>0</v>
      </c>
    </row>
    <row r="111" spans="1:22" s="301" customFormat="1" x14ac:dyDescent="0.2">
      <c r="A111" s="319">
        <v>5115</v>
      </c>
      <c r="B111" s="353" t="s">
        <v>582</v>
      </c>
      <c r="C111" s="396" t="s">
        <v>583</v>
      </c>
      <c r="D111" s="355">
        <v>1</v>
      </c>
      <c r="E111" s="409">
        <v>2590</v>
      </c>
      <c r="F111" s="379">
        <f t="shared" si="21"/>
        <v>2590</v>
      </c>
      <c r="G111" s="296">
        <v>1</v>
      </c>
      <c r="H111" s="296"/>
      <c r="I111" s="296"/>
      <c r="J111" s="357">
        <v>1</v>
      </c>
      <c r="K111" s="296"/>
      <c r="L111" s="297">
        <f t="shared" si="20"/>
        <v>2590</v>
      </c>
      <c r="M111" s="298">
        <v>43542</v>
      </c>
      <c r="N111" s="477">
        <v>43563</v>
      </c>
      <c r="O111" s="315"/>
      <c r="P111" s="300"/>
      <c r="S111" s="301">
        <f t="shared" si="14"/>
        <v>0</v>
      </c>
      <c r="T111" s="301">
        <f t="shared" si="15"/>
        <v>0</v>
      </c>
      <c r="U111" s="301">
        <f t="shared" si="16"/>
        <v>2590</v>
      </c>
      <c r="V111" s="301">
        <f t="shared" si="17"/>
        <v>0</v>
      </c>
    </row>
    <row r="112" spans="1:22" s="301" customFormat="1" x14ac:dyDescent="0.2">
      <c r="A112" s="319">
        <v>5116</v>
      </c>
      <c r="B112" s="353" t="s">
        <v>582</v>
      </c>
      <c r="C112" s="396" t="s">
        <v>584</v>
      </c>
      <c r="D112" s="355">
        <v>1</v>
      </c>
      <c r="E112" s="409">
        <v>2500</v>
      </c>
      <c r="F112" s="379">
        <f t="shared" si="21"/>
        <v>2500</v>
      </c>
      <c r="G112" s="296">
        <v>1</v>
      </c>
      <c r="H112" s="296"/>
      <c r="I112" s="296"/>
      <c r="J112" s="357">
        <v>1</v>
      </c>
      <c r="K112" s="296"/>
      <c r="L112" s="297">
        <f t="shared" si="20"/>
        <v>2500</v>
      </c>
      <c r="M112" s="298">
        <v>43542</v>
      </c>
      <c r="N112" s="477">
        <v>43563</v>
      </c>
      <c r="O112" s="315"/>
      <c r="P112" s="300"/>
      <c r="S112" s="301">
        <f t="shared" si="14"/>
        <v>0</v>
      </c>
      <c r="T112" s="301">
        <f t="shared" si="15"/>
        <v>0</v>
      </c>
      <c r="U112" s="301">
        <f t="shared" si="16"/>
        <v>2500</v>
      </c>
      <c r="V112" s="301">
        <f t="shared" si="17"/>
        <v>0</v>
      </c>
    </row>
    <row r="113" spans="1:22" s="301" customFormat="1" x14ac:dyDescent="0.2">
      <c r="A113" s="319">
        <v>5117</v>
      </c>
      <c r="B113" s="353" t="s">
        <v>582</v>
      </c>
      <c r="C113" s="396" t="s">
        <v>585</v>
      </c>
      <c r="D113" s="355">
        <v>1</v>
      </c>
      <c r="E113" s="409">
        <v>3050</v>
      </c>
      <c r="F113" s="379">
        <f t="shared" si="21"/>
        <v>3050</v>
      </c>
      <c r="G113" s="296">
        <v>1</v>
      </c>
      <c r="H113" s="296"/>
      <c r="I113" s="296"/>
      <c r="J113" s="357">
        <v>1</v>
      </c>
      <c r="K113" s="296"/>
      <c r="L113" s="297">
        <f t="shared" ref="L113:L123" si="22">E113*(H113+I113+J113+K113)</f>
        <v>3050</v>
      </c>
      <c r="M113" s="298">
        <v>43542</v>
      </c>
      <c r="N113" s="477">
        <v>43563</v>
      </c>
      <c r="O113" s="315"/>
      <c r="P113" s="300"/>
      <c r="S113" s="301">
        <f t="shared" si="14"/>
        <v>0</v>
      </c>
      <c r="T113" s="301">
        <f t="shared" si="15"/>
        <v>0</v>
      </c>
      <c r="U113" s="301">
        <f t="shared" si="16"/>
        <v>3050</v>
      </c>
      <c r="V113" s="301">
        <f t="shared" si="17"/>
        <v>0</v>
      </c>
    </row>
    <row r="114" spans="1:22" s="301" customFormat="1" x14ac:dyDescent="0.2">
      <c r="A114" s="319">
        <v>5118</v>
      </c>
      <c r="B114" s="353" t="s">
        <v>582</v>
      </c>
      <c r="C114" s="396" t="s">
        <v>586</v>
      </c>
      <c r="D114" s="355">
        <v>1</v>
      </c>
      <c r="E114" s="409">
        <v>2900</v>
      </c>
      <c r="F114" s="379">
        <f t="shared" si="21"/>
        <v>2900</v>
      </c>
      <c r="G114" s="296">
        <v>1</v>
      </c>
      <c r="H114" s="296"/>
      <c r="I114" s="296"/>
      <c r="J114" s="357">
        <v>1</v>
      </c>
      <c r="K114" s="296"/>
      <c r="L114" s="297">
        <f t="shared" si="22"/>
        <v>2900</v>
      </c>
      <c r="M114" s="298">
        <v>43542</v>
      </c>
      <c r="N114" s="477">
        <v>43563</v>
      </c>
      <c r="O114" s="315"/>
      <c r="P114" s="300"/>
      <c r="S114" s="301">
        <f t="shared" si="14"/>
        <v>0</v>
      </c>
      <c r="T114" s="301">
        <f t="shared" si="15"/>
        <v>0</v>
      </c>
      <c r="U114" s="301">
        <f t="shared" si="16"/>
        <v>2900</v>
      </c>
      <c r="V114" s="301">
        <f t="shared" si="17"/>
        <v>0</v>
      </c>
    </row>
    <row r="115" spans="1:22" s="301" customFormat="1" x14ac:dyDescent="0.2">
      <c r="A115" s="319">
        <v>5119</v>
      </c>
      <c r="B115" s="353" t="s">
        <v>582</v>
      </c>
      <c r="C115" s="396" t="s">
        <v>587</v>
      </c>
      <c r="D115" s="355">
        <v>1</v>
      </c>
      <c r="E115" s="409">
        <v>1850</v>
      </c>
      <c r="F115" s="379">
        <f t="shared" si="21"/>
        <v>1850</v>
      </c>
      <c r="G115" s="296">
        <v>1</v>
      </c>
      <c r="H115" s="296"/>
      <c r="I115" s="296"/>
      <c r="J115" s="352">
        <v>1</v>
      </c>
      <c r="K115" s="296"/>
      <c r="L115" s="297">
        <f t="shared" si="22"/>
        <v>1850</v>
      </c>
      <c r="M115" s="298">
        <v>43542</v>
      </c>
      <c r="N115" s="476">
        <v>43563</v>
      </c>
      <c r="O115" s="315"/>
      <c r="P115" s="300"/>
      <c r="S115" s="301">
        <f t="shared" si="14"/>
        <v>0</v>
      </c>
      <c r="T115" s="301">
        <f t="shared" si="15"/>
        <v>0</v>
      </c>
      <c r="U115" s="301">
        <f t="shared" si="16"/>
        <v>1850</v>
      </c>
      <c r="V115" s="301">
        <f t="shared" si="17"/>
        <v>0</v>
      </c>
    </row>
    <row r="116" spans="1:22" s="301" customFormat="1" x14ac:dyDescent="0.2">
      <c r="A116" s="319">
        <v>5120</v>
      </c>
      <c r="B116" s="353" t="s">
        <v>582</v>
      </c>
      <c r="C116" s="396" t="s">
        <v>588</v>
      </c>
      <c r="D116" s="355">
        <v>1</v>
      </c>
      <c r="E116" s="409">
        <v>1920</v>
      </c>
      <c r="F116" s="379">
        <f t="shared" si="21"/>
        <v>1920</v>
      </c>
      <c r="G116" s="296">
        <v>1</v>
      </c>
      <c r="H116" s="296"/>
      <c r="I116" s="296"/>
      <c r="J116" s="352">
        <v>1</v>
      </c>
      <c r="K116" s="296"/>
      <c r="L116" s="297">
        <f t="shared" si="22"/>
        <v>1920</v>
      </c>
      <c r="M116" s="298">
        <v>43542</v>
      </c>
      <c r="N116" s="476">
        <v>43563</v>
      </c>
      <c r="O116" s="315"/>
      <c r="P116" s="300"/>
      <c r="S116" s="301">
        <f t="shared" si="14"/>
        <v>0</v>
      </c>
      <c r="T116" s="301">
        <f t="shared" si="15"/>
        <v>0</v>
      </c>
      <c r="U116" s="301">
        <f t="shared" si="16"/>
        <v>1920</v>
      </c>
      <c r="V116" s="301">
        <f t="shared" si="17"/>
        <v>0</v>
      </c>
    </row>
    <row r="117" spans="1:22" s="301" customFormat="1" x14ac:dyDescent="0.2">
      <c r="A117" s="319">
        <v>5121</v>
      </c>
      <c r="B117" s="353" t="s">
        <v>582</v>
      </c>
      <c r="C117" s="396" t="s">
        <v>589</v>
      </c>
      <c r="D117" s="355">
        <v>1</v>
      </c>
      <c r="E117" s="409">
        <v>1950</v>
      </c>
      <c r="F117" s="379">
        <f t="shared" si="21"/>
        <v>1950</v>
      </c>
      <c r="G117" s="296">
        <v>1</v>
      </c>
      <c r="H117" s="296"/>
      <c r="I117" s="296"/>
      <c r="J117" s="352">
        <v>1</v>
      </c>
      <c r="K117" s="296"/>
      <c r="L117" s="297">
        <f t="shared" si="22"/>
        <v>1950</v>
      </c>
      <c r="M117" s="298">
        <v>43542</v>
      </c>
      <c r="N117" s="476">
        <v>43563</v>
      </c>
      <c r="O117" s="315"/>
      <c r="P117" s="300"/>
      <c r="S117" s="301">
        <f t="shared" si="14"/>
        <v>0</v>
      </c>
      <c r="T117" s="301">
        <f t="shared" si="15"/>
        <v>0</v>
      </c>
      <c r="U117" s="301">
        <f t="shared" si="16"/>
        <v>1950</v>
      </c>
      <c r="V117" s="301">
        <f t="shared" si="17"/>
        <v>0</v>
      </c>
    </row>
    <row r="118" spans="1:22" s="301" customFormat="1" x14ac:dyDescent="0.2">
      <c r="A118" s="319">
        <v>5122</v>
      </c>
      <c r="B118" s="353" t="s">
        <v>582</v>
      </c>
      <c r="C118" s="396" t="s">
        <v>590</v>
      </c>
      <c r="D118" s="355">
        <v>1</v>
      </c>
      <c r="E118" s="409">
        <v>1980</v>
      </c>
      <c r="F118" s="379">
        <f t="shared" si="21"/>
        <v>1980</v>
      </c>
      <c r="G118" s="296">
        <v>1</v>
      </c>
      <c r="H118" s="296"/>
      <c r="I118" s="296"/>
      <c r="J118" s="352">
        <v>1</v>
      </c>
      <c r="K118" s="296"/>
      <c r="L118" s="297">
        <f t="shared" si="22"/>
        <v>1980</v>
      </c>
      <c r="M118" s="298">
        <v>43542</v>
      </c>
      <c r="N118" s="476">
        <v>43563</v>
      </c>
      <c r="O118" s="315"/>
      <c r="P118" s="300"/>
      <c r="S118" s="301">
        <f t="shared" si="14"/>
        <v>0</v>
      </c>
      <c r="T118" s="301">
        <f t="shared" si="15"/>
        <v>0</v>
      </c>
      <c r="U118" s="301">
        <f t="shared" si="16"/>
        <v>1980</v>
      </c>
      <c r="V118" s="301">
        <f t="shared" si="17"/>
        <v>0</v>
      </c>
    </row>
    <row r="119" spans="1:22" s="301" customFormat="1" x14ac:dyDescent="0.2">
      <c r="A119" s="319">
        <v>5123</v>
      </c>
      <c r="B119" s="353" t="s">
        <v>582</v>
      </c>
      <c r="C119" s="396" t="s">
        <v>591</v>
      </c>
      <c r="D119" s="355">
        <v>1</v>
      </c>
      <c r="E119" s="409">
        <v>2850</v>
      </c>
      <c r="F119" s="379">
        <f t="shared" si="21"/>
        <v>2850</v>
      </c>
      <c r="G119" s="296">
        <v>1</v>
      </c>
      <c r="H119" s="296"/>
      <c r="I119" s="296"/>
      <c r="J119" s="352">
        <v>1</v>
      </c>
      <c r="K119" s="296"/>
      <c r="L119" s="297">
        <f t="shared" si="22"/>
        <v>2850</v>
      </c>
      <c r="M119" s="298">
        <v>43542</v>
      </c>
      <c r="N119" s="476">
        <v>43563</v>
      </c>
      <c r="O119" s="315"/>
      <c r="P119" s="300"/>
      <c r="S119" s="301">
        <f t="shared" si="14"/>
        <v>0</v>
      </c>
      <c r="T119" s="301">
        <f t="shared" si="15"/>
        <v>0</v>
      </c>
      <c r="U119" s="301">
        <f t="shared" si="16"/>
        <v>2850</v>
      </c>
      <c r="V119" s="301">
        <f t="shared" si="17"/>
        <v>0</v>
      </c>
    </row>
    <row r="120" spans="1:22" s="301" customFormat="1" x14ac:dyDescent="0.2">
      <c r="A120" s="319">
        <v>5124</v>
      </c>
      <c r="B120" s="353" t="s">
        <v>582</v>
      </c>
      <c r="C120" s="396" t="s">
        <v>592</v>
      </c>
      <c r="D120" s="355">
        <v>1</v>
      </c>
      <c r="E120" s="409">
        <v>2650</v>
      </c>
      <c r="F120" s="379">
        <f t="shared" si="21"/>
        <v>2650</v>
      </c>
      <c r="G120" s="296">
        <v>1</v>
      </c>
      <c r="H120" s="296"/>
      <c r="I120" s="296"/>
      <c r="J120" s="352">
        <v>1</v>
      </c>
      <c r="K120" s="296"/>
      <c r="L120" s="297">
        <f t="shared" si="22"/>
        <v>2650</v>
      </c>
      <c r="M120" s="298">
        <v>43542</v>
      </c>
      <c r="N120" s="476">
        <v>43563</v>
      </c>
      <c r="O120" s="315"/>
      <c r="P120" s="300"/>
      <c r="S120" s="301">
        <f t="shared" si="14"/>
        <v>0</v>
      </c>
      <c r="T120" s="301">
        <f t="shared" si="15"/>
        <v>0</v>
      </c>
      <c r="U120" s="301">
        <f t="shared" si="16"/>
        <v>2650</v>
      </c>
      <c r="V120" s="301">
        <f t="shared" si="17"/>
        <v>0</v>
      </c>
    </row>
    <row r="121" spans="1:22" s="301" customFormat="1" x14ac:dyDescent="0.2">
      <c r="A121" s="350"/>
      <c r="B121" s="353"/>
      <c r="C121" s="396"/>
      <c r="D121" s="355"/>
      <c r="E121" s="409"/>
      <c r="F121" s="379">
        <f t="shared" si="21"/>
        <v>0</v>
      </c>
      <c r="G121" s="296"/>
      <c r="H121" s="296"/>
      <c r="I121" s="296"/>
      <c r="J121" s="296"/>
      <c r="K121" s="296"/>
      <c r="L121" s="297">
        <f t="shared" si="22"/>
        <v>0</v>
      </c>
      <c r="M121" s="298"/>
      <c r="N121" s="298"/>
      <c r="O121" s="315"/>
      <c r="P121" s="300"/>
      <c r="S121" s="301">
        <f t="shared" si="14"/>
        <v>0</v>
      </c>
      <c r="T121" s="301">
        <f t="shared" si="15"/>
        <v>0</v>
      </c>
      <c r="U121" s="301">
        <f t="shared" si="16"/>
        <v>0</v>
      </c>
      <c r="V121" s="301">
        <f t="shared" si="17"/>
        <v>0</v>
      </c>
    </row>
    <row r="122" spans="1:22" s="301" customFormat="1" x14ac:dyDescent="0.2">
      <c r="A122" s="319">
        <v>5038</v>
      </c>
      <c r="B122" s="353" t="s">
        <v>599</v>
      </c>
      <c r="C122" s="396" t="s">
        <v>600</v>
      </c>
      <c r="D122" s="423">
        <v>2800</v>
      </c>
      <c r="E122" s="409">
        <v>15.5</v>
      </c>
      <c r="F122" s="379">
        <f t="shared" si="21"/>
        <v>43400</v>
      </c>
      <c r="G122" s="296">
        <v>2800</v>
      </c>
      <c r="H122" s="296"/>
      <c r="I122" s="357">
        <v>2800</v>
      </c>
      <c r="J122" s="296"/>
      <c r="K122" s="296"/>
      <c r="L122" s="297">
        <f t="shared" si="22"/>
        <v>43400</v>
      </c>
      <c r="M122" s="298"/>
      <c r="N122" s="476"/>
      <c r="O122" s="315"/>
      <c r="P122" s="300"/>
      <c r="S122" s="301">
        <f t="shared" si="14"/>
        <v>0</v>
      </c>
      <c r="T122" s="301">
        <f t="shared" si="15"/>
        <v>43400</v>
      </c>
      <c r="U122" s="301">
        <f t="shared" si="16"/>
        <v>0</v>
      </c>
      <c r="V122" s="301">
        <f t="shared" si="17"/>
        <v>0</v>
      </c>
    </row>
    <row r="123" spans="1:22" s="301" customFormat="1" x14ac:dyDescent="0.2">
      <c r="A123" s="350"/>
      <c r="B123" s="353"/>
      <c r="C123" s="396"/>
      <c r="D123" s="423"/>
      <c r="E123" s="409"/>
      <c r="F123" s="379">
        <f t="shared" si="21"/>
        <v>0</v>
      </c>
      <c r="G123" s="296"/>
      <c r="H123" s="296"/>
      <c r="I123" s="296"/>
      <c r="J123" s="296"/>
      <c r="K123" s="296"/>
      <c r="L123" s="297">
        <f t="shared" si="22"/>
        <v>0</v>
      </c>
      <c r="M123" s="298"/>
      <c r="N123" s="298"/>
      <c r="O123" s="315"/>
      <c r="P123" s="300"/>
      <c r="S123" s="301">
        <f t="shared" si="14"/>
        <v>0</v>
      </c>
      <c r="T123" s="301">
        <f t="shared" si="15"/>
        <v>0</v>
      </c>
      <c r="U123" s="301">
        <f t="shared" si="16"/>
        <v>0</v>
      </c>
      <c r="V123" s="301">
        <f t="shared" si="17"/>
        <v>0</v>
      </c>
    </row>
    <row r="124" spans="1:22" s="301" customFormat="1" x14ac:dyDescent="0.2">
      <c r="A124" s="319">
        <v>5262</v>
      </c>
      <c r="B124" s="353" t="s">
        <v>621</v>
      </c>
      <c r="C124" s="396" t="s">
        <v>622</v>
      </c>
      <c r="D124" s="355">
        <v>1</v>
      </c>
      <c r="E124" s="409">
        <v>11577</v>
      </c>
      <c r="F124" s="379">
        <f t="shared" si="21"/>
        <v>11577</v>
      </c>
      <c r="G124" s="296">
        <v>1</v>
      </c>
      <c r="H124" s="357">
        <v>1</v>
      </c>
      <c r="I124" s="296"/>
      <c r="J124" s="296"/>
      <c r="K124" s="296"/>
      <c r="L124" s="297">
        <f t="shared" ref="L124:L126" si="23">E124*(H124+I124+J124+K124)</f>
        <v>11577</v>
      </c>
      <c r="M124" s="298">
        <v>43552</v>
      </c>
      <c r="N124" s="476">
        <v>43560</v>
      </c>
      <c r="O124" s="315"/>
      <c r="P124" s="300"/>
      <c r="S124" s="301">
        <f t="shared" si="14"/>
        <v>11577</v>
      </c>
      <c r="T124" s="301">
        <f t="shared" si="15"/>
        <v>0</v>
      </c>
      <c r="U124" s="301">
        <f t="shared" si="16"/>
        <v>0</v>
      </c>
      <c r="V124" s="301">
        <f t="shared" si="17"/>
        <v>0</v>
      </c>
    </row>
    <row r="125" spans="1:22" s="301" customFormat="1" x14ac:dyDescent="0.2">
      <c r="A125" s="350"/>
      <c r="B125" s="353"/>
      <c r="C125" s="396"/>
      <c r="D125" s="423"/>
      <c r="E125" s="409"/>
      <c r="F125" s="379">
        <f t="shared" si="21"/>
        <v>0</v>
      </c>
      <c r="G125" s="296"/>
      <c r="H125" s="296"/>
      <c r="I125" s="296"/>
      <c r="J125" s="296"/>
      <c r="K125" s="296"/>
      <c r="L125" s="297">
        <f t="shared" si="23"/>
        <v>0</v>
      </c>
      <c r="M125" s="298"/>
      <c r="N125" s="298"/>
      <c r="O125" s="315"/>
      <c r="P125" s="300"/>
      <c r="S125" s="301">
        <f t="shared" si="14"/>
        <v>0</v>
      </c>
      <c r="T125" s="301">
        <f t="shared" si="15"/>
        <v>0</v>
      </c>
      <c r="U125" s="301">
        <f t="shared" si="16"/>
        <v>0</v>
      </c>
      <c r="V125" s="301">
        <f t="shared" si="17"/>
        <v>0</v>
      </c>
    </row>
    <row r="126" spans="1:22" s="301" customFormat="1" x14ac:dyDescent="0.2">
      <c r="A126" s="350">
        <v>5271</v>
      </c>
      <c r="B126" s="353" t="s">
        <v>623</v>
      </c>
      <c r="C126" s="396" t="s">
        <v>624</v>
      </c>
      <c r="D126" s="355">
        <v>1</v>
      </c>
      <c r="E126" s="409">
        <v>1500</v>
      </c>
      <c r="F126" s="379">
        <f t="shared" si="21"/>
        <v>1500</v>
      </c>
      <c r="G126" s="296">
        <v>1</v>
      </c>
      <c r="H126" s="357">
        <v>1</v>
      </c>
      <c r="I126" s="296"/>
      <c r="J126" s="296"/>
      <c r="K126" s="296"/>
      <c r="L126" s="297">
        <f t="shared" si="23"/>
        <v>1500</v>
      </c>
      <c r="M126" s="298">
        <v>43553</v>
      </c>
      <c r="N126" s="476">
        <v>43557</v>
      </c>
      <c r="O126" s="315"/>
      <c r="P126" s="300"/>
      <c r="S126" s="301">
        <f t="shared" si="14"/>
        <v>1500</v>
      </c>
      <c r="T126" s="301">
        <f t="shared" si="15"/>
        <v>0</v>
      </c>
      <c r="U126" s="301">
        <f t="shared" si="16"/>
        <v>0</v>
      </c>
      <c r="V126" s="301">
        <f t="shared" si="17"/>
        <v>0</v>
      </c>
    </row>
    <row r="127" spans="1:22" s="301" customFormat="1" x14ac:dyDescent="0.2">
      <c r="A127" s="350">
        <v>5272</v>
      </c>
      <c r="B127" s="353" t="s">
        <v>623</v>
      </c>
      <c r="C127" s="396" t="s">
        <v>625</v>
      </c>
      <c r="D127" s="355">
        <v>1</v>
      </c>
      <c r="E127" s="409">
        <v>2050</v>
      </c>
      <c r="F127" s="379">
        <f t="shared" si="21"/>
        <v>2050</v>
      </c>
      <c r="G127" s="296">
        <v>1</v>
      </c>
      <c r="H127" s="357">
        <v>1</v>
      </c>
      <c r="I127" s="296"/>
      <c r="J127" s="296"/>
      <c r="K127" s="296"/>
      <c r="L127" s="297">
        <f t="shared" ref="L127:L137" si="24">E127*(H127+I127+J127+K127)</f>
        <v>2050</v>
      </c>
      <c r="M127" s="298">
        <v>43553</v>
      </c>
      <c r="N127" s="476">
        <v>43557</v>
      </c>
      <c r="O127" s="315"/>
      <c r="P127" s="300"/>
      <c r="S127" s="301">
        <f t="shared" si="14"/>
        <v>2050</v>
      </c>
      <c r="T127" s="301">
        <f t="shared" si="15"/>
        <v>0</v>
      </c>
      <c r="U127" s="301">
        <f t="shared" si="16"/>
        <v>0</v>
      </c>
      <c r="V127" s="301">
        <f t="shared" si="17"/>
        <v>0</v>
      </c>
    </row>
    <row r="128" spans="1:22" s="301" customFormat="1" x14ac:dyDescent="0.2">
      <c r="A128" s="350"/>
      <c r="B128" s="353"/>
      <c r="C128" s="396"/>
      <c r="D128" s="423"/>
      <c r="E128" s="409"/>
      <c r="F128" s="379">
        <f t="shared" si="21"/>
        <v>0</v>
      </c>
      <c r="G128" s="296"/>
      <c r="H128" s="296"/>
      <c r="I128" s="296"/>
      <c r="J128" s="296"/>
      <c r="K128" s="296"/>
      <c r="L128" s="297">
        <f t="shared" si="24"/>
        <v>0</v>
      </c>
      <c r="M128" s="298"/>
      <c r="N128" s="298"/>
      <c r="O128" s="315"/>
      <c r="P128" s="300"/>
      <c r="S128" s="301">
        <f t="shared" si="14"/>
        <v>0</v>
      </c>
      <c r="T128" s="301">
        <f t="shared" si="15"/>
        <v>0</v>
      </c>
      <c r="U128" s="301">
        <f t="shared" si="16"/>
        <v>0</v>
      </c>
      <c r="V128" s="301">
        <f t="shared" si="17"/>
        <v>0</v>
      </c>
    </row>
    <row r="129" spans="1:22" s="301" customFormat="1" x14ac:dyDescent="0.2">
      <c r="A129" s="350">
        <v>5274</v>
      </c>
      <c r="B129" s="353" t="s">
        <v>627</v>
      </c>
      <c r="C129" s="396" t="s">
        <v>628</v>
      </c>
      <c r="D129" s="355">
        <v>10</v>
      </c>
      <c r="E129" s="409">
        <v>266.5</v>
      </c>
      <c r="F129" s="379">
        <f t="shared" si="21"/>
        <v>2665</v>
      </c>
      <c r="G129" s="296">
        <v>10</v>
      </c>
      <c r="H129" s="357">
        <v>10</v>
      </c>
      <c r="I129" s="296"/>
      <c r="J129" s="296"/>
      <c r="K129" s="296"/>
      <c r="L129" s="297">
        <f t="shared" si="24"/>
        <v>2665</v>
      </c>
      <c r="M129" s="298">
        <v>43553</v>
      </c>
      <c r="N129" s="298"/>
      <c r="O129" s="315"/>
      <c r="P129" s="300"/>
      <c r="S129" s="301">
        <f t="shared" si="14"/>
        <v>2665</v>
      </c>
      <c r="T129" s="301">
        <f t="shared" si="15"/>
        <v>0</v>
      </c>
      <c r="U129" s="301">
        <f t="shared" si="16"/>
        <v>0</v>
      </c>
      <c r="V129" s="301">
        <f t="shared" si="17"/>
        <v>0</v>
      </c>
    </row>
    <row r="130" spans="1:22" s="301" customFormat="1" x14ac:dyDescent="0.2">
      <c r="A130" s="350"/>
      <c r="B130" s="353"/>
      <c r="C130" s="396"/>
      <c r="D130" s="355"/>
      <c r="E130" s="409"/>
      <c r="F130" s="379">
        <f t="shared" ref="F130:F139" si="25">E130*D130</f>
        <v>0</v>
      </c>
      <c r="G130" s="296"/>
      <c r="H130" s="296"/>
      <c r="I130" s="296"/>
      <c r="J130" s="296"/>
      <c r="K130" s="296"/>
      <c r="L130" s="297">
        <f t="shared" si="24"/>
        <v>0</v>
      </c>
      <c r="M130" s="298"/>
      <c r="N130" s="298"/>
      <c r="O130" s="315"/>
      <c r="P130" s="300"/>
      <c r="S130" s="301">
        <f t="shared" si="14"/>
        <v>0</v>
      </c>
      <c r="T130" s="301">
        <f t="shared" si="15"/>
        <v>0</v>
      </c>
      <c r="U130" s="301">
        <f t="shared" si="16"/>
        <v>0</v>
      </c>
      <c r="V130" s="301">
        <f t="shared" si="17"/>
        <v>0</v>
      </c>
    </row>
    <row r="131" spans="1:22" s="301" customFormat="1" x14ac:dyDescent="0.2">
      <c r="A131" s="350">
        <v>5280</v>
      </c>
      <c r="B131" s="353" t="s">
        <v>241</v>
      </c>
      <c r="C131" s="396" t="s">
        <v>367</v>
      </c>
      <c r="D131" s="355">
        <v>1</v>
      </c>
      <c r="E131" s="409">
        <v>650</v>
      </c>
      <c r="F131" s="379">
        <f>E131*D131</f>
        <v>650</v>
      </c>
      <c r="G131" s="296">
        <v>1</v>
      </c>
      <c r="H131" s="296"/>
      <c r="I131" s="352">
        <v>1</v>
      </c>
      <c r="J131" s="296"/>
      <c r="K131" s="296"/>
      <c r="L131" s="297">
        <f t="shared" si="24"/>
        <v>650</v>
      </c>
      <c r="M131" s="298">
        <v>43556</v>
      </c>
      <c r="N131" s="476">
        <v>43560</v>
      </c>
      <c r="O131" s="315"/>
      <c r="P131" s="300"/>
      <c r="S131" s="301">
        <f t="shared" si="14"/>
        <v>0</v>
      </c>
      <c r="T131" s="301">
        <f t="shared" si="15"/>
        <v>650</v>
      </c>
      <c r="U131" s="301">
        <f t="shared" si="16"/>
        <v>0</v>
      </c>
      <c r="V131" s="301">
        <f t="shared" si="17"/>
        <v>0</v>
      </c>
    </row>
    <row r="132" spans="1:22" s="301" customFormat="1" x14ac:dyDescent="0.2">
      <c r="A132" s="350">
        <v>5352</v>
      </c>
      <c r="B132" s="353" t="s">
        <v>241</v>
      </c>
      <c r="C132" s="396" t="s">
        <v>701</v>
      </c>
      <c r="D132" s="355">
        <v>10</v>
      </c>
      <c r="E132" s="409">
        <v>5650</v>
      </c>
      <c r="F132" s="379"/>
      <c r="G132" s="296"/>
      <c r="H132" s="296"/>
      <c r="I132" s="296"/>
      <c r="J132" s="296"/>
      <c r="K132" s="296"/>
      <c r="L132" s="297">
        <f>E132*(H132+I132+J132+K132)</f>
        <v>0</v>
      </c>
      <c r="M132" s="298">
        <v>43574</v>
      </c>
      <c r="N132" s="298">
        <v>43605</v>
      </c>
      <c r="O132" s="481"/>
      <c r="P132" s="300"/>
      <c r="S132" s="301">
        <f t="shared" si="14"/>
        <v>0</v>
      </c>
      <c r="T132" s="301">
        <f t="shared" si="15"/>
        <v>0</v>
      </c>
      <c r="U132" s="301">
        <f t="shared" si="16"/>
        <v>0</v>
      </c>
      <c r="V132" s="301">
        <f t="shared" si="17"/>
        <v>0</v>
      </c>
    </row>
    <row r="133" spans="1:22" s="301" customFormat="1" x14ac:dyDescent="0.2">
      <c r="A133" s="350">
        <v>5384</v>
      </c>
      <c r="B133" s="353" t="s">
        <v>241</v>
      </c>
      <c r="C133" s="396" t="s">
        <v>367</v>
      </c>
      <c r="D133" s="355">
        <v>1</v>
      </c>
      <c r="E133" s="409">
        <v>650</v>
      </c>
      <c r="F133" s="379">
        <f>E133*D133</f>
        <v>650</v>
      </c>
      <c r="G133" s="296">
        <v>1</v>
      </c>
      <c r="H133" s="296"/>
      <c r="I133" s="296"/>
      <c r="J133" s="296"/>
      <c r="K133" s="352">
        <v>1</v>
      </c>
      <c r="L133" s="297">
        <f>E133*(H133+I133+J133+K133)</f>
        <v>650</v>
      </c>
      <c r="M133" s="298"/>
      <c r="N133" s="298"/>
      <c r="O133" s="481"/>
      <c r="P133" s="300"/>
      <c r="S133" s="301">
        <f t="shared" si="14"/>
        <v>0</v>
      </c>
      <c r="T133" s="301">
        <f t="shared" si="15"/>
        <v>0</v>
      </c>
      <c r="U133" s="301">
        <f t="shared" si="16"/>
        <v>0</v>
      </c>
      <c r="V133" s="301">
        <f t="shared" si="17"/>
        <v>650</v>
      </c>
    </row>
    <row r="134" spans="1:22" s="301" customFormat="1" x14ac:dyDescent="0.2">
      <c r="A134" s="388"/>
      <c r="B134" s="383"/>
      <c r="C134" s="461"/>
      <c r="D134" s="389"/>
      <c r="E134" s="441"/>
      <c r="F134" s="379"/>
      <c r="G134" s="296"/>
      <c r="H134" s="296"/>
      <c r="I134" s="296"/>
      <c r="J134" s="296"/>
      <c r="K134" s="296"/>
      <c r="L134" s="297"/>
      <c r="M134" s="298"/>
      <c r="N134" s="298"/>
      <c r="O134" s="481"/>
      <c r="P134" s="300"/>
      <c r="S134" s="301">
        <f t="shared" si="14"/>
        <v>0</v>
      </c>
      <c r="T134" s="301">
        <f t="shared" si="15"/>
        <v>0</v>
      </c>
      <c r="U134" s="301">
        <f t="shared" si="16"/>
        <v>0</v>
      </c>
      <c r="V134" s="301">
        <f t="shared" si="17"/>
        <v>0</v>
      </c>
    </row>
    <row r="135" spans="1:22" s="301" customFormat="1" x14ac:dyDescent="0.2">
      <c r="A135" s="319">
        <v>5285</v>
      </c>
      <c r="B135" s="353" t="s">
        <v>636</v>
      </c>
      <c r="C135" s="396" t="s">
        <v>642</v>
      </c>
      <c r="D135" s="355">
        <v>44</v>
      </c>
      <c r="E135" s="409">
        <v>2100</v>
      </c>
      <c r="F135" s="379">
        <f>E135*D135</f>
        <v>92400</v>
      </c>
      <c r="G135" s="296">
        <v>44</v>
      </c>
      <c r="H135" s="296"/>
      <c r="I135" s="296"/>
      <c r="J135" s="357">
        <v>44</v>
      </c>
      <c r="K135" s="296"/>
      <c r="L135" s="297">
        <f t="shared" si="24"/>
        <v>92400</v>
      </c>
      <c r="M135" s="298">
        <v>43556</v>
      </c>
      <c r="N135" s="476">
        <v>43574</v>
      </c>
      <c r="O135" s="315"/>
      <c r="P135" s="300"/>
      <c r="S135" s="301">
        <f t="shared" si="14"/>
        <v>0</v>
      </c>
      <c r="T135" s="301">
        <f t="shared" si="15"/>
        <v>0</v>
      </c>
      <c r="U135" s="301">
        <f t="shared" si="16"/>
        <v>92400</v>
      </c>
      <c r="V135" s="301">
        <f t="shared" si="17"/>
        <v>0</v>
      </c>
    </row>
    <row r="136" spans="1:22" s="301" customFormat="1" x14ac:dyDescent="0.2">
      <c r="A136" s="319">
        <v>5286</v>
      </c>
      <c r="B136" s="353" t="s">
        <v>636</v>
      </c>
      <c r="C136" s="396" t="s">
        <v>637</v>
      </c>
      <c r="D136" s="355">
        <v>6</v>
      </c>
      <c r="E136" s="409">
        <v>2500</v>
      </c>
      <c r="F136" s="379">
        <f t="shared" si="25"/>
        <v>15000</v>
      </c>
      <c r="G136" s="296">
        <v>6</v>
      </c>
      <c r="H136" s="296"/>
      <c r="I136" s="296"/>
      <c r="J136" s="357">
        <v>6</v>
      </c>
      <c r="K136" s="296"/>
      <c r="L136" s="297">
        <f t="shared" si="24"/>
        <v>15000</v>
      </c>
      <c r="M136" s="298">
        <v>43556</v>
      </c>
      <c r="N136" s="476">
        <v>43574</v>
      </c>
      <c r="O136" s="315"/>
      <c r="P136" s="300"/>
      <c r="S136" s="301">
        <f t="shared" si="14"/>
        <v>0</v>
      </c>
      <c r="T136" s="301">
        <f t="shared" si="15"/>
        <v>0</v>
      </c>
      <c r="U136" s="301">
        <f t="shared" si="16"/>
        <v>15000</v>
      </c>
      <c r="V136" s="301">
        <f t="shared" si="17"/>
        <v>0</v>
      </c>
    </row>
    <row r="137" spans="1:22" s="301" customFormat="1" x14ac:dyDescent="0.2">
      <c r="A137" s="350"/>
      <c r="B137" s="353"/>
      <c r="C137" s="396"/>
      <c r="D137" s="355"/>
      <c r="E137" s="409"/>
      <c r="F137" s="379">
        <f t="shared" si="25"/>
        <v>0</v>
      </c>
      <c r="G137" s="296"/>
      <c r="H137" s="296"/>
      <c r="I137" s="296"/>
      <c r="J137" s="296"/>
      <c r="K137" s="296"/>
      <c r="L137" s="297">
        <f t="shared" si="24"/>
        <v>0</v>
      </c>
      <c r="M137" s="298"/>
      <c r="N137" s="298"/>
      <c r="O137" s="315"/>
      <c r="P137" s="300"/>
      <c r="S137" s="301">
        <f t="shared" si="14"/>
        <v>0</v>
      </c>
      <c r="T137" s="301">
        <f t="shared" si="15"/>
        <v>0</v>
      </c>
      <c r="U137" s="301">
        <f t="shared" si="16"/>
        <v>0</v>
      </c>
      <c r="V137" s="301">
        <f t="shared" si="17"/>
        <v>0</v>
      </c>
    </row>
    <row r="138" spans="1:22" s="301" customFormat="1" x14ac:dyDescent="0.2">
      <c r="A138" s="319">
        <v>5282</v>
      </c>
      <c r="B138" s="353" t="s">
        <v>605</v>
      </c>
      <c r="C138" s="396" t="s">
        <v>638</v>
      </c>
      <c r="D138" s="355">
        <v>1</v>
      </c>
      <c r="E138" s="409">
        <v>3105.5</v>
      </c>
      <c r="F138" s="379">
        <f t="shared" si="25"/>
        <v>3105.5</v>
      </c>
      <c r="G138" s="296"/>
      <c r="H138" s="352">
        <v>1</v>
      </c>
      <c r="I138" s="296"/>
      <c r="J138" s="296"/>
      <c r="K138" s="296"/>
      <c r="L138" s="297">
        <f t="shared" ref="L138" si="26">E138*(H138+I138+J138+K138)</f>
        <v>3105.5</v>
      </c>
      <c r="M138" s="298"/>
      <c r="N138" s="476"/>
      <c r="O138" s="315"/>
      <c r="P138" s="300"/>
      <c r="S138" s="301">
        <f t="shared" si="14"/>
        <v>3105.5</v>
      </c>
      <c r="T138" s="301">
        <f t="shared" si="15"/>
        <v>0</v>
      </c>
      <c r="U138" s="301">
        <f t="shared" si="16"/>
        <v>0</v>
      </c>
      <c r="V138" s="301">
        <f t="shared" si="17"/>
        <v>0</v>
      </c>
    </row>
    <row r="139" spans="1:22" s="301" customFormat="1" x14ac:dyDescent="0.2">
      <c r="A139" s="319">
        <v>5283</v>
      </c>
      <c r="B139" s="353" t="s">
        <v>605</v>
      </c>
      <c r="C139" s="396" t="s">
        <v>639</v>
      </c>
      <c r="D139" s="355">
        <v>1</v>
      </c>
      <c r="E139" s="409">
        <v>2143</v>
      </c>
      <c r="F139" s="379">
        <f t="shared" si="25"/>
        <v>2143</v>
      </c>
      <c r="G139" s="296"/>
      <c r="H139" s="352">
        <v>1</v>
      </c>
      <c r="I139" s="296"/>
      <c r="J139" s="296"/>
      <c r="K139" s="296"/>
      <c r="L139" s="297">
        <f t="shared" ref="L139:L154" si="27">E139*(H139+I139+J139+K139)</f>
        <v>2143</v>
      </c>
      <c r="M139" s="298"/>
      <c r="N139" s="476"/>
      <c r="O139" s="315"/>
      <c r="P139" s="300"/>
      <c r="S139" s="301">
        <f t="shared" si="14"/>
        <v>2143</v>
      </c>
      <c r="T139" s="301">
        <f t="shared" si="15"/>
        <v>0</v>
      </c>
      <c r="U139" s="301">
        <f t="shared" si="16"/>
        <v>0</v>
      </c>
      <c r="V139" s="301">
        <f t="shared" si="17"/>
        <v>0</v>
      </c>
    </row>
    <row r="140" spans="1:22" s="301" customFormat="1" x14ac:dyDescent="0.2">
      <c r="A140" s="319">
        <v>5284</v>
      </c>
      <c r="B140" s="353" t="s">
        <v>605</v>
      </c>
      <c r="C140" s="396" t="s">
        <v>643</v>
      </c>
      <c r="D140" s="355">
        <v>1</v>
      </c>
      <c r="E140" s="409">
        <v>128</v>
      </c>
      <c r="F140" s="379">
        <f>E140*D140</f>
        <v>128</v>
      </c>
      <c r="G140" s="296"/>
      <c r="H140" s="352">
        <v>1</v>
      </c>
      <c r="I140" s="296"/>
      <c r="J140" s="296"/>
      <c r="K140" s="296"/>
      <c r="L140" s="297">
        <f t="shared" si="27"/>
        <v>128</v>
      </c>
      <c r="M140" s="298"/>
      <c r="N140" s="476"/>
      <c r="O140" s="315"/>
      <c r="P140" s="300"/>
      <c r="S140" s="301">
        <f t="shared" si="14"/>
        <v>128</v>
      </c>
      <c r="T140" s="301">
        <f t="shared" si="15"/>
        <v>0</v>
      </c>
      <c r="U140" s="301">
        <f t="shared" si="16"/>
        <v>0</v>
      </c>
      <c r="V140" s="301">
        <f t="shared" si="17"/>
        <v>0</v>
      </c>
    </row>
    <row r="141" spans="1:22" s="301" customFormat="1" x14ac:dyDescent="0.2">
      <c r="A141" s="319">
        <v>5296</v>
      </c>
      <c r="B141" s="353" t="s">
        <v>605</v>
      </c>
      <c r="C141" s="396" t="s">
        <v>683</v>
      </c>
      <c r="D141" s="355">
        <v>1</v>
      </c>
      <c r="E141" s="409">
        <v>3300</v>
      </c>
      <c r="F141" s="379">
        <f>E141*D141</f>
        <v>3300</v>
      </c>
      <c r="G141" s="296">
        <v>1</v>
      </c>
      <c r="H141" s="296"/>
      <c r="I141" s="296"/>
      <c r="J141" s="352">
        <v>1</v>
      </c>
      <c r="K141" s="296"/>
      <c r="L141" s="297">
        <f t="shared" si="27"/>
        <v>3300</v>
      </c>
      <c r="M141" s="298">
        <v>43570</v>
      </c>
      <c r="N141" s="476">
        <v>43571</v>
      </c>
      <c r="O141" s="315"/>
      <c r="P141" s="300"/>
      <c r="S141" s="301">
        <f t="shared" si="14"/>
        <v>0</v>
      </c>
      <c r="T141" s="301">
        <f t="shared" si="15"/>
        <v>0</v>
      </c>
      <c r="U141" s="301">
        <f t="shared" si="16"/>
        <v>3300</v>
      </c>
      <c r="V141" s="301">
        <f t="shared" si="17"/>
        <v>0</v>
      </c>
    </row>
    <row r="142" spans="1:22" s="301" customFormat="1" x14ac:dyDescent="0.2">
      <c r="A142" s="350">
        <v>5374</v>
      </c>
      <c r="B142" s="353" t="s">
        <v>605</v>
      </c>
      <c r="C142" s="396" t="s">
        <v>708</v>
      </c>
      <c r="D142" s="355">
        <v>1</v>
      </c>
      <c r="E142" s="409">
        <v>8000</v>
      </c>
      <c r="F142" s="379">
        <f>E142*D142</f>
        <v>8000</v>
      </c>
      <c r="G142" s="296">
        <v>1</v>
      </c>
      <c r="H142" s="296"/>
      <c r="I142" s="296"/>
      <c r="J142" s="296"/>
      <c r="K142" s="357">
        <v>1</v>
      </c>
      <c r="L142" s="297">
        <f t="shared" si="27"/>
        <v>8000</v>
      </c>
      <c r="M142" s="298">
        <v>43578</v>
      </c>
      <c r="N142" s="298">
        <v>43607</v>
      </c>
      <c r="O142" s="315"/>
      <c r="P142" s="300"/>
      <c r="S142" s="301">
        <f t="shared" ref="S142:S195" si="28">H142*E142</f>
        <v>0</v>
      </c>
      <c r="T142" s="301">
        <f t="shared" ref="T142:T195" si="29">I142*E142</f>
        <v>0</v>
      </c>
      <c r="U142" s="301">
        <f t="shared" ref="U142:U195" si="30">J142*E142</f>
        <v>0</v>
      </c>
      <c r="V142" s="301">
        <f t="shared" ref="V142:V195" si="31">K142*E142</f>
        <v>8000</v>
      </c>
    </row>
    <row r="143" spans="1:22" s="301" customFormat="1" x14ac:dyDescent="0.2">
      <c r="A143" s="350">
        <v>5375</v>
      </c>
      <c r="B143" s="353" t="s">
        <v>605</v>
      </c>
      <c r="C143" s="396" t="s">
        <v>606</v>
      </c>
      <c r="D143" s="355">
        <v>2</v>
      </c>
      <c r="E143" s="409">
        <v>6650</v>
      </c>
      <c r="F143" s="379"/>
      <c r="G143" s="296"/>
      <c r="H143" s="296"/>
      <c r="I143" s="296"/>
      <c r="J143" s="296"/>
      <c r="K143" s="296"/>
      <c r="L143" s="297">
        <f t="shared" si="27"/>
        <v>0</v>
      </c>
      <c r="M143" s="298">
        <v>43578</v>
      </c>
      <c r="N143" s="298">
        <v>43607</v>
      </c>
      <c r="O143" s="315"/>
      <c r="P143" s="300"/>
      <c r="S143" s="301">
        <f t="shared" si="28"/>
        <v>0</v>
      </c>
      <c r="T143" s="301">
        <f t="shared" si="29"/>
        <v>0</v>
      </c>
      <c r="U143" s="301">
        <f t="shared" si="30"/>
        <v>0</v>
      </c>
      <c r="V143" s="301">
        <f t="shared" si="31"/>
        <v>0</v>
      </c>
    </row>
    <row r="144" spans="1:22" s="301" customFormat="1" x14ac:dyDescent="0.2">
      <c r="A144" s="350">
        <v>5376</v>
      </c>
      <c r="B144" s="353" t="s">
        <v>605</v>
      </c>
      <c r="C144" s="396" t="s">
        <v>607</v>
      </c>
      <c r="D144" s="355">
        <v>2</v>
      </c>
      <c r="E144" s="409">
        <v>8100</v>
      </c>
      <c r="F144" s="379"/>
      <c r="G144" s="296"/>
      <c r="H144" s="296"/>
      <c r="I144" s="296"/>
      <c r="J144" s="296"/>
      <c r="K144" s="296"/>
      <c r="L144" s="297">
        <f t="shared" si="27"/>
        <v>0</v>
      </c>
      <c r="M144" s="298">
        <v>43578</v>
      </c>
      <c r="N144" s="298">
        <v>43607</v>
      </c>
      <c r="O144" s="315"/>
      <c r="P144" s="300"/>
      <c r="S144" s="301">
        <f t="shared" si="28"/>
        <v>0</v>
      </c>
      <c r="T144" s="301">
        <f t="shared" si="29"/>
        <v>0</v>
      </c>
      <c r="U144" s="301">
        <f t="shared" si="30"/>
        <v>0</v>
      </c>
      <c r="V144" s="301">
        <f t="shared" si="31"/>
        <v>0</v>
      </c>
    </row>
    <row r="145" spans="1:22" s="301" customFormat="1" x14ac:dyDescent="0.2">
      <c r="A145" s="350">
        <v>5377</v>
      </c>
      <c r="B145" s="353" t="s">
        <v>605</v>
      </c>
      <c r="C145" s="396" t="s">
        <v>709</v>
      </c>
      <c r="D145" s="355">
        <v>1</v>
      </c>
      <c r="E145" s="409">
        <v>700</v>
      </c>
      <c r="F145" s="379"/>
      <c r="G145" s="296"/>
      <c r="H145" s="296"/>
      <c r="I145" s="296"/>
      <c r="J145" s="296"/>
      <c r="K145" s="296"/>
      <c r="L145" s="297">
        <f t="shared" si="27"/>
        <v>0</v>
      </c>
      <c r="M145" s="298">
        <v>43578</v>
      </c>
      <c r="N145" s="298">
        <v>43607</v>
      </c>
      <c r="O145" s="315"/>
      <c r="P145" s="300"/>
      <c r="S145" s="301">
        <f t="shared" si="28"/>
        <v>0</v>
      </c>
      <c r="T145" s="301">
        <f t="shared" si="29"/>
        <v>0</v>
      </c>
      <c r="U145" s="301">
        <f t="shared" si="30"/>
        <v>0</v>
      </c>
      <c r="V145" s="301">
        <f t="shared" si="31"/>
        <v>0</v>
      </c>
    </row>
    <row r="146" spans="1:22" s="301" customFormat="1" x14ac:dyDescent="0.2">
      <c r="A146" s="350">
        <v>5378</v>
      </c>
      <c r="B146" s="353" t="s">
        <v>605</v>
      </c>
      <c r="C146" s="396" t="s">
        <v>710</v>
      </c>
      <c r="D146" s="355">
        <v>1</v>
      </c>
      <c r="E146" s="409">
        <v>400</v>
      </c>
      <c r="F146" s="379"/>
      <c r="G146" s="296"/>
      <c r="H146" s="296"/>
      <c r="I146" s="296"/>
      <c r="J146" s="296"/>
      <c r="K146" s="296"/>
      <c r="L146" s="297">
        <f t="shared" si="27"/>
        <v>0</v>
      </c>
      <c r="M146" s="298">
        <v>43578</v>
      </c>
      <c r="N146" s="298">
        <v>43607</v>
      </c>
      <c r="O146" s="315"/>
      <c r="P146" s="300"/>
      <c r="S146" s="301">
        <f t="shared" si="28"/>
        <v>0</v>
      </c>
      <c r="T146" s="301">
        <f t="shared" si="29"/>
        <v>0</v>
      </c>
      <c r="U146" s="301">
        <f t="shared" si="30"/>
        <v>0</v>
      </c>
      <c r="V146" s="301">
        <f t="shared" si="31"/>
        <v>0</v>
      </c>
    </row>
    <row r="147" spans="1:22" s="301" customFormat="1" x14ac:dyDescent="0.2">
      <c r="A147" s="350"/>
      <c r="B147" s="353"/>
      <c r="C147" s="396"/>
      <c r="D147" s="355"/>
      <c r="E147" s="409"/>
      <c r="F147" s="379">
        <f>E147*D147</f>
        <v>0</v>
      </c>
      <c r="G147" s="296"/>
      <c r="H147" s="296"/>
      <c r="I147" s="296"/>
      <c r="J147" s="296"/>
      <c r="K147" s="296"/>
      <c r="L147" s="297">
        <f t="shared" si="27"/>
        <v>0</v>
      </c>
      <c r="M147" s="298"/>
      <c r="N147" s="298"/>
      <c r="O147" s="315"/>
      <c r="P147" s="300"/>
      <c r="S147" s="301">
        <f t="shared" si="28"/>
        <v>0</v>
      </c>
      <c r="T147" s="301">
        <f t="shared" si="29"/>
        <v>0</v>
      </c>
      <c r="U147" s="301">
        <f t="shared" si="30"/>
        <v>0</v>
      </c>
      <c r="V147" s="301">
        <f t="shared" si="31"/>
        <v>0</v>
      </c>
    </row>
    <row r="148" spans="1:22" s="301" customFormat="1" x14ac:dyDescent="0.2">
      <c r="A148" s="319">
        <v>5291</v>
      </c>
      <c r="B148" s="353" t="s">
        <v>649</v>
      </c>
      <c r="C148" s="396" t="s">
        <v>650</v>
      </c>
      <c r="D148" s="355">
        <v>8</v>
      </c>
      <c r="E148" s="409">
        <v>6750</v>
      </c>
      <c r="F148" s="379">
        <f>E148*D148</f>
        <v>54000</v>
      </c>
      <c r="G148" s="296">
        <v>8</v>
      </c>
      <c r="H148" s="296"/>
      <c r="I148" s="357">
        <v>8</v>
      </c>
      <c r="J148" s="296"/>
      <c r="K148" s="296"/>
      <c r="L148" s="297">
        <f t="shared" si="27"/>
        <v>54000</v>
      </c>
      <c r="M148" s="298">
        <v>43560</v>
      </c>
      <c r="N148" s="476">
        <v>43567</v>
      </c>
      <c r="O148" s="315"/>
      <c r="P148" s="300"/>
      <c r="S148" s="301">
        <f t="shared" si="28"/>
        <v>0</v>
      </c>
      <c r="T148" s="301">
        <f t="shared" si="29"/>
        <v>54000</v>
      </c>
      <c r="U148" s="301">
        <f t="shared" si="30"/>
        <v>0</v>
      </c>
      <c r="V148" s="301">
        <f t="shared" si="31"/>
        <v>0</v>
      </c>
    </row>
    <row r="149" spans="1:22" s="301" customFormat="1" x14ac:dyDescent="0.2">
      <c r="A149" s="350">
        <v>5234</v>
      </c>
      <c r="B149" s="353" t="s">
        <v>649</v>
      </c>
      <c r="C149" s="396" t="s">
        <v>660</v>
      </c>
      <c r="D149" s="355">
        <v>1</v>
      </c>
      <c r="E149" s="409"/>
      <c r="F149" s="379">
        <f>E149*D149</f>
        <v>0</v>
      </c>
      <c r="G149" s="296"/>
      <c r="H149" s="296"/>
      <c r="I149" s="296"/>
      <c r="J149" s="296"/>
      <c r="K149" s="296"/>
      <c r="L149" s="297">
        <f t="shared" si="27"/>
        <v>0</v>
      </c>
      <c r="M149" s="298">
        <v>43563</v>
      </c>
      <c r="N149" s="298"/>
      <c r="O149" s="465" t="s">
        <v>667</v>
      </c>
      <c r="P149" s="300"/>
      <c r="S149" s="301">
        <f t="shared" si="28"/>
        <v>0</v>
      </c>
      <c r="T149" s="301">
        <f t="shared" si="29"/>
        <v>0</v>
      </c>
      <c r="U149" s="301">
        <f t="shared" si="30"/>
        <v>0</v>
      </c>
      <c r="V149" s="301">
        <f t="shared" si="31"/>
        <v>0</v>
      </c>
    </row>
    <row r="150" spans="1:22" s="301" customFormat="1" x14ac:dyDescent="0.2">
      <c r="A150" s="350">
        <v>5298</v>
      </c>
      <c r="B150" s="353" t="s">
        <v>649</v>
      </c>
      <c r="C150" s="396" t="s">
        <v>661</v>
      </c>
      <c r="D150" s="355">
        <v>2</v>
      </c>
      <c r="E150" s="409">
        <v>5850</v>
      </c>
      <c r="F150" s="379">
        <f>E150*D150</f>
        <v>11700</v>
      </c>
      <c r="G150" s="296">
        <v>2</v>
      </c>
      <c r="H150" s="296"/>
      <c r="I150" s="296"/>
      <c r="J150" s="296"/>
      <c r="K150" s="296"/>
      <c r="L150" s="297">
        <f t="shared" si="27"/>
        <v>0</v>
      </c>
      <c r="M150" s="298">
        <v>43563</v>
      </c>
      <c r="N150" s="298"/>
      <c r="O150" s="465" t="s">
        <v>697</v>
      </c>
      <c r="P150" s="300"/>
      <c r="S150" s="301">
        <f t="shared" si="28"/>
        <v>0</v>
      </c>
      <c r="T150" s="301">
        <f t="shared" si="29"/>
        <v>0</v>
      </c>
      <c r="U150" s="301">
        <f t="shared" si="30"/>
        <v>0</v>
      </c>
      <c r="V150" s="301">
        <f t="shared" si="31"/>
        <v>0</v>
      </c>
    </row>
    <row r="151" spans="1:22" s="301" customFormat="1" x14ac:dyDescent="0.2">
      <c r="A151" s="350">
        <v>5299</v>
      </c>
      <c r="B151" s="353" t="s">
        <v>649</v>
      </c>
      <c r="C151" s="396" t="s">
        <v>662</v>
      </c>
      <c r="D151" s="355">
        <v>2</v>
      </c>
      <c r="E151" s="409">
        <v>2950</v>
      </c>
      <c r="F151" s="379"/>
      <c r="G151" s="296"/>
      <c r="H151" s="296"/>
      <c r="I151" s="296"/>
      <c r="J151" s="296"/>
      <c r="K151" s="296"/>
      <c r="L151" s="297">
        <f t="shared" si="27"/>
        <v>0</v>
      </c>
      <c r="M151" s="298">
        <v>43563</v>
      </c>
      <c r="N151" s="298"/>
      <c r="O151" s="465" t="s">
        <v>697</v>
      </c>
      <c r="P151" s="300"/>
      <c r="S151" s="301">
        <f t="shared" si="28"/>
        <v>0</v>
      </c>
      <c r="T151" s="301">
        <f t="shared" si="29"/>
        <v>0</v>
      </c>
      <c r="U151" s="301">
        <f t="shared" si="30"/>
        <v>0</v>
      </c>
      <c r="V151" s="301">
        <f t="shared" si="31"/>
        <v>0</v>
      </c>
    </row>
    <row r="152" spans="1:22" s="301" customFormat="1" x14ac:dyDescent="0.2">
      <c r="A152" s="350">
        <v>5300</v>
      </c>
      <c r="B152" s="353" t="s">
        <v>649</v>
      </c>
      <c r="C152" s="396" t="s">
        <v>663</v>
      </c>
      <c r="D152" s="355">
        <v>2</v>
      </c>
      <c r="E152" s="409">
        <v>1170</v>
      </c>
      <c r="F152" s="379">
        <f t="shared" ref="F152:F159" si="32">E152*D152</f>
        <v>2340</v>
      </c>
      <c r="G152" s="296">
        <v>2</v>
      </c>
      <c r="H152" s="296"/>
      <c r="I152" s="296"/>
      <c r="J152" s="296"/>
      <c r="K152" s="296"/>
      <c r="L152" s="297">
        <f t="shared" si="27"/>
        <v>0</v>
      </c>
      <c r="M152" s="298">
        <v>43563</v>
      </c>
      <c r="N152" s="298"/>
      <c r="O152" s="465" t="s">
        <v>697</v>
      </c>
      <c r="P152" s="300"/>
      <c r="S152" s="301">
        <f t="shared" si="28"/>
        <v>0</v>
      </c>
      <c r="T152" s="301">
        <f t="shared" si="29"/>
        <v>0</v>
      </c>
      <c r="U152" s="301">
        <f t="shared" si="30"/>
        <v>0</v>
      </c>
      <c r="V152" s="301">
        <f t="shared" si="31"/>
        <v>0</v>
      </c>
    </row>
    <row r="153" spans="1:22" s="301" customFormat="1" x14ac:dyDescent="0.2">
      <c r="A153" s="350">
        <v>5230</v>
      </c>
      <c r="B153" s="353" t="s">
        <v>649</v>
      </c>
      <c r="C153" s="396" t="s">
        <v>698</v>
      </c>
      <c r="D153" s="355">
        <v>3</v>
      </c>
      <c r="E153" s="409"/>
      <c r="F153" s="379">
        <f t="shared" si="32"/>
        <v>0</v>
      </c>
      <c r="G153" s="296">
        <v>3</v>
      </c>
      <c r="H153" s="296"/>
      <c r="I153" s="296"/>
      <c r="J153" s="296"/>
      <c r="K153" s="296"/>
      <c r="L153" s="297">
        <f t="shared" si="27"/>
        <v>0</v>
      </c>
      <c r="M153" s="298">
        <v>43573</v>
      </c>
      <c r="N153" s="298">
        <v>43581</v>
      </c>
      <c r="O153" s="465" t="s">
        <v>700</v>
      </c>
      <c r="P153" s="300"/>
      <c r="S153" s="301">
        <f t="shared" si="28"/>
        <v>0</v>
      </c>
      <c r="T153" s="301">
        <f t="shared" si="29"/>
        <v>0</v>
      </c>
      <c r="U153" s="301">
        <f t="shared" si="30"/>
        <v>0</v>
      </c>
      <c r="V153" s="301">
        <f t="shared" si="31"/>
        <v>0</v>
      </c>
    </row>
    <row r="154" spans="1:22" s="301" customFormat="1" x14ac:dyDescent="0.2">
      <c r="A154" s="350">
        <v>5231</v>
      </c>
      <c r="B154" s="353" t="s">
        <v>649</v>
      </c>
      <c r="C154" s="396" t="s">
        <v>699</v>
      </c>
      <c r="D154" s="355">
        <v>3</v>
      </c>
      <c r="E154" s="409"/>
      <c r="F154" s="379">
        <f t="shared" si="32"/>
        <v>0</v>
      </c>
      <c r="G154" s="296">
        <v>3</v>
      </c>
      <c r="H154" s="296"/>
      <c r="I154" s="296"/>
      <c r="J154" s="296"/>
      <c r="K154" s="296"/>
      <c r="L154" s="297">
        <f t="shared" si="27"/>
        <v>0</v>
      </c>
      <c r="M154" s="298">
        <v>43573</v>
      </c>
      <c r="N154" s="298">
        <v>43581</v>
      </c>
      <c r="O154" s="465" t="s">
        <v>700</v>
      </c>
      <c r="P154" s="300"/>
      <c r="S154" s="301">
        <f t="shared" si="28"/>
        <v>0</v>
      </c>
      <c r="T154" s="301">
        <f t="shared" si="29"/>
        <v>0</v>
      </c>
      <c r="U154" s="301">
        <f t="shared" si="30"/>
        <v>0</v>
      </c>
      <c r="V154" s="301">
        <f t="shared" si="31"/>
        <v>0</v>
      </c>
    </row>
    <row r="155" spans="1:22" s="301" customFormat="1" x14ac:dyDescent="0.2">
      <c r="A155" s="350">
        <v>5232</v>
      </c>
      <c r="B155" s="353" t="s">
        <v>649</v>
      </c>
      <c r="C155" s="396" t="s">
        <v>699</v>
      </c>
      <c r="D155" s="355">
        <v>3</v>
      </c>
      <c r="E155" s="409"/>
      <c r="F155" s="379">
        <f t="shared" si="32"/>
        <v>0</v>
      </c>
      <c r="G155" s="296">
        <v>3</v>
      </c>
      <c r="H155" s="296"/>
      <c r="I155" s="296"/>
      <c r="J155" s="296"/>
      <c r="K155" s="296"/>
      <c r="L155" s="297">
        <f t="shared" ref="L155:L160" si="33">E155*(H155+I155+J155+K155)</f>
        <v>0</v>
      </c>
      <c r="M155" s="298">
        <v>43573</v>
      </c>
      <c r="N155" s="298">
        <v>43581</v>
      </c>
      <c r="O155" s="465" t="s">
        <v>700</v>
      </c>
      <c r="P155" s="300"/>
      <c r="S155" s="301">
        <f t="shared" si="28"/>
        <v>0</v>
      </c>
      <c r="T155" s="301">
        <f t="shared" si="29"/>
        <v>0</v>
      </c>
      <c r="U155" s="301">
        <f t="shared" si="30"/>
        <v>0</v>
      </c>
      <c r="V155" s="301">
        <f t="shared" si="31"/>
        <v>0</v>
      </c>
    </row>
    <row r="156" spans="1:22" s="301" customFormat="1" x14ac:dyDescent="0.2">
      <c r="A156" s="350">
        <v>5233</v>
      </c>
      <c r="B156" s="353" t="s">
        <v>649</v>
      </c>
      <c r="C156" s="396" t="s">
        <v>699</v>
      </c>
      <c r="D156" s="355">
        <v>3</v>
      </c>
      <c r="E156" s="409"/>
      <c r="F156" s="379">
        <f t="shared" si="32"/>
        <v>0</v>
      </c>
      <c r="G156" s="296">
        <v>3</v>
      </c>
      <c r="H156" s="296"/>
      <c r="I156" s="296"/>
      <c r="J156" s="296"/>
      <c r="K156" s="296"/>
      <c r="L156" s="297">
        <f t="shared" si="33"/>
        <v>0</v>
      </c>
      <c r="M156" s="298">
        <v>43573</v>
      </c>
      <c r="N156" s="298">
        <v>43581</v>
      </c>
      <c r="O156" s="465" t="s">
        <v>700</v>
      </c>
      <c r="P156" s="300"/>
      <c r="S156" s="301">
        <f t="shared" si="28"/>
        <v>0</v>
      </c>
      <c r="T156" s="301">
        <f t="shared" si="29"/>
        <v>0</v>
      </c>
      <c r="U156" s="301">
        <f t="shared" si="30"/>
        <v>0</v>
      </c>
      <c r="V156" s="301">
        <f t="shared" si="31"/>
        <v>0</v>
      </c>
    </row>
    <row r="157" spans="1:22" s="301" customFormat="1" x14ac:dyDescent="0.2">
      <c r="A157" s="350"/>
      <c r="B157" s="353"/>
      <c r="C157" s="396"/>
      <c r="D157" s="355"/>
      <c r="E157" s="409"/>
      <c r="F157" s="379">
        <f t="shared" si="32"/>
        <v>0</v>
      </c>
      <c r="G157" s="296">
        <v>3</v>
      </c>
      <c r="H157" s="296"/>
      <c r="I157" s="296"/>
      <c r="J157" s="296"/>
      <c r="K157" s="296"/>
      <c r="L157" s="297">
        <f t="shared" si="33"/>
        <v>0</v>
      </c>
      <c r="M157" s="298"/>
      <c r="N157" s="298"/>
      <c r="O157" s="315"/>
      <c r="P157" s="300"/>
      <c r="S157" s="301">
        <f t="shared" si="28"/>
        <v>0</v>
      </c>
      <c r="T157" s="301">
        <f t="shared" si="29"/>
        <v>0</v>
      </c>
      <c r="U157" s="301">
        <f t="shared" si="30"/>
        <v>0</v>
      </c>
      <c r="V157" s="301">
        <f t="shared" si="31"/>
        <v>0</v>
      </c>
    </row>
    <row r="158" spans="1:22" s="301" customFormat="1" x14ac:dyDescent="0.2">
      <c r="A158" s="350"/>
      <c r="B158" s="353"/>
      <c r="C158" s="396"/>
      <c r="D158" s="355"/>
      <c r="E158" s="409"/>
      <c r="F158" s="379"/>
      <c r="G158" s="296"/>
      <c r="H158" s="296"/>
      <c r="I158" s="296"/>
      <c r="J158" s="296"/>
      <c r="K158" s="296"/>
      <c r="L158" s="297"/>
      <c r="M158" s="298"/>
      <c r="N158" s="298"/>
      <c r="O158" s="315"/>
      <c r="P158" s="300"/>
      <c r="S158" s="301">
        <f t="shared" si="28"/>
        <v>0</v>
      </c>
      <c r="T158" s="301">
        <f t="shared" si="29"/>
        <v>0</v>
      </c>
      <c r="U158" s="301">
        <f t="shared" si="30"/>
        <v>0</v>
      </c>
      <c r="V158" s="301">
        <f t="shared" si="31"/>
        <v>0</v>
      </c>
    </row>
    <row r="159" spans="1:22" s="301" customFormat="1" x14ac:dyDescent="0.2">
      <c r="A159" s="350">
        <v>5251</v>
      </c>
      <c r="B159" s="353" t="s">
        <v>684</v>
      </c>
      <c r="C159" s="396" t="s">
        <v>678</v>
      </c>
      <c r="D159" s="355">
        <v>1</v>
      </c>
      <c r="E159" s="409">
        <v>20000</v>
      </c>
      <c r="F159" s="379">
        <f t="shared" si="32"/>
        <v>20000</v>
      </c>
      <c r="G159" s="296"/>
      <c r="H159" s="296"/>
      <c r="I159" s="296"/>
      <c r="J159" s="296"/>
      <c r="K159" s="296"/>
      <c r="L159" s="297">
        <f>E159*(H159+I159+J159+K159)</f>
        <v>0</v>
      </c>
      <c r="M159" s="298"/>
      <c r="N159" s="298"/>
      <c r="O159" s="315"/>
      <c r="P159" s="300"/>
      <c r="S159" s="301">
        <f t="shared" si="28"/>
        <v>0</v>
      </c>
      <c r="T159" s="301">
        <f t="shared" si="29"/>
        <v>0</v>
      </c>
      <c r="U159" s="301">
        <f t="shared" si="30"/>
        <v>0</v>
      </c>
      <c r="V159" s="301">
        <f t="shared" si="31"/>
        <v>0</v>
      </c>
    </row>
    <row r="160" spans="1:22" s="301" customFormat="1" x14ac:dyDescent="0.2">
      <c r="A160" s="319">
        <v>4915</v>
      </c>
      <c r="B160" s="320" t="s">
        <v>352</v>
      </c>
      <c r="C160" s="396" t="s">
        <v>320</v>
      </c>
      <c r="D160" s="355"/>
      <c r="E160" s="409">
        <v>39.17</v>
      </c>
      <c r="F160" s="379">
        <f t="shared" si="21"/>
        <v>0</v>
      </c>
      <c r="G160" s="296">
        <v>54</v>
      </c>
      <c r="H160" s="296"/>
      <c r="I160" s="296"/>
      <c r="J160" s="296"/>
      <c r="K160" s="352">
        <v>54</v>
      </c>
      <c r="L160" s="297">
        <f t="shared" si="33"/>
        <v>2115.1800000000003</v>
      </c>
      <c r="M160" s="298"/>
      <c r="N160" s="298"/>
      <c r="O160" s="315"/>
      <c r="P160" s="300"/>
      <c r="S160" s="301">
        <f t="shared" si="28"/>
        <v>0</v>
      </c>
      <c r="T160" s="301">
        <f t="shared" si="29"/>
        <v>0</v>
      </c>
      <c r="U160" s="301">
        <f t="shared" si="30"/>
        <v>0</v>
      </c>
      <c r="V160" s="301">
        <f t="shared" si="31"/>
        <v>2115.1800000000003</v>
      </c>
    </row>
    <row r="161" spans="1:22" s="301" customFormat="1" x14ac:dyDescent="0.2">
      <c r="A161" s="319">
        <v>4913</v>
      </c>
      <c r="B161" s="320" t="s">
        <v>352</v>
      </c>
      <c r="C161" s="396" t="s">
        <v>318</v>
      </c>
      <c r="D161" s="355"/>
      <c r="E161" s="409">
        <v>62.28</v>
      </c>
      <c r="F161" s="379">
        <f>E161*D161</f>
        <v>0</v>
      </c>
      <c r="G161" s="296">
        <v>84</v>
      </c>
      <c r="H161" s="296"/>
      <c r="I161" s="296"/>
      <c r="J161" s="296"/>
      <c r="K161" s="352">
        <v>84</v>
      </c>
      <c r="L161" s="297">
        <f>E161*(H161+I161+J161+K161)</f>
        <v>5231.5200000000004</v>
      </c>
      <c r="M161" s="298"/>
      <c r="N161" s="298"/>
      <c r="O161" s="315"/>
      <c r="P161" s="300"/>
    </row>
    <row r="162" spans="1:22" s="301" customFormat="1" x14ac:dyDescent="0.2">
      <c r="A162" s="350">
        <v>4882</v>
      </c>
      <c r="B162" s="464" t="s">
        <v>472</v>
      </c>
      <c r="C162" s="473" t="s">
        <v>490</v>
      </c>
      <c r="D162" s="355">
        <v>1</v>
      </c>
      <c r="E162" s="409">
        <v>120000</v>
      </c>
      <c r="F162" s="379">
        <f>E162*D162</f>
        <v>120000</v>
      </c>
      <c r="G162" s="296">
        <v>1</v>
      </c>
      <c r="H162" s="296"/>
      <c r="I162" s="357">
        <v>1</v>
      </c>
      <c r="J162" s="296"/>
      <c r="K162" s="296"/>
      <c r="L162" s="297">
        <f t="shared" ref="L162:L170" si="34">E162*(H162+I162+J162+K162)</f>
        <v>120000</v>
      </c>
      <c r="M162" s="298"/>
      <c r="N162" s="298"/>
      <c r="O162" s="315"/>
      <c r="P162" s="300"/>
      <c r="S162" s="301">
        <f t="shared" si="28"/>
        <v>0</v>
      </c>
      <c r="T162" s="301">
        <f t="shared" si="29"/>
        <v>120000</v>
      </c>
      <c r="U162" s="301">
        <f t="shared" si="30"/>
        <v>0</v>
      </c>
      <c r="V162" s="301">
        <f t="shared" si="31"/>
        <v>0</v>
      </c>
    </row>
    <row r="163" spans="1:22" s="301" customFormat="1" x14ac:dyDescent="0.2">
      <c r="A163" s="350">
        <v>5303</v>
      </c>
      <c r="B163" s="383" t="s">
        <v>472</v>
      </c>
      <c r="C163" s="474" t="s">
        <v>675</v>
      </c>
      <c r="D163" s="355">
        <v>1000</v>
      </c>
      <c r="E163" s="409">
        <v>45</v>
      </c>
      <c r="F163" s="379">
        <f>E163*D163</f>
        <v>45000</v>
      </c>
      <c r="G163" s="296">
        <v>1000</v>
      </c>
      <c r="H163" s="296"/>
      <c r="I163" s="352">
        <v>1000</v>
      </c>
      <c r="J163" s="296"/>
      <c r="K163" s="296"/>
      <c r="L163" s="297">
        <f t="shared" si="34"/>
        <v>45000</v>
      </c>
      <c r="M163" s="298"/>
      <c r="N163" s="298"/>
      <c r="O163" s="315"/>
      <c r="P163" s="300"/>
      <c r="S163" s="301">
        <f t="shared" si="28"/>
        <v>0</v>
      </c>
      <c r="T163" s="301">
        <f t="shared" si="29"/>
        <v>45000</v>
      </c>
      <c r="U163" s="301">
        <f t="shared" si="30"/>
        <v>0</v>
      </c>
      <c r="V163" s="301">
        <f t="shared" si="31"/>
        <v>0</v>
      </c>
    </row>
    <row r="164" spans="1:22" s="301" customFormat="1" x14ac:dyDescent="0.2">
      <c r="A164" s="350">
        <v>4681</v>
      </c>
      <c r="B164" s="353" t="s">
        <v>472</v>
      </c>
      <c r="C164" s="396" t="s">
        <v>239</v>
      </c>
      <c r="D164" s="355">
        <v>1650</v>
      </c>
      <c r="E164" s="409">
        <v>12.5</v>
      </c>
      <c r="F164" s="379">
        <f t="shared" ref="F164:F174" si="35">E164*D164</f>
        <v>20625</v>
      </c>
      <c r="G164" s="296">
        <v>1650</v>
      </c>
      <c r="H164" s="296"/>
      <c r="I164" s="352">
        <v>1650</v>
      </c>
      <c r="J164" s="296"/>
      <c r="K164" s="296"/>
      <c r="L164" s="297">
        <f t="shared" si="34"/>
        <v>20625</v>
      </c>
      <c r="M164" s="298"/>
      <c r="N164" s="298"/>
      <c r="O164" s="315"/>
      <c r="P164" s="300"/>
      <c r="S164" s="301">
        <f t="shared" si="28"/>
        <v>0</v>
      </c>
      <c r="T164" s="301">
        <f t="shared" si="29"/>
        <v>20625</v>
      </c>
      <c r="U164" s="301">
        <f t="shared" si="30"/>
        <v>0</v>
      </c>
      <c r="V164" s="301">
        <f t="shared" si="31"/>
        <v>0</v>
      </c>
    </row>
    <row r="165" spans="1:22" s="301" customFormat="1" x14ac:dyDescent="0.2">
      <c r="A165" s="350">
        <v>4682</v>
      </c>
      <c r="B165" s="353" t="s">
        <v>472</v>
      </c>
      <c r="C165" s="396" t="s">
        <v>273</v>
      </c>
      <c r="D165" s="355">
        <v>560</v>
      </c>
      <c r="E165" s="409">
        <v>12.5</v>
      </c>
      <c r="F165" s="379">
        <f t="shared" si="35"/>
        <v>7000</v>
      </c>
      <c r="G165" s="296">
        <v>560</v>
      </c>
      <c r="H165" s="296"/>
      <c r="I165" s="352">
        <v>560</v>
      </c>
      <c r="J165" s="296"/>
      <c r="K165" s="296"/>
      <c r="L165" s="297">
        <f t="shared" si="34"/>
        <v>7000</v>
      </c>
      <c r="M165" s="298"/>
      <c r="N165" s="298"/>
      <c r="O165" s="315"/>
      <c r="P165" s="300"/>
      <c r="S165" s="301">
        <f t="shared" si="28"/>
        <v>0</v>
      </c>
      <c r="T165" s="301">
        <f t="shared" si="29"/>
        <v>7000</v>
      </c>
      <c r="U165" s="301">
        <f t="shared" si="30"/>
        <v>0</v>
      </c>
      <c r="V165" s="301">
        <f t="shared" si="31"/>
        <v>0</v>
      </c>
    </row>
    <row r="166" spans="1:22" s="301" customFormat="1" x14ac:dyDescent="0.2">
      <c r="A166" s="350"/>
      <c r="B166" s="353"/>
      <c r="C166" s="396"/>
      <c r="D166" s="355"/>
      <c r="E166" s="409"/>
      <c r="F166" s="379">
        <f>E166*D166</f>
        <v>0</v>
      </c>
      <c r="G166" s="296"/>
      <c r="H166" s="296"/>
      <c r="I166" s="296"/>
      <c r="J166" s="296"/>
      <c r="K166" s="296"/>
      <c r="L166" s="297">
        <f>E166*(H166+I166+J166+K166)</f>
        <v>0</v>
      </c>
      <c r="M166" s="298"/>
      <c r="N166" s="298"/>
      <c r="O166" s="315"/>
      <c r="P166" s="300"/>
      <c r="S166" s="301">
        <f t="shared" si="28"/>
        <v>0</v>
      </c>
      <c r="T166" s="301">
        <f t="shared" si="29"/>
        <v>0</v>
      </c>
      <c r="U166" s="301">
        <f t="shared" si="30"/>
        <v>0</v>
      </c>
      <c r="V166" s="301">
        <f t="shared" si="31"/>
        <v>0</v>
      </c>
    </row>
    <row r="167" spans="1:22" s="301" customFormat="1" x14ac:dyDescent="0.2">
      <c r="A167" s="350">
        <v>5306</v>
      </c>
      <c r="B167" s="353" t="s">
        <v>670</v>
      </c>
      <c r="C167" s="396" t="s">
        <v>671</v>
      </c>
      <c r="D167" s="355">
        <v>7</v>
      </c>
      <c r="E167" s="409">
        <v>141</v>
      </c>
      <c r="F167" s="379">
        <f>E167*D167</f>
        <v>987</v>
      </c>
      <c r="G167" s="296">
        <v>7</v>
      </c>
      <c r="H167" s="296"/>
      <c r="I167" s="352">
        <v>7</v>
      </c>
      <c r="J167" s="296"/>
      <c r="K167" s="296"/>
      <c r="L167" s="297">
        <f t="shared" si="34"/>
        <v>987</v>
      </c>
      <c r="M167" s="298">
        <v>43564</v>
      </c>
      <c r="N167" s="476">
        <v>43564</v>
      </c>
      <c r="O167" s="315"/>
      <c r="P167" s="300"/>
      <c r="S167" s="301">
        <f t="shared" si="28"/>
        <v>0</v>
      </c>
      <c r="T167" s="301">
        <f t="shared" si="29"/>
        <v>987</v>
      </c>
      <c r="U167" s="301">
        <f t="shared" si="30"/>
        <v>0</v>
      </c>
      <c r="V167" s="301">
        <f t="shared" si="31"/>
        <v>0</v>
      </c>
    </row>
    <row r="168" spans="1:22" s="301" customFormat="1" x14ac:dyDescent="0.2">
      <c r="A168" s="350" t="s">
        <v>674</v>
      </c>
      <c r="B168" s="353" t="s">
        <v>670</v>
      </c>
      <c r="C168" s="396" t="s">
        <v>671</v>
      </c>
      <c r="D168" s="355">
        <v>4</v>
      </c>
      <c r="E168" s="409">
        <v>141</v>
      </c>
      <c r="F168" s="379">
        <f t="shared" si="35"/>
        <v>564</v>
      </c>
      <c r="G168" s="296">
        <v>4</v>
      </c>
      <c r="H168" s="296"/>
      <c r="I168" s="352">
        <v>4</v>
      </c>
      <c r="J168" s="296"/>
      <c r="K168" s="296"/>
      <c r="L168" s="297">
        <f t="shared" si="34"/>
        <v>564</v>
      </c>
      <c r="M168" s="298"/>
      <c r="N168" s="298"/>
      <c r="O168" s="315"/>
      <c r="P168" s="300"/>
      <c r="S168" s="301">
        <f t="shared" si="28"/>
        <v>0</v>
      </c>
      <c r="T168" s="301">
        <f t="shared" si="29"/>
        <v>564</v>
      </c>
      <c r="U168" s="301">
        <f t="shared" si="30"/>
        <v>0</v>
      </c>
      <c r="V168" s="301">
        <f t="shared" si="31"/>
        <v>0</v>
      </c>
    </row>
    <row r="169" spans="1:22" s="301" customFormat="1" x14ac:dyDescent="0.2">
      <c r="A169" s="350"/>
      <c r="B169" s="353"/>
      <c r="C169" s="396"/>
      <c r="D169" s="355"/>
      <c r="E169" s="409"/>
      <c r="F169" s="379"/>
      <c r="G169" s="296"/>
      <c r="H169" s="296"/>
      <c r="I169" s="296"/>
      <c r="J169" s="296"/>
      <c r="K169" s="296"/>
      <c r="L169" s="297">
        <f>E169*(H169+I169+J169+K169)</f>
        <v>0</v>
      </c>
      <c r="M169" s="298"/>
      <c r="N169" s="298"/>
      <c r="O169" s="315"/>
      <c r="P169" s="300"/>
      <c r="S169" s="301">
        <f t="shared" si="28"/>
        <v>0</v>
      </c>
      <c r="T169" s="301">
        <f t="shared" si="29"/>
        <v>0</v>
      </c>
      <c r="U169" s="301">
        <f t="shared" si="30"/>
        <v>0</v>
      </c>
      <c r="V169" s="301">
        <f t="shared" si="31"/>
        <v>0</v>
      </c>
    </row>
    <row r="170" spans="1:22" s="301" customFormat="1" x14ac:dyDescent="0.2">
      <c r="A170" s="350">
        <v>5322</v>
      </c>
      <c r="B170" s="353" t="s">
        <v>672</v>
      </c>
      <c r="C170" s="396" t="s">
        <v>673</v>
      </c>
      <c r="D170" s="355">
        <v>4</v>
      </c>
      <c r="E170" s="409">
        <v>1100</v>
      </c>
      <c r="F170" s="379">
        <f>E170*D170</f>
        <v>4400</v>
      </c>
      <c r="G170" s="296">
        <v>4</v>
      </c>
      <c r="H170" s="296"/>
      <c r="I170" s="352">
        <v>4</v>
      </c>
      <c r="J170" s="296"/>
      <c r="K170" s="296"/>
      <c r="L170" s="297">
        <f t="shared" si="34"/>
        <v>4400</v>
      </c>
      <c r="M170" s="298">
        <v>43566</v>
      </c>
      <c r="N170" s="476">
        <v>43567</v>
      </c>
      <c r="O170" s="315"/>
      <c r="P170" s="300"/>
      <c r="S170" s="301">
        <f t="shared" si="28"/>
        <v>0</v>
      </c>
      <c r="T170" s="301">
        <f t="shared" si="29"/>
        <v>4400</v>
      </c>
      <c r="U170" s="301">
        <f t="shared" si="30"/>
        <v>0</v>
      </c>
      <c r="V170" s="301">
        <f t="shared" si="31"/>
        <v>0</v>
      </c>
    </row>
    <row r="171" spans="1:22" s="301" customFormat="1" x14ac:dyDescent="0.2">
      <c r="A171" s="350"/>
      <c r="B171" s="353"/>
      <c r="C171" s="396"/>
      <c r="D171" s="355"/>
      <c r="E171" s="409"/>
      <c r="F171" s="379">
        <f>E171*D171</f>
        <v>0</v>
      </c>
      <c r="G171" s="296"/>
      <c r="H171" s="296"/>
      <c r="I171" s="296"/>
      <c r="J171" s="296"/>
      <c r="K171" s="296"/>
      <c r="L171" s="297">
        <f>E171*(H171+I171+J171+K171)</f>
        <v>0</v>
      </c>
      <c r="M171" s="298"/>
      <c r="N171" s="298"/>
      <c r="O171" s="315"/>
      <c r="P171" s="300"/>
      <c r="S171" s="301">
        <f t="shared" si="28"/>
        <v>0</v>
      </c>
      <c r="T171" s="301">
        <f t="shared" si="29"/>
        <v>0</v>
      </c>
      <c r="U171" s="301">
        <f t="shared" si="30"/>
        <v>0</v>
      </c>
      <c r="V171" s="301">
        <f t="shared" si="31"/>
        <v>0</v>
      </c>
    </row>
    <row r="172" spans="1:22" s="301" customFormat="1" x14ac:dyDescent="0.2">
      <c r="A172" s="350">
        <v>5320</v>
      </c>
      <c r="B172" s="353" t="s">
        <v>282</v>
      </c>
      <c r="C172" s="396" t="s">
        <v>283</v>
      </c>
      <c r="D172" s="355">
        <v>1</v>
      </c>
      <c r="E172" s="409">
        <v>650</v>
      </c>
      <c r="F172" s="379">
        <f>E172*D172</f>
        <v>650</v>
      </c>
      <c r="G172" s="296">
        <v>1</v>
      </c>
      <c r="H172" s="296"/>
      <c r="I172" s="296"/>
      <c r="J172" s="352">
        <v>1</v>
      </c>
      <c r="K172" s="296"/>
      <c r="L172" s="297">
        <f>E172*(H172+I172+J172+K172)</f>
        <v>650</v>
      </c>
      <c r="M172" s="298">
        <v>43566</v>
      </c>
      <c r="N172" s="476">
        <v>43570</v>
      </c>
      <c r="O172" s="315"/>
      <c r="P172" s="300"/>
      <c r="S172" s="301">
        <f t="shared" si="28"/>
        <v>0</v>
      </c>
      <c r="T172" s="301">
        <f t="shared" si="29"/>
        <v>0</v>
      </c>
      <c r="U172" s="301">
        <f t="shared" si="30"/>
        <v>650</v>
      </c>
      <c r="V172" s="301">
        <f t="shared" si="31"/>
        <v>0</v>
      </c>
    </row>
    <row r="173" spans="1:22" s="301" customFormat="1" x14ac:dyDescent="0.2">
      <c r="A173" s="350"/>
      <c r="B173" s="353"/>
      <c r="C173" s="396"/>
      <c r="D173" s="355"/>
      <c r="E173" s="409"/>
      <c r="F173" s="379">
        <f>E173*D173</f>
        <v>0</v>
      </c>
      <c r="G173" s="296"/>
      <c r="H173" s="296"/>
      <c r="I173" s="296"/>
      <c r="J173" s="296"/>
      <c r="K173" s="296"/>
      <c r="L173" s="297">
        <f>E173*(H173+I173+J173+K173)</f>
        <v>0</v>
      </c>
      <c r="M173" s="298"/>
      <c r="N173" s="298"/>
      <c r="O173" s="315"/>
      <c r="P173" s="300"/>
      <c r="S173" s="301">
        <f t="shared" si="28"/>
        <v>0</v>
      </c>
      <c r="T173" s="301">
        <f t="shared" si="29"/>
        <v>0</v>
      </c>
      <c r="U173" s="301">
        <f t="shared" si="30"/>
        <v>0</v>
      </c>
      <c r="V173" s="301">
        <f t="shared" si="31"/>
        <v>0</v>
      </c>
    </row>
    <row r="174" spans="1:22" s="301" customFormat="1" x14ac:dyDescent="0.2">
      <c r="A174" s="319">
        <v>5329</v>
      </c>
      <c r="B174" s="353" t="s">
        <v>369</v>
      </c>
      <c r="C174" s="396" t="s">
        <v>249</v>
      </c>
      <c r="D174" s="355">
        <v>4</v>
      </c>
      <c r="E174" s="409">
        <v>2000</v>
      </c>
      <c r="F174" s="379">
        <f t="shared" si="35"/>
        <v>8000</v>
      </c>
      <c r="G174" s="296">
        <v>4</v>
      </c>
      <c r="H174" s="296"/>
      <c r="I174" s="296"/>
      <c r="J174" s="352">
        <v>4</v>
      </c>
      <c r="K174" s="296"/>
      <c r="L174" s="297">
        <f t="shared" ref="L174" si="36">E174*(H174+I174+J174+K174)</f>
        <v>8000</v>
      </c>
      <c r="M174" s="298">
        <v>43566</v>
      </c>
      <c r="N174" s="476">
        <v>43574</v>
      </c>
      <c r="O174" s="315"/>
      <c r="P174" s="300"/>
      <c r="S174" s="301">
        <f t="shared" si="28"/>
        <v>0</v>
      </c>
      <c r="T174" s="301">
        <f t="shared" si="29"/>
        <v>0</v>
      </c>
      <c r="U174" s="301">
        <f t="shared" si="30"/>
        <v>8000</v>
      </c>
      <c r="V174" s="301">
        <f t="shared" si="31"/>
        <v>0</v>
      </c>
    </row>
    <row r="175" spans="1:22" s="301" customFormat="1" x14ac:dyDescent="0.2">
      <c r="A175" s="350"/>
      <c r="B175" s="353"/>
      <c r="C175" s="396"/>
      <c r="D175" s="355"/>
      <c r="E175" s="409"/>
      <c r="F175" s="379">
        <f>E175*D175</f>
        <v>0</v>
      </c>
      <c r="G175" s="296"/>
      <c r="H175" s="296"/>
      <c r="I175" s="296"/>
      <c r="J175" s="296"/>
      <c r="K175" s="296"/>
      <c r="L175" s="297">
        <f>E175*(H175+I175+J175+K175)</f>
        <v>0</v>
      </c>
      <c r="M175" s="298"/>
      <c r="N175" s="298"/>
      <c r="O175" s="315"/>
      <c r="P175" s="300"/>
      <c r="S175" s="301">
        <f t="shared" si="28"/>
        <v>0</v>
      </c>
      <c r="T175" s="301">
        <f t="shared" si="29"/>
        <v>0</v>
      </c>
      <c r="U175" s="301">
        <f t="shared" si="30"/>
        <v>0</v>
      </c>
      <c r="V175" s="301">
        <f t="shared" si="31"/>
        <v>0</v>
      </c>
    </row>
    <row r="176" spans="1:22" s="301" customFormat="1" x14ac:dyDescent="0.2">
      <c r="A176" s="319">
        <v>5321</v>
      </c>
      <c r="B176" s="353" t="s">
        <v>676</v>
      </c>
      <c r="C176" s="396" t="s">
        <v>197</v>
      </c>
      <c r="D176" s="355">
        <v>1</v>
      </c>
      <c r="E176" s="409">
        <v>15800</v>
      </c>
      <c r="F176" s="379">
        <f t="shared" ref="F176:F180" si="37">E176*D176</f>
        <v>15800</v>
      </c>
      <c r="G176" s="296">
        <v>1</v>
      </c>
      <c r="H176" s="296"/>
      <c r="I176" s="296"/>
      <c r="J176" s="352">
        <v>1</v>
      </c>
      <c r="K176" s="296"/>
      <c r="L176" s="297">
        <f t="shared" ref="L176:L180" si="38">E176*(H176+I176+J176+K176)</f>
        <v>15800</v>
      </c>
      <c r="M176" s="298">
        <v>43566</v>
      </c>
      <c r="N176" s="476">
        <v>43571</v>
      </c>
      <c r="O176" s="315"/>
      <c r="P176" s="300"/>
      <c r="S176" s="301">
        <f t="shared" si="28"/>
        <v>0</v>
      </c>
      <c r="T176" s="301">
        <f t="shared" si="29"/>
        <v>0</v>
      </c>
      <c r="U176" s="301">
        <f t="shared" si="30"/>
        <v>15800</v>
      </c>
      <c r="V176" s="301">
        <f t="shared" si="31"/>
        <v>0</v>
      </c>
    </row>
    <row r="177" spans="1:22" s="301" customFormat="1" x14ac:dyDescent="0.2">
      <c r="A177" s="350"/>
      <c r="B177" s="353"/>
      <c r="C177" s="396"/>
      <c r="D177" s="355"/>
      <c r="E177" s="409"/>
      <c r="F177" s="379">
        <f>E177*D177</f>
        <v>0</v>
      </c>
      <c r="G177" s="296"/>
      <c r="H177" s="296"/>
      <c r="I177" s="296"/>
      <c r="J177" s="296"/>
      <c r="K177" s="296"/>
      <c r="L177" s="297">
        <f>E177*(H177+I177+J177+K177)</f>
        <v>0</v>
      </c>
      <c r="M177" s="298"/>
      <c r="N177" s="298"/>
      <c r="O177" s="315"/>
      <c r="P177" s="300"/>
      <c r="S177" s="301">
        <f t="shared" si="28"/>
        <v>0</v>
      </c>
      <c r="T177" s="301">
        <f t="shared" si="29"/>
        <v>0</v>
      </c>
      <c r="U177" s="301">
        <f t="shared" si="30"/>
        <v>0</v>
      </c>
      <c r="V177" s="301">
        <f t="shared" si="31"/>
        <v>0</v>
      </c>
    </row>
    <row r="178" spans="1:22" s="301" customFormat="1" x14ac:dyDescent="0.2">
      <c r="A178" s="350">
        <v>5335</v>
      </c>
      <c r="B178" s="353" t="s">
        <v>679</v>
      </c>
      <c r="C178" s="396" t="s">
        <v>680</v>
      </c>
      <c r="D178" s="355">
        <v>1</v>
      </c>
      <c r="E178" s="409">
        <v>2080</v>
      </c>
      <c r="F178" s="379">
        <f t="shared" si="37"/>
        <v>2080</v>
      </c>
      <c r="G178" s="296">
        <v>1</v>
      </c>
      <c r="H178" s="296"/>
      <c r="I178" s="296"/>
      <c r="J178" s="296"/>
      <c r="K178" s="357">
        <v>1</v>
      </c>
      <c r="L178" s="297">
        <f t="shared" si="38"/>
        <v>2080</v>
      </c>
      <c r="M178" s="298">
        <v>43572</v>
      </c>
      <c r="N178" s="476">
        <v>43574</v>
      </c>
      <c r="O178" s="315"/>
      <c r="P178" s="300"/>
      <c r="S178" s="301">
        <f t="shared" si="28"/>
        <v>0</v>
      </c>
      <c r="T178" s="301">
        <f t="shared" si="29"/>
        <v>0</v>
      </c>
      <c r="U178" s="301">
        <f t="shared" si="30"/>
        <v>0</v>
      </c>
      <c r="V178" s="301">
        <f t="shared" si="31"/>
        <v>2080</v>
      </c>
    </row>
    <row r="179" spans="1:22" s="301" customFormat="1" x14ac:dyDescent="0.2">
      <c r="A179" s="350"/>
      <c r="B179" s="353"/>
      <c r="C179" s="396"/>
      <c r="D179" s="355"/>
      <c r="E179" s="409"/>
      <c r="F179" s="379">
        <f>E179*D179</f>
        <v>0</v>
      </c>
      <c r="G179" s="296"/>
      <c r="H179" s="296"/>
      <c r="I179" s="296"/>
      <c r="J179" s="296"/>
      <c r="K179" s="296"/>
      <c r="L179" s="297">
        <f>E179*(H179+I179+J179+K179)</f>
        <v>0</v>
      </c>
      <c r="M179" s="298"/>
      <c r="N179" s="298"/>
      <c r="O179" s="315"/>
      <c r="P179" s="300"/>
      <c r="S179" s="301">
        <f t="shared" si="28"/>
        <v>0</v>
      </c>
      <c r="T179" s="301">
        <f t="shared" si="29"/>
        <v>0</v>
      </c>
      <c r="U179" s="301">
        <f t="shared" si="30"/>
        <v>0</v>
      </c>
      <c r="V179" s="301">
        <f t="shared" si="31"/>
        <v>0</v>
      </c>
    </row>
    <row r="180" spans="1:22" s="301" customFormat="1" x14ac:dyDescent="0.2">
      <c r="A180" s="350">
        <v>5349</v>
      </c>
      <c r="B180" s="353" t="s">
        <v>681</v>
      </c>
      <c r="C180" s="396" t="s">
        <v>682</v>
      </c>
      <c r="D180" s="355">
        <v>8</v>
      </c>
      <c r="E180" s="409">
        <v>85</v>
      </c>
      <c r="F180" s="379">
        <f t="shared" si="37"/>
        <v>680</v>
      </c>
      <c r="G180" s="296">
        <v>8</v>
      </c>
      <c r="H180" s="296"/>
      <c r="I180" s="296"/>
      <c r="J180" s="352">
        <v>8</v>
      </c>
      <c r="K180" s="296"/>
      <c r="L180" s="297">
        <f t="shared" si="38"/>
        <v>680</v>
      </c>
      <c r="M180" s="298">
        <v>43572</v>
      </c>
      <c r="N180" s="476">
        <v>43574</v>
      </c>
      <c r="O180" s="315"/>
      <c r="P180" s="300"/>
      <c r="S180" s="301">
        <f t="shared" si="28"/>
        <v>0</v>
      </c>
      <c r="T180" s="301">
        <f t="shared" si="29"/>
        <v>0</v>
      </c>
      <c r="U180" s="301">
        <f t="shared" si="30"/>
        <v>680</v>
      </c>
      <c r="V180" s="301">
        <f t="shared" si="31"/>
        <v>0</v>
      </c>
    </row>
    <row r="181" spans="1:22" s="301" customFormat="1" x14ac:dyDescent="0.2">
      <c r="A181" s="319"/>
      <c r="B181" s="353"/>
      <c r="C181" s="396"/>
      <c r="D181" s="355"/>
      <c r="E181" s="409"/>
      <c r="F181" s="379">
        <f t="shared" ref="F181:F226" si="39">E181*D181</f>
        <v>0</v>
      </c>
      <c r="G181" s="296"/>
      <c r="H181" s="296"/>
      <c r="I181" s="296"/>
      <c r="J181" s="296"/>
      <c r="K181" s="296"/>
      <c r="L181" s="297">
        <f t="shared" ref="L181:L195" si="40">E181*(H181+I181+J181+K181)</f>
        <v>0</v>
      </c>
      <c r="M181" s="298"/>
      <c r="N181" s="298"/>
      <c r="O181" s="315"/>
      <c r="P181" s="300"/>
      <c r="S181" s="301">
        <f t="shared" si="28"/>
        <v>0</v>
      </c>
      <c r="T181" s="301">
        <f t="shared" si="29"/>
        <v>0</v>
      </c>
      <c r="U181" s="301">
        <f t="shared" si="30"/>
        <v>0</v>
      </c>
      <c r="V181" s="301">
        <f t="shared" si="31"/>
        <v>0</v>
      </c>
    </row>
    <row r="182" spans="1:22" s="301" customFormat="1" x14ac:dyDescent="0.2">
      <c r="A182" s="319">
        <v>5379</v>
      </c>
      <c r="B182" s="353" t="s">
        <v>297</v>
      </c>
      <c r="C182" s="396" t="s">
        <v>707</v>
      </c>
      <c r="D182" s="355">
        <v>1</v>
      </c>
      <c r="E182" s="409">
        <v>5300</v>
      </c>
      <c r="F182" s="379">
        <f t="shared" si="39"/>
        <v>5300</v>
      </c>
      <c r="G182" s="296">
        <v>1</v>
      </c>
      <c r="H182" s="296"/>
      <c r="I182" s="296"/>
      <c r="J182" s="296"/>
      <c r="K182" s="352">
        <v>1</v>
      </c>
      <c r="L182" s="297">
        <f t="shared" si="40"/>
        <v>5300</v>
      </c>
      <c r="M182" s="298"/>
      <c r="N182" s="476"/>
      <c r="O182" s="315"/>
      <c r="P182" s="300"/>
      <c r="S182" s="301">
        <f t="shared" si="28"/>
        <v>0</v>
      </c>
      <c r="T182" s="301">
        <f t="shared" si="29"/>
        <v>0</v>
      </c>
      <c r="U182" s="301">
        <f t="shared" si="30"/>
        <v>0</v>
      </c>
      <c r="V182" s="301">
        <f t="shared" si="31"/>
        <v>5300</v>
      </c>
    </row>
    <row r="183" spans="1:22" s="301" customFormat="1" x14ac:dyDescent="0.2">
      <c r="A183" s="350"/>
      <c r="B183" s="353"/>
      <c r="C183" s="396"/>
      <c r="D183" s="355"/>
      <c r="E183" s="409"/>
      <c r="F183" s="379">
        <f t="shared" si="39"/>
        <v>0</v>
      </c>
      <c r="G183" s="296"/>
      <c r="H183" s="296"/>
      <c r="I183" s="296"/>
      <c r="J183" s="296"/>
      <c r="K183" s="296"/>
      <c r="L183" s="297">
        <f t="shared" si="40"/>
        <v>0</v>
      </c>
      <c r="M183" s="298"/>
      <c r="N183" s="298"/>
      <c r="O183" s="315"/>
      <c r="P183" s="300"/>
      <c r="S183" s="301">
        <f t="shared" si="28"/>
        <v>0</v>
      </c>
      <c r="T183" s="301">
        <f t="shared" si="29"/>
        <v>0</v>
      </c>
      <c r="U183" s="301">
        <f t="shared" si="30"/>
        <v>0</v>
      </c>
      <c r="V183" s="301">
        <f t="shared" si="31"/>
        <v>0</v>
      </c>
    </row>
    <row r="184" spans="1:22" s="301" customFormat="1" x14ac:dyDescent="0.2">
      <c r="A184" s="350">
        <v>5381</v>
      </c>
      <c r="B184" s="353" t="s">
        <v>714</v>
      </c>
      <c r="C184" s="396" t="s">
        <v>715</v>
      </c>
      <c r="D184" s="355">
        <v>10</v>
      </c>
      <c r="E184" s="409">
        <v>373</v>
      </c>
      <c r="F184" s="379"/>
      <c r="G184" s="296"/>
      <c r="H184" s="296"/>
      <c r="I184" s="296"/>
      <c r="J184" s="296"/>
      <c r="K184" s="296"/>
      <c r="L184" s="297">
        <f t="shared" si="40"/>
        <v>0</v>
      </c>
      <c r="M184" s="298">
        <v>43579</v>
      </c>
      <c r="N184" s="298">
        <v>43602</v>
      </c>
      <c r="O184" s="315"/>
      <c r="P184" s="300"/>
      <c r="S184" s="301">
        <f t="shared" si="28"/>
        <v>0</v>
      </c>
      <c r="T184" s="301">
        <f t="shared" si="29"/>
        <v>0</v>
      </c>
      <c r="U184" s="301">
        <f t="shared" si="30"/>
        <v>0</v>
      </c>
      <c r="V184" s="301">
        <f t="shared" si="31"/>
        <v>0</v>
      </c>
    </row>
    <row r="185" spans="1:22" s="301" customFormat="1" x14ac:dyDescent="0.2">
      <c r="A185" s="350">
        <v>5382</v>
      </c>
      <c r="B185" s="353" t="s">
        <v>714</v>
      </c>
      <c r="C185" s="396" t="s">
        <v>716</v>
      </c>
      <c r="D185" s="355">
        <v>10</v>
      </c>
      <c r="E185" s="409">
        <v>604</v>
      </c>
      <c r="F185" s="379"/>
      <c r="G185" s="296"/>
      <c r="H185" s="296"/>
      <c r="I185" s="296"/>
      <c r="J185" s="296"/>
      <c r="K185" s="296"/>
      <c r="L185" s="297">
        <f t="shared" si="40"/>
        <v>0</v>
      </c>
      <c r="M185" s="298">
        <v>43579</v>
      </c>
      <c r="N185" s="298">
        <v>43602</v>
      </c>
      <c r="O185" s="315"/>
      <c r="P185" s="300"/>
      <c r="S185" s="301">
        <f t="shared" si="28"/>
        <v>0</v>
      </c>
      <c r="T185" s="301">
        <f t="shared" si="29"/>
        <v>0</v>
      </c>
      <c r="U185" s="301">
        <f t="shared" si="30"/>
        <v>0</v>
      </c>
      <c r="V185" s="301">
        <f t="shared" si="31"/>
        <v>0</v>
      </c>
    </row>
    <row r="186" spans="1:22" s="301" customFormat="1" x14ac:dyDescent="0.2">
      <c r="A186" s="350">
        <v>5383</v>
      </c>
      <c r="B186" s="353" t="s">
        <v>714</v>
      </c>
      <c r="C186" s="396" t="s">
        <v>717</v>
      </c>
      <c r="D186" s="355">
        <v>30</v>
      </c>
      <c r="E186" s="409">
        <v>80</v>
      </c>
      <c r="F186" s="379"/>
      <c r="G186" s="296"/>
      <c r="H186" s="296"/>
      <c r="I186" s="296"/>
      <c r="J186" s="296"/>
      <c r="K186" s="296"/>
      <c r="L186" s="297">
        <f t="shared" si="40"/>
        <v>0</v>
      </c>
      <c r="M186" s="298">
        <v>43579</v>
      </c>
      <c r="N186" s="298">
        <v>43602</v>
      </c>
      <c r="O186" s="315"/>
      <c r="P186" s="300"/>
      <c r="S186" s="301">
        <f t="shared" si="28"/>
        <v>0</v>
      </c>
      <c r="T186" s="301">
        <f t="shared" si="29"/>
        <v>0</v>
      </c>
      <c r="U186" s="301">
        <f t="shared" si="30"/>
        <v>0</v>
      </c>
      <c r="V186" s="301">
        <f t="shared" si="31"/>
        <v>0</v>
      </c>
    </row>
    <row r="187" spans="1:22" s="301" customFormat="1" x14ac:dyDescent="0.2">
      <c r="A187" s="350"/>
      <c r="B187" s="353"/>
      <c r="C187" s="396"/>
      <c r="D187" s="355"/>
      <c r="E187" s="409"/>
      <c r="F187" s="379">
        <f t="shared" si="39"/>
        <v>0</v>
      </c>
      <c r="G187" s="296"/>
      <c r="H187" s="296"/>
      <c r="I187" s="296"/>
      <c r="J187" s="296"/>
      <c r="K187" s="296"/>
      <c r="L187" s="297">
        <f t="shared" si="40"/>
        <v>0</v>
      </c>
      <c r="M187" s="298"/>
      <c r="N187" s="298"/>
      <c r="O187" s="315"/>
      <c r="P187" s="300"/>
      <c r="S187" s="301">
        <f t="shared" si="28"/>
        <v>0</v>
      </c>
      <c r="T187" s="301">
        <f t="shared" si="29"/>
        <v>0</v>
      </c>
      <c r="U187" s="301">
        <f t="shared" si="30"/>
        <v>0</v>
      </c>
      <c r="V187" s="301">
        <f t="shared" si="31"/>
        <v>0</v>
      </c>
    </row>
    <row r="188" spans="1:22" s="301" customFormat="1" x14ac:dyDescent="0.2">
      <c r="A188" s="491">
        <v>5385</v>
      </c>
      <c r="B188" s="383" t="s">
        <v>452</v>
      </c>
      <c r="C188" s="398" t="s">
        <v>719</v>
      </c>
      <c r="D188" s="389">
        <v>1</v>
      </c>
      <c r="E188" s="409">
        <v>2600</v>
      </c>
      <c r="F188" s="379">
        <f>E188*D188</f>
        <v>2600</v>
      </c>
      <c r="G188" s="296">
        <v>1</v>
      </c>
      <c r="H188" s="296"/>
      <c r="I188" s="296"/>
      <c r="J188" s="296"/>
      <c r="K188" s="352">
        <v>1</v>
      </c>
      <c r="L188" s="297">
        <f>E188*(H188+I188+J188+K188)</f>
        <v>2600</v>
      </c>
      <c r="M188" s="298"/>
      <c r="N188" s="298"/>
      <c r="O188" s="315"/>
      <c r="P188" s="300"/>
      <c r="S188" s="301">
        <f t="shared" si="28"/>
        <v>0</v>
      </c>
      <c r="T188" s="301">
        <f t="shared" si="29"/>
        <v>0</v>
      </c>
      <c r="U188" s="301">
        <f t="shared" si="30"/>
        <v>0</v>
      </c>
      <c r="V188" s="301">
        <f t="shared" si="31"/>
        <v>2600</v>
      </c>
    </row>
    <row r="189" spans="1:22" s="301" customFormat="1" x14ac:dyDescent="0.2">
      <c r="A189" s="350"/>
      <c r="B189" s="353"/>
      <c r="C189" s="396"/>
      <c r="D189" s="355"/>
      <c r="E189" s="409"/>
      <c r="F189" s="379">
        <f>E189*D189</f>
        <v>0</v>
      </c>
      <c r="G189" s="296"/>
      <c r="H189" s="296"/>
      <c r="I189" s="296"/>
      <c r="J189" s="296"/>
      <c r="K189" s="296"/>
      <c r="L189" s="297">
        <f>E189*(H189+I189+J189+K189)</f>
        <v>0</v>
      </c>
      <c r="M189" s="298"/>
      <c r="N189" s="298"/>
      <c r="O189" s="315"/>
      <c r="P189" s="300"/>
      <c r="S189" s="301">
        <f t="shared" si="28"/>
        <v>0</v>
      </c>
      <c r="T189" s="301">
        <f t="shared" si="29"/>
        <v>0</v>
      </c>
      <c r="U189" s="301">
        <f t="shared" si="30"/>
        <v>0</v>
      </c>
      <c r="V189" s="301">
        <f t="shared" si="31"/>
        <v>0</v>
      </c>
    </row>
    <row r="190" spans="1:22" s="301" customFormat="1" x14ac:dyDescent="0.2">
      <c r="A190" s="492">
        <v>5386</v>
      </c>
      <c r="B190" s="383" t="s">
        <v>555</v>
      </c>
      <c r="C190" s="398" t="s">
        <v>525</v>
      </c>
      <c r="D190" s="389">
        <v>1</v>
      </c>
      <c r="E190" s="409">
        <v>310</v>
      </c>
      <c r="F190" s="379">
        <f>E190*D190</f>
        <v>310</v>
      </c>
      <c r="G190" s="296">
        <v>1</v>
      </c>
      <c r="H190" s="296"/>
      <c r="I190" s="296"/>
      <c r="J190" s="296"/>
      <c r="K190" s="357">
        <v>1</v>
      </c>
      <c r="L190" s="297">
        <f>E190*(H190+I190+J190+K190)</f>
        <v>310</v>
      </c>
      <c r="M190" s="298"/>
      <c r="N190" s="298"/>
      <c r="O190" s="315"/>
      <c r="P190" s="300"/>
      <c r="S190" s="301">
        <f t="shared" si="28"/>
        <v>0</v>
      </c>
      <c r="T190" s="301">
        <f t="shared" si="29"/>
        <v>0</v>
      </c>
      <c r="U190" s="301">
        <f t="shared" si="30"/>
        <v>0</v>
      </c>
      <c r="V190" s="301">
        <f t="shared" si="31"/>
        <v>310</v>
      </c>
    </row>
    <row r="191" spans="1:22" s="301" customFormat="1" x14ac:dyDescent="0.2">
      <c r="A191" s="350"/>
      <c r="B191" s="353"/>
      <c r="C191" s="396"/>
      <c r="D191" s="355"/>
      <c r="E191" s="409"/>
      <c r="F191" s="379">
        <f t="shared" si="39"/>
        <v>0</v>
      </c>
      <c r="G191" s="296"/>
      <c r="H191" s="296"/>
      <c r="I191" s="296"/>
      <c r="J191" s="296"/>
      <c r="K191" s="296"/>
      <c r="L191" s="297">
        <f t="shared" si="40"/>
        <v>0</v>
      </c>
      <c r="M191" s="298"/>
      <c r="N191" s="298"/>
      <c r="O191" s="315"/>
      <c r="P191" s="300"/>
      <c r="S191" s="301">
        <f t="shared" si="28"/>
        <v>0</v>
      </c>
      <c r="T191" s="301">
        <f t="shared" si="29"/>
        <v>0</v>
      </c>
      <c r="U191" s="301">
        <f t="shared" si="30"/>
        <v>0</v>
      </c>
      <c r="V191" s="301">
        <f t="shared" si="31"/>
        <v>0</v>
      </c>
    </row>
    <row r="192" spans="1:22" s="301" customFormat="1" x14ac:dyDescent="0.2">
      <c r="A192" s="350">
        <v>5273</v>
      </c>
      <c r="B192" s="353" t="s">
        <v>593</v>
      </c>
      <c r="C192" s="396" t="s">
        <v>721</v>
      </c>
      <c r="D192" s="355">
        <v>5</v>
      </c>
      <c r="E192" s="409">
        <v>1200</v>
      </c>
      <c r="F192" s="379"/>
      <c r="G192" s="296"/>
      <c r="H192" s="296"/>
      <c r="I192" s="296"/>
      <c r="J192" s="296"/>
      <c r="K192" s="296"/>
      <c r="L192" s="297">
        <f t="shared" si="40"/>
        <v>0</v>
      </c>
      <c r="M192" s="298">
        <v>43581</v>
      </c>
      <c r="N192" s="298">
        <v>43602</v>
      </c>
      <c r="O192" s="315"/>
      <c r="P192" s="300"/>
      <c r="S192" s="301">
        <f t="shared" si="28"/>
        <v>0</v>
      </c>
      <c r="T192" s="301">
        <f t="shared" si="29"/>
        <v>0</v>
      </c>
      <c r="U192" s="301">
        <f t="shared" si="30"/>
        <v>0</v>
      </c>
      <c r="V192" s="301">
        <f t="shared" si="31"/>
        <v>0</v>
      </c>
    </row>
    <row r="193" spans="1:22" s="301" customFormat="1" x14ac:dyDescent="0.2">
      <c r="A193" s="350"/>
      <c r="B193" s="353"/>
      <c r="C193" s="396"/>
      <c r="D193" s="355"/>
      <c r="E193" s="409"/>
      <c r="F193" s="379">
        <f t="shared" si="39"/>
        <v>0</v>
      </c>
      <c r="G193" s="296"/>
      <c r="H193" s="296"/>
      <c r="I193" s="296"/>
      <c r="J193" s="296"/>
      <c r="K193" s="296"/>
      <c r="L193" s="297">
        <f t="shared" si="40"/>
        <v>0</v>
      </c>
      <c r="M193" s="298"/>
      <c r="N193" s="298"/>
      <c r="O193" s="315"/>
      <c r="P193" s="300"/>
      <c r="S193" s="301">
        <f t="shared" si="28"/>
        <v>0</v>
      </c>
      <c r="T193" s="301">
        <f t="shared" si="29"/>
        <v>0</v>
      </c>
      <c r="U193" s="301">
        <f t="shared" si="30"/>
        <v>0</v>
      </c>
      <c r="V193" s="301">
        <f t="shared" si="31"/>
        <v>0</v>
      </c>
    </row>
    <row r="194" spans="1:22" s="301" customFormat="1" x14ac:dyDescent="0.2">
      <c r="A194" s="350">
        <v>5351</v>
      </c>
      <c r="B194" s="353" t="s">
        <v>728</v>
      </c>
      <c r="C194" s="396" t="s">
        <v>727</v>
      </c>
      <c r="D194" s="355">
        <v>15</v>
      </c>
      <c r="E194" s="409">
        <v>1400</v>
      </c>
      <c r="F194" s="379">
        <f>E194*D194</f>
        <v>21000</v>
      </c>
      <c r="G194" s="296"/>
      <c r="H194" s="296"/>
      <c r="I194" s="296"/>
      <c r="J194" s="296"/>
      <c r="K194" s="296"/>
      <c r="L194" s="297">
        <f>E194*(H194+I194+J194+K194)</f>
        <v>0</v>
      </c>
      <c r="M194" s="298"/>
      <c r="N194" s="298"/>
      <c r="O194" s="315"/>
      <c r="P194" s="300"/>
      <c r="S194" s="301">
        <f>H194*E194</f>
        <v>0</v>
      </c>
      <c r="T194" s="301">
        <f>I194*E194</f>
        <v>0</v>
      </c>
      <c r="U194" s="301">
        <f>J194*E194</f>
        <v>0</v>
      </c>
      <c r="V194" s="301">
        <f>K194*E194</f>
        <v>0</v>
      </c>
    </row>
    <row r="195" spans="1:22" s="301" customFormat="1" x14ac:dyDescent="0.2">
      <c r="A195" s="350"/>
      <c r="B195" s="353"/>
      <c r="C195" s="396"/>
      <c r="D195" s="355"/>
      <c r="E195" s="409"/>
      <c r="F195" s="379">
        <f t="shared" si="39"/>
        <v>0</v>
      </c>
      <c r="G195" s="296"/>
      <c r="H195" s="296"/>
      <c r="I195" s="296"/>
      <c r="J195" s="296"/>
      <c r="K195" s="296"/>
      <c r="L195" s="297">
        <f t="shared" si="40"/>
        <v>0</v>
      </c>
      <c r="M195" s="298"/>
      <c r="N195" s="298"/>
      <c r="O195" s="315"/>
      <c r="P195" s="300"/>
      <c r="S195" s="301">
        <f t="shared" si="28"/>
        <v>0</v>
      </c>
      <c r="T195" s="301">
        <f t="shared" si="29"/>
        <v>0</v>
      </c>
      <c r="U195" s="301">
        <f t="shared" si="30"/>
        <v>0</v>
      </c>
      <c r="V195" s="301">
        <f t="shared" si="31"/>
        <v>0</v>
      </c>
    </row>
    <row r="196" spans="1:22" s="301" customFormat="1" x14ac:dyDescent="0.2">
      <c r="A196" s="350">
        <v>4960</v>
      </c>
      <c r="B196" s="353" t="s">
        <v>477</v>
      </c>
      <c r="C196" s="396" t="s">
        <v>729</v>
      </c>
      <c r="D196" s="355">
        <v>12</v>
      </c>
      <c r="E196" s="409">
        <v>1380</v>
      </c>
      <c r="F196" s="379"/>
      <c r="G196" s="296"/>
      <c r="H196" s="296"/>
      <c r="I196" s="296"/>
      <c r="J196" s="296"/>
      <c r="K196" s="296"/>
      <c r="L196" s="297">
        <f t="shared" ref="L196:L227" si="41">E196*(H196+I196+J196+K196)</f>
        <v>0</v>
      </c>
      <c r="M196" s="298">
        <v>43581</v>
      </c>
      <c r="N196" s="298">
        <v>43615</v>
      </c>
      <c r="O196" s="315"/>
      <c r="P196" s="300"/>
    </row>
    <row r="197" spans="1:22" s="301" customFormat="1" x14ac:dyDescent="0.2">
      <c r="A197" s="350">
        <v>4961</v>
      </c>
      <c r="B197" s="353" t="s">
        <v>477</v>
      </c>
      <c r="C197" s="396" t="s">
        <v>730</v>
      </c>
      <c r="D197" s="355">
        <v>6</v>
      </c>
      <c r="E197" s="409">
        <v>1380</v>
      </c>
      <c r="F197" s="379"/>
      <c r="G197" s="296"/>
      <c r="H197" s="296"/>
      <c r="I197" s="296"/>
      <c r="J197" s="296"/>
      <c r="K197" s="296"/>
      <c r="L197" s="297">
        <f t="shared" si="41"/>
        <v>0</v>
      </c>
      <c r="M197" s="298">
        <v>43581</v>
      </c>
      <c r="N197" s="298">
        <v>43615</v>
      </c>
      <c r="O197" s="315"/>
      <c r="P197" s="300"/>
    </row>
    <row r="198" spans="1:22" s="301" customFormat="1" x14ac:dyDescent="0.2">
      <c r="A198" s="350">
        <v>4962</v>
      </c>
      <c r="B198" s="353" t="s">
        <v>477</v>
      </c>
      <c r="C198" s="396" t="s">
        <v>731</v>
      </c>
      <c r="D198" s="355">
        <v>6</v>
      </c>
      <c r="E198" s="409">
        <v>1210</v>
      </c>
      <c r="F198" s="379"/>
      <c r="G198" s="296"/>
      <c r="H198" s="296"/>
      <c r="I198" s="296"/>
      <c r="J198" s="296"/>
      <c r="K198" s="296"/>
      <c r="L198" s="297">
        <f t="shared" si="41"/>
        <v>0</v>
      </c>
      <c r="M198" s="298">
        <v>43581</v>
      </c>
      <c r="N198" s="298">
        <v>43615</v>
      </c>
      <c r="O198" s="315"/>
      <c r="P198" s="300"/>
    </row>
    <row r="199" spans="1:22" s="301" customFormat="1" x14ac:dyDescent="0.2">
      <c r="A199" s="350">
        <v>4963</v>
      </c>
      <c r="B199" s="353" t="s">
        <v>477</v>
      </c>
      <c r="C199" s="396" t="s">
        <v>732</v>
      </c>
      <c r="D199" s="355">
        <v>24</v>
      </c>
      <c r="E199" s="409">
        <v>2000</v>
      </c>
      <c r="F199" s="379"/>
      <c r="G199" s="296"/>
      <c r="H199" s="296"/>
      <c r="I199" s="296"/>
      <c r="J199" s="296"/>
      <c r="K199" s="296"/>
      <c r="L199" s="297">
        <f t="shared" si="41"/>
        <v>0</v>
      </c>
      <c r="M199" s="298">
        <v>43581</v>
      </c>
      <c r="N199" s="298">
        <v>43615</v>
      </c>
      <c r="O199" s="315"/>
      <c r="P199" s="300"/>
    </row>
    <row r="200" spans="1:22" s="301" customFormat="1" x14ac:dyDescent="0.2">
      <c r="A200" s="350">
        <v>4964</v>
      </c>
      <c r="B200" s="353" t="s">
        <v>477</v>
      </c>
      <c r="C200" s="396" t="s">
        <v>733</v>
      </c>
      <c r="D200" s="355">
        <v>8</v>
      </c>
      <c r="E200" s="409">
        <v>3500</v>
      </c>
      <c r="F200" s="379"/>
      <c r="G200" s="296"/>
      <c r="H200" s="296"/>
      <c r="I200" s="296"/>
      <c r="J200" s="296"/>
      <c r="K200" s="296"/>
      <c r="L200" s="297">
        <f t="shared" ref="L200:L225" si="42">E200*(H200+I200+J200+K200)</f>
        <v>0</v>
      </c>
      <c r="M200" s="298">
        <v>43581</v>
      </c>
      <c r="N200" s="298">
        <v>43615</v>
      </c>
      <c r="O200" s="315"/>
      <c r="P200" s="300"/>
    </row>
    <row r="201" spans="1:22" s="301" customFormat="1" x14ac:dyDescent="0.2">
      <c r="A201" s="350">
        <v>4965</v>
      </c>
      <c r="B201" s="353" t="s">
        <v>477</v>
      </c>
      <c r="C201" s="396" t="s">
        <v>734</v>
      </c>
      <c r="D201" s="355">
        <v>24</v>
      </c>
      <c r="E201" s="409">
        <v>3300</v>
      </c>
      <c r="F201" s="379"/>
      <c r="G201" s="296"/>
      <c r="H201" s="296"/>
      <c r="I201" s="296"/>
      <c r="J201" s="296"/>
      <c r="K201" s="296"/>
      <c r="L201" s="297">
        <f t="shared" si="42"/>
        <v>0</v>
      </c>
      <c r="M201" s="298">
        <v>43581</v>
      </c>
      <c r="N201" s="298">
        <v>43615</v>
      </c>
      <c r="O201" s="315"/>
      <c r="P201" s="300"/>
    </row>
    <row r="202" spans="1:22" s="301" customFormat="1" x14ac:dyDescent="0.2">
      <c r="A202" s="350">
        <v>4966</v>
      </c>
      <c r="B202" s="353" t="s">
        <v>475</v>
      </c>
      <c r="C202" s="396" t="s">
        <v>735</v>
      </c>
      <c r="D202" s="355">
        <v>12</v>
      </c>
      <c r="E202" s="409">
        <v>870</v>
      </c>
      <c r="F202" s="379"/>
      <c r="G202" s="296"/>
      <c r="H202" s="296"/>
      <c r="I202" s="296"/>
      <c r="J202" s="296"/>
      <c r="K202" s="296"/>
      <c r="L202" s="297">
        <f t="shared" si="42"/>
        <v>0</v>
      </c>
      <c r="M202" s="298">
        <v>43581</v>
      </c>
      <c r="N202" s="298">
        <v>43615</v>
      </c>
      <c r="O202" s="315"/>
      <c r="P202" s="300"/>
    </row>
    <row r="203" spans="1:22" s="301" customFormat="1" x14ac:dyDescent="0.2">
      <c r="A203" s="350">
        <v>4967</v>
      </c>
      <c r="B203" s="353" t="s">
        <v>475</v>
      </c>
      <c r="C203" s="396" t="s">
        <v>736</v>
      </c>
      <c r="D203" s="355">
        <v>12</v>
      </c>
      <c r="E203" s="409">
        <v>1560</v>
      </c>
      <c r="F203" s="379"/>
      <c r="G203" s="296"/>
      <c r="H203" s="296"/>
      <c r="I203" s="296"/>
      <c r="J203" s="296"/>
      <c r="K203" s="296"/>
      <c r="L203" s="297">
        <f t="shared" si="42"/>
        <v>0</v>
      </c>
      <c r="M203" s="298">
        <v>43581</v>
      </c>
      <c r="N203" s="298">
        <v>43615</v>
      </c>
      <c r="O203" s="315"/>
      <c r="P203" s="300"/>
    </row>
    <row r="204" spans="1:22" s="301" customFormat="1" x14ac:dyDescent="0.2">
      <c r="A204" s="350">
        <v>4968</v>
      </c>
      <c r="B204" s="353" t="s">
        <v>477</v>
      </c>
      <c r="C204" s="396" t="s">
        <v>737</v>
      </c>
      <c r="D204" s="355">
        <v>8</v>
      </c>
      <c r="E204" s="409">
        <v>1100</v>
      </c>
      <c r="F204" s="379"/>
      <c r="G204" s="296"/>
      <c r="H204" s="296"/>
      <c r="I204" s="296"/>
      <c r="J204" s="296"/>
      <c r="K204" s="296"/>
      <c r="L204" s="297">
        <f t="shared" si="42"/>
        <v>0</v>
      </c>
      <c r="M204" s="298">
        <v>43581</v>
      </c>
      <c r="N204" s="298">
        <v>43615</v>
      </c>
      <c r="O204" s="315"/>
      <c r="P204" s="300"/>
    </row>
    <row r="205" spans="1:22" s="301" customFormat="1" x14ac:dyDescent="0.2">
      <c r="A205" s="350">
        <v>4969</v>
      </c>
      <c r="B205" s="353" t="s">
        <v>477</v>
      </c>
      <c r="C205" s="396" t="s">
        <v>738</v>
      </c>
      <c r="D205" s="355">
        <v>8</v>
      </c>
      <c r="E205" s="409">
        <v>800</v>
      </c>
      <c r="F205" s="379"/>
      <c r="G205" s="296"/>
      <c r="H205" s="296"/>
      <c r="I205" s="296"/>
      <c r="J205" s="296"/>
      <c r="K205" s="296"/>
      <c r="L205" s="297">
        <f t="shared" si="42"/>
        <v>0</v>
      </c>
      <c r="M205" s="298">
        <v>43581</v>
      </c>
      <c r="N205" s="298">
        <v>43615</v>
      </c>
      <c r="O205" s="315"/>
      <c r="P205" s="300"/>
    </row>
    <row r="206" spans="1:22" s="301" customFormat="1" x14ac:dyDescent="0.2">
      <c r="A206" s="350">
        <v>4970</v>
      </c>
      <c r="B206" s="353" t="s">
        <v>477</v>
      </c>
      <c r="C206" s="396" t="s">
        <v>739</v>
      </c>
      <c r="D206" s="355">
        <v>4</v>
      </c>
      <c r="E206" s="409">
        <v>1100</v>
      </c>
      <c r="F206" s="379"/>
      <c r="G206" s="296"/>
      <c r="H206" s="296"/>
      <c r="I206" s="296"/>
      <c r="J206" s="296"/>
      <c r="K206" s="296"/>
      <c r="L206" s="297">
        <f t="shared" si="42"/>
        <v>0</v>
      </c>
      <c r="M206" s="298">
        <v>43581</v>
      </c>
      <c r="N206" s="298">
        <v>43615</v>
      </c>
      <c r="O206" s="315"/>
      <c r="P206" s="300"/>
    </row>
    <row r="207" spans="1:22" s="301" customFormat="1" x14ac:dyDescent="0.2">
      <c r="A207" s="350">
        <v>4971</v>
      </c>
      <c r="B207" s="353" t="s">
        <v>477</v>
      </c>
      <c r="C207" s="396" t="s">
        <v>740</v>
      </c>
      <c r="D207" s="355">
        <v>8</v>
      </c>
      <c r="E207" s="409">
        <v>1600</v>
      </c>
      <c r="F207" s="379"/>
      <c r="G207" s="296"/>
      <c r="H207" s="296"/>
      <c r="I207" s="296"/>
      <c r="J207" s="296"/>
      <c r="K207" s="296"/>
      <c r="L207" s="297">
        <f t="shared" si="42"/>
        <v>0</v>
      </c>
      <c r="M207" s="298">
        <v>43581</v>
      </c>
      <c r="N207" s="298">
        <v>43615</v>
      </c>
      <c r="O207" s="315"/>
      <c r="P207" s="300"/>
      <c r="S207" s="301">
        <f>H207*E207</f>
        <v>0</v>
      </c>
      <c r="T207" s="301">
        <f>I207*E207</f>
        <v>0</v>
      </c>
      <c r="U207" s="301">
        <f>J207*E207</f>
        <v>0</v>
      </c>
      <c r="V207" s="301">
        <f>K207*E207</f>
        <v>0</v>
      </c>
    </row>
    <row r="208" spans="1:22" s="301" customFormat="1" x14ac:dyDescent="0.2">
      <c r="A208" s="350">
        <v>4972</v>
      </c>
      <c r="B208" s="353" t="s">
        <v>477</v>
      </c>
      <c r="C208" s="396" t="s">
        <v>741</v>
      </c>
      <c r="D208" s="355">
        <v>4</v>
      </c>
      <c r="E208" s="409">
        <v>4700</v>
      </c>
      <c r="F208" s="379"/>
      <c r="G208" s="296"/>
      <c r="H208" s="296"/>
      <c r="I208" s="296"/>
      <c r="J208" s="296"/>
      <c r="K208" s="296"/>
      <c r="L208" s="297">
        <f t="shared" si="42"/>
        <v>0</v>
      </c>
      <c r="M208" s="298">
        <v>43581</v>
      </c>
      <c r="N208" s="298">
        <v>43615</v>
      </c>
      <c r="O208" s="315"/>
      <c r="P208" s="300"/>
      <c r="S208" s="301">
        <f>H208*E208</f>
        <v>0</v>
      </c>
      <c r="T208" s="301">
        <f>I208*E208</f>
        <v>0</v>
      </c>
      <c r="U208" s="301">
        <f>J208*E208</f>
        <v>0</v>
      </c>
      <c r="V208" s="301">
        <f>K208*E208</f>
        <v>0</v>
      </c>
    </row>
    <row r="209" spans="1:16" s="301" customFormat="1" x14ac:dyDescent="0.2">
      <c r="A209" s="350"/>
      <c r="B209" s="353"/>
      <c r="C209" s="396"/>
      <c r="D209" s="355"/>
      <c r="E209" s="409"/>
      <c r="F209" s="379">
        <f t="shared" ref="F209:F225" si="43">E209*D209</f>
        <v>0</v>
      </c>
      <c r="G209" s="296"/>
      <c r="H209" s="296"/>
      <c r="I209" s="296"/>
      <c r="J209" s="296"/>
      <c r="K209" s="296"/>
      <c r="L209" s="297">
        <f t="shared" si="42"/>
        <v>0</v>
      </c>
      <c r="M209" s="298"/>
      <c r="N209" s="298"/>
      <c r="O209" s="315"/>
      <c r="P209" s="300"/>
    </row>
    <row r="210" spans="1:16" s="301" customFormat="1" x14ac:dyDescent="0.2">
      <c r="A210" s="350">
        <v>5462</v>
      </c>
      <c r="B210" s="353" t="s">
        <v>742</v>
      </c>
      <c r="C210" s="396" t="s">
        <v>743</v>
      </c>
      <c r="D210" s="355">
        <v>12</v>
      </c>
      <c r="E210" s="409">
        <v>85</v>
      </c>
      <c r="F210" s="379">
        <f t="shared" si="43"/>
        <v>1020</v>
      </c>
      <c r="G210" s="296"/>
      <c r="H210" s="296"/>
      <c r="I210" s="296"/>
      <c r="J210" s="296"/>
      <c r="K210" s="296"/>
      <c r="L210" s="297">
        <f t="shared" si="42"/>
        <v>0</v>
      </c>
      <c r="M210" s="298">
        <v>43584</v>
      </c>
      <c r="N210" s="298">
        <v>43585</v>
      </c>
      <c r="O210" s="315"/>
      <c r="P210" s="300"/>
    </row>
    <row r="211" spans="1:16" s="301" customFormat="1" x14ac:dyDescent="0.2">
      <c r="A211" s="500"/>
      <c r="B211" s="353"/>
      <c r="C211" s="396"/>
      <c r="D211" s="355"/>
      <c r="E211" s="409"/>
      <c r="F211" s="379"/>
      <c r="G211" s="296"/>
      <c r="H211" s="296"/>
      <c r="I211" s="296"/>
      <c r="J211" s="296"/>
      <c r="K211" s="296"/>
      <c r="L211" s="297"/>
      <c r="M211" s="298"/>
      <c r="N211" s="298"/>
      <c r="O211" s="315"/>
      <c r="P211" s="300"/>
    </row>
    <row r="212" spans="1:16" s="301" customFormat="1" x14ac:dyDescent="0.2">
      <c r="A212" s="350">
        <v>5464</v>
      </c>
      <c r="B212" s="353" t="s">
        <v>744</v>
      </c>
      <c r="C212" s="396" t="s">
        <v>745</v>
      </c>
      <c r="D212" s="355">
        <v>6</v>
      </c>
      <c r="E212" s="409">
        <v>850</v>
      </c>
      <c r="F212" s="379"/>
      <c r="G212" s="296"/>
      <c r="H212" s="296"/>
      <c r="I212" s="296"/>
      <c r="J212" s="296"/>
      <c r="K212" s="296"/>
      <c r="L212" s="297">
        <f>E212*(H212+I212+J212+K212)</f>
        <v>0</v>
      </c>
      <c r="M212" s="298">
        <v>43585</v>
      </c>
      <c r="N212" s="298">
        <v>43593</v>
      </c>
      <c r="O212" s="315"/>
      <c r="P212" s="300"/>
    </row>
    <row r="213" spans="1:16" s="301" customFormat="1" x14ac:dyDescent="0.2">
      <c r="A213" s="350">
        <v>5465</v>
      </c>
      <c r="B213" s="353" t="s">
        <v>744</v>
      </c>
      <c r="C213" s="396" t="s">
        <v>746</v>
      </c>
      <c r="D213" s="355">
        <v>6</v>
      </c>
      <c r="E213" s="409">
        <v>1090</v>
      </c>
      <c r="F213" s="379"/>
      <c r="G213" s="296"/>
      <c r="H213" s="296"/>
      <c r="I213" s="296"/>
      <c r="J213" s="296"/>
      <c r="K213" s="296"/>
      <c r="L213" s="297">
        <f>E213*(H213+I213+J213+K213)</f>
        <v>0</v>
      </c>
      <c r="M213" s="298">
        <v>43585</v>
      </c>
      <c r="N213" s="298">
        <v>43593</v>
      </c>
      <c r="O213" s="315"/>
      <c r="P213" s="300"/>
    </row>
    <row r="214" spans="1:16" s="301" customFormat="1" x14ac:dyDescent="0.2">
      <c r="A214" s="350"/>
      <c r="B214" s="353"/>
      <c r="C214" s="396"/>
      <c r="D214" s="355"/>
      <c r="E214" s="409"/>
      <c r="F214" s="379">
        <f t="shared" si="43"/>
        <v>0</v>
      </c>
      <c r="G214" s="296"/>
      <c r="H214" s="296"/>
      <c r="I214" s="296"/>
      <c r="J214" s="296"/>
      <c r="K214" s="296"/>
      <c r="L214" s="297">
        <f t="shared" si="42"/>
        <v>0</v>
      </c>
      <c r="M214" s="298"/>
      <c r="N214" s="298"/>
      <c r="O214" s="315"/>
      <c r="P214" s="300"/>
    </row>
    <row r="215" spans="1:16" s="301" customFormat="1" x14ac:dyDescent="0.2">
      <c r="A215" s="350"/>
      <c r="B215" s="353"/>
      <c r="C215" s="396"/>
      <c r="D215" s="355"/>
      <c r="E215" s="409"/>
      <c r="F215" s="379">
        <f t="shared" si="43"/>
        <v>0</v>
      </c>
      <c r="G215" s="296"/>
      <c r="H215" s="296"/>
      <c r="I215" s="296"/>
      <c r="J215" s="296"/>
      <c r="K215" s="296"/>
      <c r="L215" s="297">
        <f t="shared" si="42"/>
        <v>0</v>
      </c>
      <c r="M215" s="298"/>
      <c r="N215" s="298"/>
      <c r="O215" s="315"/>
      <c r="P215" s="300"/>
    </row>
    <row r="216" spans="1:16" s="301" customFormat="1" x14ac:dyDescent="0.2">
      <c r="A216" s="350"/>
      <c r="B216" s="353"/>
      <c r="C216" s="396"/>
      <c r="D216" s="355"/>
      <c r="E216" s="409"/>
      <c r="F216" s="379">
        <f t="shared" si="43"/>
        <v>0</v>
      </c>
      <c r="G216" s="296"/>
      <c r="H216" s="296"/>
      <c r="I216" s="296"/>
      <c r="J216" s="296"/>
      <c r="K216" s="296"/>
      <c r="L216" s="297">
        <f t="shared" si="42"/>
        <v>0</v>
      </c>
      <c r="M216" s="298"/>
      <c r="N216" s="298"/>
      <c r="O216" s="315"/>
      <c r="P216" s="300"/>
    </row>
    <row r="217" spans="1:16" s="301" customFormat="1" x14ac:dyDescent="0.2">
      <c r="A217" s="350"/>
      <c r="B217" s="353"/>
      <c r="C217" s="396"/>
      <c r="D217" s="355"/>
      <c r="E217" s="409"/>
      <c r="F217" s="379">
        <f t="shared" si="43"/>
        <v>0</v>
      </c>
      <c r="G217" s="296"/>
      <c r="H217" s="296"/>
      <c r="I217" s="296"/>
      <c r="J217" s="296"/>
      <c r="K217" s="296"/>
      <c r="L217" s="297">
        <f t="shared" si="42"/>
        <v>0</v>
      </c>
      <c r="M217" s="298"/>
      <c r="N217" s="298"/>
      <c r="O217" s="315"/>
      <c r="P217" s="300"/>
    </row>
    <row r="218" spans="1:16" s="301" customFormat="1" x14ac:dyDescent="0.2">
      <c r="A218" s="350"/>
      <c r="B218" s="353"/>
      <c r="C218" s="396"/>
      <c r="D218" s="355"/>
      <c r="E218" s="409"/>
      <c r="F218" s="379">
        <f t="shared" si="43"/>
        <v>0</v>
      </c>
      <c r="G218" s="296"/>
      <c r="H218" s="296"/>
      <c r="I218" s="296"/>
      <c r="J218" s="296"/>
      <c r="K218" s="296"/>
      <c r="L218" s="297">
        <f t="shared" si="42"/>
        <v>0</v>
      </c>
      <c r="M218" s="298"/>
      <c r="N218" s="298"/>
      <c r="O218" s="315"/>
      <c r="P218" s="300"/>
    </row>
    <row r="219" spans="1:16" s="301" customFormat="1" x14ac:dyDescent="0.2">
      <c r="A219" s="350"/>
      <c r="B219" s="353"/>
      <c r="C219" s="396"/>
      <c r="D219" s="355"/>
      <c r="E219" s="409"/>
      <c r="F219" s="379">
        <f t="shared" si="43"/>
        <v>0</v>
      </c>
      <c r="G219" s="296"/>
      <c r="H219" s="296"/>
      <c r="I219" s="296"/>
      <c r="J219" s="296"/>
      <c r="K219" s="296"/>
      <c r="L219" s="297">
        <f t="shared" si="42"/>
        <v>0</v>
      </c>
      <c r="M219" s="298"/>
      <c r="N219" s="298"/>
      <c r="O219" s="315"/>
      <c r="P219" s="300"/>
    </row>
    <row r="220" spans="1:16" s="301" customFormat="1" x14ac:dyDescent="0.2">
      <c r="A220" s="350"/>
      <c r="B220" s="353"/>
      <c r="C220" s="396"/>
      <c r="D220" s="355"/>
      <c r="E220" s="409"/>
      <c r="F220" s="379">
        <f t="shared" si="43"/>
        <v>0</v>
      </c>
      <c r="G220" s="296"/>
      <c r="H220" s="296"/>
      <c r="I220" s="296"/>
      <c r="J220" s="296"/>
      <c r="K220" s="296"/>
      <c r="L220" s="297">
        <f t="shared" si="42"/>
        <v>0</v>
      </c>
      <c r="M220" s="298"/>
      <c r="N220" s="298"/>
      <c r="O220" s="315"/>
      <c r="P220" s="300"/>
    </row>
    <row r="221" spans="1:16" s="301" customFormat="1" x14ac:dyDescent="0.2">
      <c r="A221" s="350"/>
      <c r="B221" s="353"/>
      <c r="C221" s="396"/>
      <c r="D221" s="355"/>
      <c r="E221" s="409"/>
      <c r="F221" s="379">
        <f t="shared" si="43"/>
        <v>0</v>
      </c>
      <c r="G221" s="296"/>
      <c r="H221" s="296"/>
      <c r="I221" s="296"/>
      <c r="J221" s="296"/>
      <c r="K221" s="296"/>
      <c r="L221" s="297">
        <f t="shared" si="42"/>
        <v>0</v>
      </c>
      <c r="M221" s="298"/>
      <c r="N221" s="298"/>
      <c r="O221" s="315"/>
      <c r="P221" s="300"/>
    </row>
    <row r="222" spans="1:16" s="301" customFormat="1" x14ac:dyDescent="0.2">
      <c r="A222" s="350"/>
      <c r="B222" s="353"/>
      <c r="C222" s="396"/>
      <c r="D222" s="355"/>
      <c r="E222" s="409"/>
      <c r="F222" s="379">
        <f t="shared" si="43"/>
        <v>0</v>
      </c>
      <c r="G222" s="296"/>
      <c r="H222" s="296"/>
      <c r="I222" s="296"/>
      <c r="J222" s="296"/>
      <c r="K222" s="296"/>
      <c r="L222" s="297">
        <f t="shared" si="42"/>
        <v>0</v>
      </c>
      <c r="M222" s="298"/>
      <c r="N222" s="298"/>
      <c r="O222" s="315"/>
      <c r="P222" s="300"/>
    </row>
    <row r="223" spans="1:16" s="301" customFormat="1" x14ac:dyDescent="0.2">
      <c r="A223" s="350"/>
      <c r="B223" s="353"/>
      <c r="C223" s="396"/>
      <c r="D223" s="355"/>
      <c r="E223" s="409"/>
      <c r="F223" s="379">
        <f t="shared" si="43"/>
        <v>0</v>
      </c>
      <c r="G223" s="296"/>
      <c r="H223" s="296"/>
      <c r="I223" s="296"/>
      <c r="J223" s="296"/>
      <c r="K223" s="296"/>
      <c r="L223" s="297">
        <f t="shared" si="42"/>
        <v>0</v>
      </c>
      <c r="M223" s="298"/>
      <c r="N223" s="298"/>
      <c r="O223" s="315"/>
      <c r="P223" s="300"/>
    </row>
    <row r="224" spans="1:16" s="301" customFormat="1" x14ac:dyDescent="0.2">
      <c r="A224" s="350"/>
      <c r="B224" s="353"/>
      <c r="C224" s="396"/>
      <c r="D224" s="355"/>
      <c r="E224" s="409"/>
      <c r="F224" s="379">
        <f t="shared" si="43"/>
        <v>0</v>
      </c>
      <c r="G224" s="296"/>
      <c r="H224" s="296"/>
      <c r="I224" s="296"/>
      <c r="J224" s="296"/>
      <c r="K224" s="296"/>
      <c r="L224" s="297">
        <f t="shared" si="42"/>
        <v>0</v>
      </c>
      <c r="M224" s="298"/>
      <c r="N224" s="298"/>
      <c r="O224" s="315"/>
      <c r="P224" s="300"/>
    </row>
    <row r="225" spans="1:22" s="301" customFormat="1" x14ac:dyDescent="0.2">
      <c r="A225" s="350"/>
      <c r="B225" s="353"/>
      <c r="C225" s="396"/>
      <c r="D225" s="355"/>
      <c r="E225" s="409"/>
      <c r="F225" s="379">
        <f t="shared" si="43"/>
        <v>0</v>
      </c>
      <c r="G225" s="296"/>
      <c r="H225" s="296"/>
      <c r="I225" s="296"/>
      <c r="J225" s="296"/>
      <c r="K225" s="296"/>
      <c r="L225" s="297">
        <f t="shared" si="42"/>
        <v>0</v>
      </c>
      <c r="M225" s="298"/>
      <c r="N225" s="298"/>
      <c r="O225" s="315"/>
      <c r="P225" s="300"/>
    </row>
    <row r="226" spans="1:22" s="301" customFormat="1" x14ac:dyDescent="0.2">
      <c r="A226" s="350"/>
      <c r="B226" s="353"/>
      <c r="C226" s="396" t="s">
        <v>426</v>
      </c>
      <c r="D226" s="355"/>
      <c r="E226" s="409">
        <v>600</v>
      </c>
      <c r="F226" s="379">
        <f t="shared" si="39"/>
        <v>0</v>
      </c>
      <c r="G226" s="296"/>
      <c r="H226" s="296"/>
      <c r="I226" s="296">
        <v>1</v>
      </c>
      <c r="J226" s="296"/>
      <c r="K226" s="296"/>
      <c r="L226" s="297">
        <f t="shared" si="41"/>
        <v>600</v>
      </c>
      <c r="M226" s="298"/>
      <c r="N226" s="298"/>
      <c r="O226" s="315"/>
      <c r="P226" s="300"/>
      <c r="S226" s="301">
        <f t="shared" ref="S226" si="44">H226*E226</f>
        <v>0</v>
      </c>
      <c r="T226" s="301">
        <f t="shared" ref="T226" si="45">I226*E226</f>
        <v>600</v>
      </c>
      <c r="U226" s="301">
        <f t="shared" ref="U226" si="46">J226*E226</f>
        <v>0</v>
      </c>
      <c r="V226" s="301">
        <f t="shared" ref="V226" si="47">K226*E226</f>
        <v>0</v>
      </c>
    </row>
    <row r="227" spans="1:22" s="301" customFormat="1" ht="13.5" thickBot="1" x14ac:dyDescent="0.25">
      <c r="A227" s="332"/>
      <c r="B227" s="334"/>
      <c r="C227" s="406"/>
      <c r="D227" s="340"/>
      <c r="E227" s="418"/>
      <c r="F227" s="379">
        <f t="shared" si="19"/>
        <v>0</v>
      </c>
      <c r="G227" s="344"/>
      <c r="H227" s="296"/>
      <c r="I227" s="296"/>
      <c r="J227" s="296"/>
      <c r="K227" s="296"/>
      <c r="L227" s="297">
        <f t="shared" si="41"/>
        <v>0</v>
      </c>
      <c r="M227" s="298"/>
      <c r="N227" s="298"/>
      <c r="O227" s="315"/>
      <c r="P227" s="300"/>
      <c r="S227" s="301">
        <f t="shared" ref="S227" si="48">H227*E227</f>
        <v>0</v>
      </c>
      <c r="T227" s="301">
        <f t="shared" ref="T227" si="49">I227*E227</f>
        <v>0</v>
      </c>
      <c r="U227" s="301">
        <f t="shared" ref="U227" si="50">J227*E227</f>
        <v>0</v>
      </c>
      <c r="V227" s="301">
        <f t="shared" ref="V227" si="51">K227*E227</f>
        <v>0</v>
      </c>
    </row>
    <row r="228" spans="1:22" s="301" customFormat="1" ht="13.5" thickBot="1" x14ac:dyDescent="0.25">
      <c r="A228" s="333"/>
      <c r="B228" s="336"/>
      <c r="C228" s="407"/>
      <c r="D228" s="341"/>
      <c r="E228" s="419"/>
      <c r="F228" s="347">
        <f>SUM(F8:F227)</f>
        <v>4745789</v>
      </c>
      <c r="G228" s="345"/>
      <c r="H228" s="472">
        <f>S228/F228</f>
        <v>7.5247656396017604E-2</v>
      </c>
      <c r="I228" s="472">
        <f>T228/F228</f>
        <v>0.47856657765442162</v>
      </c>
      <c r="J228" s="472">
        <f>U228/F228</f>
        <v>0.11970822975905587</v>
      </c>
      <c r="K228" s="472">
        <f>V228/F228</f>
        <v>4.3407420768179959E-2</v>
      </c>
      <c r="L228" s="346">
        <f>SUM(L8:L227)</f>
        <v>3407629.4800000004</v>
      </c>
      <c r="M228" s="345"/>
      <c r="N228" s="345"/>
      <c r="O228" s="345"/>
      <c r="P228" s="300"/>
      <c r="S228" s="301">
        <f>SUM(S8:S227)</f>
        <v>357109.5</v>
      </c>
      <c r="T228" s="301">
        <f>SUM(T8:T227)</f>
        <v>2271176</v>
      </c>
      <c r="U228" s="301">
        <f>SUM(U8:U227)</f>
        <v>568110</v>
      </c>
      <c r="V228" s="301">
        <f>SUM(V8:V227)</f>
        <v>206002.46</v>
      </c>
    </row>
    <row r="229" spans="1:22" s="301" customFormat="1" x14ac:dyDescent="0.2">
      <c r="A229" s="324"/>
      <c r="B229" s="335"/>
      <c r="C229" s="338"/>
      <c r="D229" s="325"/>
      <c r="E229" s="326"/>
      <c r="F229" s="327"/>
      <c r="G229" s="328"/>
      <c r="H229" s="328"/>
      <c r="I229" s="328"/>
      <c r="J229" s="328"/>
      <c r="K229" s="328"/>
      <c r="L229" s="329"/>
      <c r="M229" s="330"/>
      <c r="N229" s="330"/>
      <c r="O229" s="331"/>
      <c r="P229" s="300"/>
    </row>
    <row r="230" spans="1:22" s="282" customFormat="1" x14ac:dyDescent="0.2">
      <c r="A230" s="302"/>
      <c r="B230" s="306"/>
      <c r="C230" s="305" t="s">
        <v>250</v>
      </c>
      <c r="D230" s="303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4"/>
      <c r="R230" s="450"/>
    </row>
    <row r="231" spans="1:22" s="282" customFormat="1" x14ac:dyDescent="0.2">
      <c r="A231" s="302"/>
      <c r="B231" s="307"/>
      <c r="C231" s="305" t="s">
        <v>251</v>
      </c>
      <c r="D231" s="303"/>
      <c r="E231" s="15"/>
      <c r="F231" s="236" t="s">
        <v>24</v>
      </c>
      <c r="G231" s="302"/>
      <c r="H231" s="302"/>
      <c r="I231" s="302"/>
      <c r="J231" s="302"/>
      <c r="K231" s="302"/>
      <c r="L231" s="302"/>
      <c r="M231" s="302"/>
      <c r="N231" s="302"/>
      <c r="O231" s="304"/>
      <c r="R231" s="450"/>
    </row>
    <row r="232" spans="1:22" s="282" customFormat="1" x14ac:dyDescent="0.2">
      <c r="A232" s="302"/>
      <c r="B232" s="308"/>
      <c r="C232" s="305" t="s">
        <v>252</v>
      </c>
      <c r="D232" s="303"/>
      <c r="E232" s="302"/>
      <c r="F232" s="302"/>
      <c r="G232" s="302"/>
      <c r="H232" s="302"/>
      <c r="I232" s="302"/>
      <c r="J232" s="302"/>
      <c r="K232" s="302"/>
      <c r="L232" s="302"/>
      <c r="M232" s="302"/>
      <c r="N232" s="302"/>
      <c r="O232" s="304"/>
      <c r="R232" s="450"/>
    </row>
    <row r="233" spans="1:22" s="282" customFormat="1" x14ac:dyDescent="0.2">
      <c r="A233" s="302"/>
      <c r="B233" s="309"/>
      <c r="C233" s="305" t="s">
        <v>253</v>
      </c>
      <c r="D233" s="303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O233" s="304"/>
      <c r="R233" s="450"/>
    </row>
    <row r="234" spans="1:22" s="282" customFormat="1" x14ac:dyDescent="0.2">
      <c r="A234" s="302"/>
      <c r="B234" s="310"/>
      <c r="C234" s="305" t="s">
        <v>254</v>
      </c>
      <c r="D234" s="303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4"/>
      <c r="R234" s="450"/>
    </row>
    <row r="235" spans="1:22" s="282" customFormat="1" x14ac:dyDescent="0.2">
      <c r="A235" s="302"/>
      <c r="B235" s="311"/>
      <c r="C235" s="305" t="s">
        <v>255</v>
      </c>
      <c r="D235" s="303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4"/>
      <c r="R235" s="450"/>
    </row>
    <row r="236" spans="1:22" s="282" customFormat="1" x14ac:dyDescent="0.2">
      <c r="A236" s="302"/>
      <c r="B236" s="377"/>
      <c r="C236" s="378" t="s">
        <v>256</v>
      </c>
      <c r="D236" s="303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O236" s="304"/>
      <c r="R236" s="450"/>
    </row>
    <row r="237" spans="1:22" s="282" customFormat="1" x14ac:dyDescent="0.2">
      <c r="A237" s="302"/>
      <c r="B237" s="374"/>
      <c r="C237" s="375" t="s">
        <v>364</v>
      </c>
      <c r="D237" s="303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4"/>
      <c r="R237" s="450"/>
    </row>
    <row r="238" spans="1:22" s="282" customFormat="1" x14ac:dyDescent="0.2">
      <c r="A238" s="302"/>
      <c r="B238" s="376"/>
      <c r="C238" s="375" t="s">
        <v>365</v>
      </c>
      <c r="D238" s="303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O238" s="304"/>
      <c r="R238" s="450"/>
    </row>
    <row r="239" spans="1:22" s="282" customFormat="1" x14ac:dyDescent="0.2">
      <c r="A239" s="302"/>
      <c r="B239" s="302"/>
      <c r="C239" s="302"/>
      <c r="D239" s="303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4"/>
      <c r="R239" s="450"/>
    </row>
    <row r="240" spans="1:22" s="282" customFormat="1" x14ac:dyDescent="0.2">
      <c r="A240" s="302"/>
      <c r="B240" s="302"/>
      <c r="C240" s="302"/>
      <c r="D240" s="303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4"/>
      <c r="R240" s="450"/>
    </row>
    <row r="241" spans="1:18" s="282" customFormat="1" x14ac:dyDescent="0.2">
      <c r="A241" s="302"/>
      <c r="B241" s="302"/>
      <c r="C241" s="302"/>
      <c r="D241" s="303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O241" s="304"/>
      <c r="R241" s="450"/>
    </row>
    <row r="242" spans="1:18" s="282" customFormat="1" x14ac:dyDescent="0.2">
      <c r="A242" s="302"/>
      <c r="B242" s="302"/>
      <c r="C242" s="302"/>
      <c r="D242" s="303"/>
      <c r="E242" s="302"/>
      <c r="F242" s="302"/>
      <c r="G242" s="302"/>
      <c r="H242" s="302"/>
      <c r="I242" s="302"/>
      <c r="J242" s="302"/>
      <c r="K242" s="302"/>
      <c r="L242" s="302"/>
      <c r="M242" s="302"/>
      <c r="N242" s="302"/>
      <c r="O242" s="304"/>
      <c r="R242" s="450"/>
    </row>
    <row r="243" spans="1:18" s="282" customFormat="1" x14ac:dyDescent="0.2">
      <c r="A243" s="302"/>
      <c r="B243" s="302"/>
      <c r="C243" s="302"/>
      <c r="D243" s="303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4"/>
      <c r="R243" s="450"/>
    </row>
    <row r="244" spans="1:18" s="282" customFormat="1" x14ac:dyDescent="0.2">
      <c r="A244" s="302"/>
      <c r="B244" s="302"/>
      <c r="C244" s="302"/>
      <c r="D244" s="303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O244" s="304"/>
      <c r="R244" s="450"/>
    </row>
    <row r="245" spans="1:18" s="282" customFormat="1" x14ac:dyDescent="0.2">
      <c r="A245" s="302"/>
      <c r="B245" s="302"/>
      <c r="C245" s="302"/>
      <c r="D245" s="303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4"/>
      <c r="R245" s="450"/>
    </row>
    <row r="246" spans="1:18" s="282" customFormat="1" x14ac:dyDescent="0.2">
      <c r="A246" s="302"/>
      <c r="B246" s="302"/>
      <c r="C246" s="302"/>
      <c r="D246" s="303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4"/>
      <c r="R246" s="450"/>
    </row>
    <row r="247" spans="1:18" s="282" customFormat="1" x14ac:dyDescent="0.2">
      <c r="A247" s="302"/>
      <c r="B247" s="302"/>
      <c r="C247" s="302"/>
      <c r="D247" s="303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4"/>
      <c r="R247" s="450"/>
    </row>
    <row r="248" spans="1:18" s="282" customFormat="1" x14ac:dyDescent="0.2">
      <c r="A248" s="302"/>
      <c r="B248" s="302"/>
      <c r="C248" s="302"/>
      <c r="D248" s="303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4"/>
      <c r="R248" s="450"/>
    </row>
    <row r="249" spans="1:18" s="282" customFormat="1" x14ac:dyDescent="0.2">
      <c r="A249" s="302"/>
      <c r="B249" s="302"/>
      <c r="C249" s="302"/>
      <c r="D249" s="303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4"/>
      <c r="R249" s="450"/>
    </row>
    <row r="250" spans="1:18" s="282" customFormat="1" x14ac:dyDescent="0.2">
      <c r="A250" s="302"/>
      <c r="B250" s="302"/>
      <c r="C250" s="302"/>
      <c r="D250" s="303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R250" s="450"/>
    </row>
    <row r="251" spans="1:18" s="282" customFormat="1" x14ac:dyDescent="0.2">
      <c r="A251" s="302"/>
      <c r="B251" s="302"/>
      <c r="C251" s="302"/>
      <c r="D251" s="303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R251" s="450"/>
    </row>
    <row r="252" spans="1:18" s="282" customFormat="1" x14ac:dyDescent="0.2">
      <c r="A252" s="302"/>
      <c r="B252" s="302"/>
      <c r="C252" s="302"/>
      <c r="D252" s="303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R252" s="450"/>
    </row>
    <row r="253" spans="1:18" s="282" customFormat="1" x14ac:dyDescent="0.2">
      <c r="A253" s="302"/>
      <c r="B253" s="302"/>
      <c r="C253" s="302"/>
      <c r="D253" s="303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R253" s="450"/>
    </row>
    <row r="254" spans="1:18" s="282" customFormat="1" x14ac:dyDescent="0.2">
      <c r="A254" s="302"/>
      <c r="B254" s="302"/>
      <c r="C254" s="302"/>
      <c r="D254" s="303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R254" s="450"/>
    </row>
    <row r="255" spans="1:18" s="282" customFormat="1" x14ac:dyDescent="0.2">
      <c r="A255" s="302"/>
      <c r="B255" s="302"/>
      <c r="C255" s="302"/>
      <c r="D255" s="303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R255" s="450"/>
    </row>
    <row r="256" spans="1:18" s="282" customFormat="1" x14ac:dyDescent="0.2">
      <c r="A256" s="302"/>
      <c r="B256" s="302"/>
      <c r="C256" s="302"/>
      <c r="D256" s="303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R256" s="450"/>
    </row>
    <row r="257" spans="1:18" s="282" customFormat="1" x14ac:dyDescent="0.2">
      <c r="A257" s="302"/>
      <c r="B257" s="302"/>
      <c r="C257" s="302"/>
      <c r="D257" s="303"/>
      <c r="E257" s="302"/>
      <c r="F257" s="302"/>
      <c r="G257" s="302"/>
      <c r="H257" s="302"/>
      <c r="I257" s="302"/>
      <c r="J257" s="302"/>
      <c r="K257" s="302"/>
      <c r="L257" s="302"/>
      <c r="M257" s="302"/>
      <c r="N257" s="302"/>
      <c r="R257" s="450"/>
    </row>
    <row r="258" spans="1:18" s="282" customFormat="1" x14ac:dyDescent="0.2">
      <c r="A258" s="302"/>
      <c r="B258" s="302"/>
      <c r="C258" s="302"/>
      <c r="D258" s="303"/>
      <c r="E258" s="302"/>
      <c r="F258" s="302"/>
      <c r="G258" s="302"/>
      <c r="H258" s="302"/>
      <c r="I258" s="302"/>
      <c r="J258" s="302"/>
      <c r="K258" s="302"/>
      <c r="L258" s="302"/>
      <c r="M258" s="302"/>
      <c r="N258" s="302"/>
      <c r="R258" s="450"/>
    </row>
    <row r="259" spans="1:18" s="282" customFormat="1" x14ac:dyDescent="0.2">
      <c r="A259" s="302"/>
      <c r="B259" s="302"/>
      <c r="C259" s="302"/>
      <c r="D259" s="303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R259" s="450"/>
    </row>
    <row r="260" spans="1:18" s="282" customFormat="1" x14ac:dyDescent="0.2">
      <c r="A260" s="302"/>
      <c r="B260" s="302"/>
      <c r="C260" s="302"/>
      <c r="D260" s="303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R260" s="450"/>
    </row>
    <row r="261" spans="1:18" s="282" customFormat="1" x14ac:dyDescent="0.2">
      <c r="A261" s="302"/>
      <c r="B261" s="302"/>
      <c r="C261" s="302"/>
      <c r="D261" s="303"/>
      <c r="E261" s="302"/>
      <c r="F261" s="302"/>
      <c r="G261" s="302"/>
      <c r="H261" s="302"/>
      <c r="I261" s="302"/>
      <c r="J261" s="302"/>
      <c r="K261" s="302"/>
      <c r="L261" s="302"/>
      <c r="M261" s="302"/>
      <c r="N261" s="302"/>
      <c r="R261" s="450"/>
    </row>
    <row r="262" spans="1:18" s="282" customFormat="1" x14ac:dyDescent="0.2">
      <c r="A262" s="302"/>
      <c r="B262" s="302"/>
      <c r="C262" s="302"/>
      <c r="D262" s="303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R262" s="450"/>
    </row>
    <row r="263" spans="1:18" s="282" customFormat="1" x14ac:dyDescent="0.2">
      <c r="A263" s="302"/>
      <c r="B263" s="302"/>
      <c r="C263" s="302"/>
      <c r="D263" s="303"/>
      <c r="E263" s="302"/>
      <c r="F263" s="302"/>
      <c r="G263" s="302"/>
      <c r="H263" s="302"/>
      <c r="I263" s="302"/>
      <c r="J263" s="302"/>
      <c r="K263" s="302"/>
      <c r="L263" s="302"/>
      <c r="M263" s="302"/>
      <c r="N263" s="302"/>
      <c r="R263" s="450"/>
    </row>
    <row r="264" spans="1:18" s="282" customFormat="1" x14ac:dyDescent="0.2">
      <c r="A264" s="302"/>
      <c r="B264" s="302"/>
      <c r="C264" s="302"/>
      <c r="D264" s="303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R264" s="450"/>
    </row>
    <row r="265" spans="1:18" s="282" customFormat="1" x14ac:dyDescent="0.2">
      <c r="A265" s="302"/>
      <c r="B265" s="302"/>
      <c r="C265" s="302"/>
      <c r="D265" s="303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R265" s="450"/>
    </row>
    <row r="266" spans="1:18" s="282" customFormat="1" x14ac:dyDescent="0.2">
      <c r="A266" s="302"/>
      <c r="B266" s="302"/>
      <c r="C266" s="302"/>
      <c r="D266" s="303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R266" s="450"/>
    </row>
    <row r="267" spans="1:18" s="282" customFormat="1" x14ac:dyDescent="0.2">
      <c r="A267" s="302"/>
      <c r="B267" s="302"/>
      <c r="C267" s="302"/>
      <c r="D267" s="303"/>
      <c r="E267" s="302"/>
      <c r="F267" s="302"/>
      <c r="G267" s="302"/>
      <c r="H267" s="302"/>
      <c r="I267" s="302"/>
      <c r="J267" s="302"/>
      <c r="K267" s="302"/>
      <c r="L267" s="302"/>
      <c r="M267" s="302"/>
      <c r="N267" s="302"/>
      <c r="R267" s="450"/>
    </row>
    <row r="268" spans="1:18" s="282" customFormat="1" x14ac:dyDescent="0.2">
      <c r="A268" s="302"/>
      <c r="B268" s="302"/>
      <c r="C268" s="302"/>
      <c r="D268" s="303"/>
      <c r="E268" s="302"/>
      <c r="F268" s="302"/>
      <c r="G268" s="302"/>
      <c r="H268" s="302"/>
      <c r="I268" s="302"/>
      <c r="J268" s="302"/>
      <c r="K268" s="302"/>
      <c r="L268" s="302"/>
      <c r="M268" s="302"/>
      <c r="N268" s="302"/>
      <c r="R268" s="450"/>
    </row>
    <row r="269" spans="1:18" s="282" customFormat="1" x14ac:dyDescent="0.2">
      <c r="A269" s="302"/>
      <c r="B269" s="302"/>
      <c r="C269" s="302"/>
      <c r="D269" s="303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R269" s="450"/>
    </row>
    <row r="270" spans="1:18" s="282" customFormat="1" x14ac:dyDescent="0.2">
      <c r="A270" s="302"/>
      <c r="B270" s="302"/>
      <c r="C270" s="302"/>
      <c r="D270" s="303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R270" s="450"/>
    </row>
    <row r="271" spans="1:18" s="282" customFormat="1" x14ac:dyDescent="0.2">
      <c r="A271" s="302"/>
      <c r="B271" s="302"/>
      <c r="C271" s="302"/>
      <c r="D271" s="303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R271" s="450"/>
    </row>
    <row r="272" spans="1:18" s="282" customFormat="1" x14ac:dyDescent="0.2">
      <c r="A272" s="302"/>
      <c r="B272" s="302"/>
      <c r="C272" s="302"/>
      <c r="D272" s="303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R272" s="450"/>
    </row>
    <row r="273" spans="1:18" s="282" customFormat="1" x14ac:dyDescent="0.2">
      <c r="A273" s="302"/>
      <c r="B273" s="302"/>
      <c r="C273" s="302"/>
      <c r="D273" s="303"/>
      <c r="E273" s="302"/>
      <c r="F273" s="302"/>
      <c r="G273" s="302"/>
      <c r="H273" s="302"/>
      <c r="I273" s="302"/>
      <c r="J273" s="302"/>
      <c r="K273" s="302"/>
      <c r="L273" s="302"/>
      <c r="M273" s="302"/>
      <c r="N273" s="302"/>
      <c r="R273" s="450"/>
    </row>
    <row r="274" spans="1:18" s="282" customFormat="1" x14ac:dyDescent="0.2">
      <c r="A274" s="302"/>
      <c r="B274" s="302"/>
      <c r="C274" s="302"/>
      <c r="D274" s="303"/>
      <c r="E274" s="302"/>
      <c r="F274" s="302"/>
      <c r="G274" s="302"/>
      <c r="H274" s="302"/>
      <c r="I274" s="302"/>
      <c r="J274" s="302"/>
      <c r="K274" s="302"/>
      <c r="L274" s="302"/>
      <c r="M274" s="302"/>
      <c r="N274" s="302"/>
      <c r="R274" s="450"/>
    </row>
    <row r="275" spans="1:18" s="282" customFormat="1" x14ac:dyDescent="0.2">
      <c r="A275" s="302"/>
      <c r="B275" s="302"/>
      <c r="C275" s="302"/>
      <c r="D275" s="303"/>
      <c r="E275" s="302"/>
      <c r="F275" s="302"/>
      <c r="G275" s="302"/>
      <c r="H275" s="302"/>
      <c r="I275" s="302"/>
      <c r="J275" s="302"/>
      <c r="K275" s="302"/>
      <c r="L275" s="302"/>
      <c r="M275" s="302"/>
      <c r="N275" s="302"/>
      <c r="R275" s="450"/>
    </row>
    <row r="276" spans="1:18" s="282" customFormat="1" x14ac:dyDescent="0.2">
      <c r="A276" s="302"/>
      <c r="B276" s="302"/>
      <c r="C276" s="302"/>
      <c r="D276" s="303"/>
      <c r="E276" s="302"/>
      <c r="F276" s="302"/>
      <c r="G276" s="302"/>
      <c r="H276" s="302"/>
      <c r="I276" s="302"/>
      <c r="J276" s="302"/>
      <c r="K276" s="302"/>
      <c r="L276" s="302"/>
      <c r="M276" s="302"/>
      <c r="N276" s="302"/>
      <c r="R276" s="450"/>
    </row>
    <row r="277" spans="1:18" s="282" customFormat="1" x14ac:dyDescent="0.2">
      <c r="A277" s="302"/>
      <c r="B277" s="302"/>
      <c r="C277" s="302"/>
      <c r="D277" s="303"/>
      <c r="E277" s="302"/>
      <c r="F277" s="302"/>
      <c r="G277" s="302"/>
      <c r="H277" s="302"/>
      <c r="I277" s="302"/>
      <c r="J277" s="302"/>
      <c r="K277" s="302"/>
      <c r="L277" s="302"/>
      <c r="M277" s="302"/>
      <c r="N277" s="302"/>
      <c r="R277" s="450"/>
    </row>
    <row r="278" spans="1:18" s="282" customFormat="1" x14ac:dyDescent="0.2">
      <c r="A278" s="302"/>
      <c r="B278" s="302"/>
      <c r="C278" s="302"/>
      <c r="D278" s="303"/>
      <c r="E278" s="302"/>
      <c r="F278" s="302"/>
      <c r="G278" s="302"/>
      <c r="H278" s="302"/>
      <c r="I278" s="302"/>
      <c r="J278" s="302"/>
      <c r="K278" s="302"/>
      <c r="L278" s="302"/>
      <c r="M278" s="302"/>
      <c r="N278" s="302"/>
      <c r="R278" s="450"/>
    </row>
    <row r="279" spans="1:18" s="282" customFormat="1" x14ac:dyDescent="0.2">
      <c r="A279" s="302"/>
      <c r="B279" s="302"/>
      <c r="C279" s="302"/>
      <c r="D279" s="303"/>
      <c r="E279" s="302"/>
      <c r="F279" s="302"/>
      <c r="G279" s="302"/>
      <c r="H279" s="302"/>
      <c r="I279" s="302"/>
      <c r="J279" s="302"/>
      <c r="K279" s="302"/>
      <c r="L279" s="302"/>
      <c r="M279" s="302"/>
      <c r="N279" s="302"/>
      <c r="R279" s="450"/>
    </row>
    <row r="280" spans="1:18" s="282" customFormat="1" x14ac:dyDescent="0.2">
      <c r="A280" s="302"/>
      <c r="B280" s="302"/>
      <c r="C280" s="302"/>
      <c r="D280" s="303"/>
      <c r="E280" s="302"/>
      <c r="F280" s="302"/>
      <c r="G280" s="302"/>
      <c r="H280" s="302"/>
      <c r="I280" s="302"/>
      <c r="J280" s="302"/>
      <c r="K280" s="302"/>
      <c r="L280" s="302"/>
      <c r="M280" s="302"/>
      <c r="N280" s="302"/>
      <c r="R280" s="450"/>
    </row>
    <row r="281" spans="1:18" s="282" customFormat="1" x14ac:dyDescent="0.2">
      <c r="A281" s="302"/>
      <c r="B281" s="302"/>
      <c r="C281" s="302"/>
      <c r="D281" s="303"/>
      <c r="E281" s="302"/>
      <c r="F281" s="302"/>
      <c r="G281" s="302"/>
      <c r="H281" s="302"/>
      <c r="I281" s="302"/>
      <c r="J281" s="302"/>
      <c r="K281" s="302"/>
      <c r="L281" s="302"/>
      <c r="M281" s="302"/>
      <c r="N281" s="302"/>
      <c r="R281" s="450"/>
    </row>
    <row r="282" spans="1:18" s="282" customFormat="1" x14ac:dyDescent="0.2">
      <c r="A282" s="302"/>
      <c r="B282" s="302"/>
      <c r="C282" s="302"/>
      <c r="D282" s="303"/>
      <c r="E282" s="302"/>
      <c r="F282" s="302"/>
      <c r="G282" s="302"/>
      <c r="H282" s="302"/>
      <c r="I282" s="302"/>
      <c r="J282" s="302"/>
      <c r="K282" s="302"/>
      <c r="L282" s="302"/>
      <c r="M282" s="302"/>
      <c r="N282" s="302"/>
      <c r="R282" s="450"/>
    </row>
    <row r="283" spans="1:18" s="282" customFormat="1" x14ac:dyDescent="0.2">
      <c r="A283" s="302"/>
      <c r="B283" s="302"/>
      <c r="C283" s="302"/>
      <c r="D283" s="303"/>
      <c r="E283" s="302"/>
      <c r="F283" s="302"/>
      <c r="G283" s="302"/>
      <c r="H283" s="302"/>
      <c r="I283" s="302"/>
      <c r="J283" s="302"/>
      <c r="K283" s="302"/>
      <c r="L283" s="302"/>
      <c r="M283" s="302"/>
      <c r="N283" s="302"/>
      <c r="R283" s="450"/>
    </row>
    <row r="284" spans="1:18" s="282" customFormat="1" x14ac:dyDescent="0.2">
      <c r="A284" s="302"/>
      <c r="B284" s="302"/>
      <c r="C284" s="302"/>
      <c r="D284" s="303"/>
      <c r="E284" s="302"/>
      <c r="F284" s="302"/>
      <c r="G284" s="302"/>
      <c r="H284" s="302"/>
      <c r="I284" s="302"/>
      <c r="J284" s="302"/>
      <c r="K284" s="302"/>
      <c r="L284" s="302"/>
      <c r="M284" s="302"/>
      <c r="N284" s="302"/>
      <c r="R284" s="450"/>
    </row>
    <row r="285" spans="1:18" s="282" customFormat="1" x14ac:dyDescent="0.2">
      <c r="A285" s="302"/>
      <c r="B285" s="302"/>
      <c r="C285" s="302"/>
      <c r="D285" s="303"/>
      <c r="E285" s="302"/>
      <c r="F285" s="302"/>
      <c r="G285" s="302"/>
      <c r="H285" s="302"/>
      <c r="I285" s="302"/>
      <c r="J285" s="302"/>
      <c r="K285" s="302"/>
      <c r="L285" s="302"/>
      <c r="M285" s="302"/>
      <c r="N285" s="302"/>
      <c r="R285" s="450"/>
    </row>
    <row r="286" spans="1:18" s="282" customFormat="1" x14ac:dyDescent="0.2">
      <c r="A286" s="302"/>
      <c r="B286" s="302"/>
      <c r="C286" s="302"/>
      <c r="D286" s="303"/>
      <c r="E286" s="302"/>
      <c r="F286" s="302"/>
      <c r="G286" s="302"/>
      <c r="H286" s="302"/>
      <c r="I286" s="302"/>
      <c r="J286" s="302"/>
      <c r="K286" s="302"/>
      <c r="L286" s="302"/>
      <c r="M286" s="302"/>
      <c r="N286" s="302"/>
      <c r="R286" s="450"/>
    </row>
    <row r="287" spans="1:18" s="282" customFormat="1" x14ac:dyDescent="0.2">
      <c r="A287" s="302"/>
      <c r="B287" s="302"/>
      <c r="C287" s="302"/>
      <c r="D287" s="303"/>
      <c r="E287" s="302"/>
      <c r="F287" s="302"/>
      <c r="G287" s="302"/>
      <c r="H287" s="302"/>
      <c r="I287" s="302"/>
      <c r="J287" s="302"/>
      <c r="K287" s="302"/>
      <c r="L287" s="302"/>
      <c r="M287" s="302"/>
      <c r="N287" s="302"/>
      <c r="R287" s="450"/>
    </row>
    <row r="288" spans="1:18" s="282" customFormat="1" x14ac:dyDescent="0.2">
      <c r="A288" s="302"/>
      <c r="B288" s="302"/>
      <c r="C288" s="302"/>
      <c r="D288" s="303"/>
      <c r="E288" s="302"/>
      <c r="F288" s="302"/>
      <c r="G288" s="302"/>
      <c r="H288" s="302"/>
      <c r="I288" s="302"/>
      <c r="J288" s="302"/>
      <c r="K288" s="302"/>
      <c r="L288" s="302"/>
      <c r="M288" s="302"/>
      <c r="N288" s="302"/>
      <c r="R288" s="450"/>
    </row>
    <row r="289" spans="1:18" s="282" customFormat="1" x14ac:dyDescent="0.2">
      <c r="A289" s="302"/>
      <c r="B289" s="302"/>
      <c r="C289" s="302"/>
      <c r="D289" s="303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R289" s="450"/>
    </row>
    <row r="290" spans="1:18" s="282" customFormat="1" x14ac:dyDescent="0.2">
      <c r="A290" s="302"/>
      <c r="B290" s="302"/>
      <c r="C290" s="302"/>
      <c r="D290" s="303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R290" s="450"/>
    </row>
    <row r="291" spans="1:18" s="282" customFormat="1" x14ac:dyDescent="0.2">
      <c r="A291" s="302"/>
      <c r="B291" s="302"/>
      <c r="C291" s="302"/>
      <c r="D291" s="303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R291" s="450"/>
    </row>
    <row r="292" spans="1:18" s="282" customFormat="1" x14ac:dyDescent="0.2">
      <c r="A292" s="302"/>
      <c r="B292" s="302"/>
      <c r="C292" s="302"/>
      <c r="D292" s="303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R292" s="450"/>
    </row>
    <row r="293" spans="1:18" s="282" customFormat="1" x14ac:dyDescent="0.2">
      <c r="A293" s="302"/>
      <c r="B293" s="302"/>
      <c r="C293" s="302"/>
      <c r="D293" s="303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R293" s="450"/>
    </row>
    <row r="294" spans="1:18" s="282" customFormat="1" x14ac:dyDescent="0.2">
      <c r="A294" s="302"/>
      <c r="B294" s="302"/>
      <c r="C294" s="302"/>
      <c r="D294" s="303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R294" s="450"/>
    </row>
    <row r="295" spans="1:18" s="282" customFormat="1" x14ac:dyDescent="0.2">
      <c r="A295" s="302"/>
      <c r="B295" s="302"/>
      <c r="C295" s="302"/>
      <c r="D295" s="303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R295" s="450"/>
    </row>
    <row r="296" spans="1:18" s="282" customFormat="1" x14ac:dyDescent="0.2">
      <c r="A296" s="302"/>
      <c r="B296" s="302"/>
      <c r="C296" s="302"/>
      <c r="D296" s="303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R296" s="450"/>
    </row>
    <row r="297" spans="1:18" s="282" customFormat="1" x14ac:dyDescent="0.2">
      <c r="A297" s="302"/>
      <c r="B297" s="302"/>
      <c r="C297" s="302"/>
      <c r="D297" s="303"/>
      <c r="E297" s="302"/>
      <c r="F297" s="302"/>
      <c r="G297" s="302"/>
      <c r="H297" s="302"/>
      <c r="I297" s="302"/>
      <c r="J297" s="302"/>
      <c r="K297" s="302"/>
      <c r="L297" s="302"/>
      <c r="M297" s="302"/>
      <c r="N297" s="302"/>
      <c r="R297" s="450"/>
    </row>
    <row r="298" spans="1:18" s="282" customFormat="1" x14ac:dyDescent="0.2">
      <c r="A298" s="302"/>
      <c r="B298" s="302"/>
      <c r="C298" s="302"/>
      <c r="D298" s="303"/>
      <c r="E298" s="302"/>
      <c r="F298" s="302"/>
      <c r="G298" s="302"/>
      <c r="H298" s="302"/>
      <c r="I298" s="302"/>
      <c r="J298" s="302"/>
      <c r="K298" s="302"/>
      <c r="L298" s="302"/>
      <c r="M298" s="302"/>
      <c r="N298" s="302"/>
      <c r="R298" s="450"/>
    </row>
    <row r="299" spans="1:18" s="282" customFormat="1" x14ac:dyDescent="0.2">
      <c r="A299" s="302"/>
      <c r="B299" s="302"/>
      <c r="C299" s="302"/>
      <c r="D299" s="303"/>
      <c r="E299" s="302"/>
      <c r="F299" s="302"/>
      <c r="G299" s="302"/>
      <c r="H299" s="302"/>
      <c r="I299" s="302"/>
      <c r="J299" s="302"/>
      <c r="K299" s="302"/>
      <c r="L299" s="302"/>
      <c r="M299" s="302"/>
      <c r="N299" s="302"/>
      <c r="R299" s="450"/>
    </row>
    <row r="300" spans="1:18" s="282" customFormat="1" x14ac:dyDescent="0.2">
      <c r="A300" s="302"/>
      <c r="B300" s="302"/>
      <c r="C300" s="302"/>
      <c r="D300" s="303"/>
      <c r="E300" s="302"/>
      <c r="F300" s="302"/>
      <c r="G300" s="302"/>
      <c r="H300" s="302"/>
      <c r="I300" s="302"/>
      <c r="J300" s="302"/>
      <c r="K300" s="302"/>
      <c r="L300" s="302"/>
      <c r="M300" s="302"/>
      <c r="N300" s="302"/>
      <c r="R300" s="450"/>
    </row>
    <row r="301" spans="1:18" s="282" customFormat="1" x14ac:dyDescent="0.2">
      <c r="A301" s="302"/>
      <c r="B301" s="302"/>
      <c r="C301" s="302"/>
      <c r="D301" s="303"/>
      <c r="E301" s="302"/>
      <c r="F301" s="302"/>
      <c r="G301" s="302"/>
      <c r="H301" s="302"/>
      <c r="I301" s="302"/>
      <c r="J301" s="302"/>
      <c r="K301" s="302"/>
      <c r="L301" s="302"/>
      <c r="M301" s="302"/>
      <c r="N301" s="302"/>
      <c r="R301" s="450"/>
    </row>
    <row r="302" spans="1:18" s="282" customFormat="1" x14ac:dyDescent="0.2">
      <c r="A302" s="302"/>
      <c r="B302" s="302"/>
      <c r="C302" s="302"/>
      <c r="D302" s="303"/>
      <c r="E302" s="302"/>
      <c r="F302" s="302"/>
      <c r="G302" s="302"/>
      <c r="H302" s="302"/>
      <c r="I302" s="302"/>
      <c r="J302" s="302"/>
      <c r="K302" s="302"/>
      <c r="L302" s="302"/>
      <c r="M302" s="302"/>
      <c r="N302" s="302"/>
      <c r="R302" s="450"/>
    </row>
    <row r="303" spans="1:18" s="282" customFormat="1" x14ac:dyDescent="0.2">
      <c r="A303" s="302"/>
      <c r="B303" s="302"/>
      <c r="C303" s="302"/>
      <c r="D303" s="303"/>
      <c r="E303" s="302"/>
      <c r="F303" s="302"/>
      <c r="G303" s="302"/>
      <c r="H303" s="302"/>
      <c r="I303" s="302"/>
      <c r="J303" s="302"/>
      <c r="K303" s="302"/>
      <c r="L303" s="302"/>
      <c r="M303" s="302"/>
      <c r="N303" s="302"/>
      <c r="R303" s="450"/>
    </row>
    <row r="304" spans="1:18" s="282" customFormat="1" x14ac:dyDescent="0.2">
      <c r="A304" s="302"/>
      <c r="B304" s="302"/>
      <c r="C304" s="302"/>
      <c r="D304" s="303"/>
      <c r="E304" s="302"/>
      <c r="F304" s="302"/>
      <c r="G304" s="302"/>
      <c r="H304" s="302"/>
      <c r="I304" s="302"/>
      <c r="J304" s="302"/>
      <c r="K304" s="302"/>
      <c r="L304" s="302"/>
      <c r="M304" s="302"/>
      <c r="N304" s="302"/>
      <c r="R304" s="450"/>
    </row>
    <row r="305" spans="1:18" s="282" customFormat="1" x14ac:dyDescent="0.2">
      <c r="A305" s="302"/>
      <c r="B305" s="302"/>
      <c r="C305" s="302"/>
      <c r="D305" s="303"/>
      <c r="E305" s="302"/>
      <c r="F305" s="302"/>
      <c r="G305" s="302"/>
      <c r="H305" s="302"/>
      <c r="I305" s="302"/>
      <c r="J305" s="302"/>
      <c r="K305" s="302"/>
      <c r="L305" s="302"/>
      <c r="M305" s="302"/>
      <c r="N305" s="302"/>
      <c r="R305" s="450"/>
    </row>
    <row r="306" spans="1:18" s="282" customFormat="1" x14ac:dyDescent="0.2">
      <c r="A306" s="302"/>
      <c r="B306" s="302"/>
      <c r="C306" s="302"/>
      <c r="D306" s="303"/>
      <c r="E306" s="302"/>
      <c r="F306" s="302"/>
      <c r="G306" s="302"/>
      <c r="H306" s="302"/>
      <c r="I306" s="302"/>
      <c r="J306" s="302"/>
      <c r="K306" s="302"/>
      <c r="L306" s="302"/>
      <c r="M306" s="302"/>
      <c r="N306" s="302"/>
      <c r="R306" s="450"/>
    </row>
    <row r="307" spans="1:18" s="282" customFormat="1" x14ac:dyDescent="0.2">
      <c r="A307" s="302"/>
      <c r="B307" s="302"/>
      <c r="C307" s="302"/>
      <c r="D307" s="303"/>
      <c r="E307" s="302"/>
      <c r="F307" s="302"/>
      <c r="G307" s="302"/>
      <c r="H307" s="302"/>
      <c r="I307" s="302"/>
      <c r="J307" s="302"/>
      <c r="K307" s="302"/>
      <c r="L307" s="302"/>
      <c r="M307" s="302"/>
      <c r="N307" s="302"/>
      <c r="R307" s="450"/>
    </row>
    <row r="308" spans="1:18" s="282" customFormat="1" x14ac:dyDescent="0.2">
      <c r="A308" s="302"/>
      <c r="B308" s="302"/>
      <c r="C308" s="302"/>
      <c r="D308" s="303"/>
      <c r="E308" s="302"/>
      <c r="F308" s="302"/>
      <c r="G308" s="302"/>
      <c r="H308" s="302"/>
      <c r="I308" s="302"/>
      <c r="J308" s="302"/>
      <c r="K308" s="302"/>
      <c r="L308" s="302"/>
      <c r="M308" s="302"/>
      <c r="N308" s="302"/>
      <c r="R308" s="450"/>
    </row>
    <row r="309" spans="1:18" s="282" customFormat="1" x14ac:dyDescent="0.2">
      <c r="A309" s="302"/>
      <c r="B309" s="302"/>
      <c r="C309" s="302"/>
      <c r="D309" s="303"/>
      <c r="E309" s="302"/>
      <c r="F309" s="302"/>
      <c r="G309" s="302"/>
      <c r="H309" s="302"/>
      <c r="I309" s="302"/>
      <c r="J309" s="302"/>
      <c r="K309" s="302"/>
      <c r="L309" s="302"/>
      <c r="M309" s="302"/>
      <c r="N309" s="302"/>
      <c r="R309" s="450"/>
    </row>
    <row r="310" spans="1:18" s="282" customFormat="1" x14ac:dyDescent="0.2">
      <c r="A310" s="302"/>
      <c r="B310" s="302"/>
      <c r="C310" s="302"/>
      <c r="D310" s="303"/>
      <c r="E310" s="302"/>
      <c r="F310" s="302"/>
      <c r="G310" s="302"/>
      <c r="H310" s="302"/>
      <c r="I310" s="302"/>
      <c r="J310" s="302"/>
      <c r="K310" s="302"/>
      <c r="L310" s="302"/>
      <c r="M310" s="302"/>
      <c r="N310" s="302"/>
      <c r="R310" s="450"/>
    </row>
    <row r="311" spans="1:18" s="282" customFormat="1" x14ac:dyDescent="0.2">
      <c r="A311" s="302"/>
      <c r="B311" s="302"/>
      <c r="C311" s="302"/>
      <c r="D311" s="303"/>
      <c r="E311" s="302"/>
      <c r="F311" s="302"/>
      <c r="G311" s="302"/>
      <c r="H311" s="302"/>
      <c r="I311" s="302"/>
      <c r="J311" s="302"/>
      <c r="K311" s="302"/>
      <c r="L311" s="302"/>
      <c r="M311" s="302"/>
      <c r="N311" s="302"/>
      <c r="R311" s="450"/>
    </row>
    <row r="312" spans="1:18" s="282" customFormat="1" x14ac:dyDescent="0.2">
      <c r="A312" s="302"/>
      <c r="B312" s="302"/>
      <c r="C312" s="302"/>
      <c r="D312" s="303"/>
      <c r="E312" s="302"/>
      <c r="F312" s="302"/>
      <c r="G312" s="302"/>
      <c r="H312" s="302"/>
      <c r="I312" s="302"/>
      <c r="J312" s="302"/>
      <c r="K312" s="302"/>
      <c r="L312" s="302"/>
      <c r="M312" s="302"/>
      <c r="N312" s="302"/>
      <c r="R312" s="450"/>
    </row>
    <row r="313" spans="1:18" s="282" customFormat="1" x14ac:dyDescent="0.2">
      <c r="A313" s="302"/>
      <c r="B313" s="302"/>
      <c r="C313" s="302"/>
      <c r="D313" s="303"/>
      <c r="E313" s="302"/>
      <c r="F313" s="302"/>
      <c r="G313" s="302"/>
      <c r="H313" s="302"/>
      <c r="I313" s="302"/>
      <c r="J313" s="302"/>
      <c r="K313" s="302"/>
      <c r="L313" s="302"/>
      <c r="M313" s="302"/>
      <c r="N313" s="302"/>
      <c r="R313" s="450"/>
    </row>
    <row r="314" spans="1:18" s="282" customFormat="1" x14ac:dyDescent="0.2">
      <c r="A314" s="302"/>
      <c r="B314" s="302"/>
      <c r="C314" s="302"/>
      <c r="D314" s="303"/>
      <c r="E314" s="302"/>
      <c r="F314" s="302"/>
      <c r="G314" s="302"/>
      <c r="H314" s="302"/>
      <c r="I314" s="302"/>
      <c r="J314" s="302"/>
      <c r="K314" s="302"/>
      <c r="L314" s="302"/>
      <c r="M314" s="302"/>
      <c r="N314" s="302"/>
      <c r="R314" s="450"/>
    </row>
    <row r="315" spans="1:18" s="282" customFormat="1" x14ac:dyDescent="0.2">
      <c r="A315" s="302"/>
      <c r="B315" s="302"/>
      <c r="C315" s="302"/>
      <c r="D315" s="303"/>
      <c r="E315" s="302"/>
      <c r="F315" s="302"/>
      <c r="G315" s="302"/>
      <c r="H315" s="302"/>
      <c r="I315" s="302"/>
      <c r="J315" s="302"/>
      <c r="K315" s="302"/>
      <c r="L315" s="302"/>
      <c r="M315" s="302"/>
      <c r="N315" s="302"/>
      <c r="R315" s="450"/>
    </row>
    <row r="316" spans="1:18" s="282" customFormat="1" x14ac:dyDescent="0.2">
      <c r="A316" s="302"/>
      <c r="B316" s="302"/>
      <c r="C316" s="302"/>
      <c r="D316" s="303"/>
      <c r="E316" s="302"/>
      <c r="F316" s="302"/>
      <c r="G316" s="302"/>
      <c r="H316" s="302"/>
      <c r="I316" s="302"/>
      <c r="J316" s="302"/>
      <c r="K316" s="302"/>
      <c r="L316" s="302"/>
      <c r="M316" s="302"/>
      <c r="N316" s="302"/>
      <c r="R316" s="450"/>
    </row>
    <row r="317" spans="1:18" s="282" customFormat="1" x14ac:dyDescent="0.2">
      <c r="A317" s="302"/>
      <c r="B317" s="302"/>
      <c r="C317" s="302"/>
      <c r="D317" s="303"/>
      <c r="E317" s="302"/>
      <c r="F317" s="302"/>
      <c r="G317" s="302"/>
      <c r="H317" s="302"/>
      <c r="I317" s="302"/>
      <c r="J317" s="302"/>
      <c r="K317" s="302"/>
      <c r="L317" s="302"/>
      <c r="M317" s="302"/>
      <c r="N317" s="302"/>
      <c r="R317" s="450"/>
    </row>
    <row r="318" spans="1:18" s="282" customFormat="1" x14ac:dyDescent="0.2">
      <c r="A318" s="302"/>
      <c r="B318" s="302"/>
      <c r="C318" s="302"/>
      <c r="D318" s="303"/>
      <c r="E318" s="302"/>
      <c r="F318" s="302"/>
      <c r="G318" s="302"/>
      <c r="H318" s="302"/>
      <c r="I318" s="302"/>
      <c r="J318" s="302"/>
      <c r="K318" s="302"/>
      <c r="L318" s="302"/>
      <c r="M318" s="302"/>
      <c r="N318" s="302"/>
      <c r="R318" s="450"/>
    </row>
    <row r="319" spans="1:18" s="282" customFormat="1" x14ac:dyDescent="0.2">
      <c r="A319" s="302"/>
      <c r="B319" s="302"/>
      <c r="C319" s="302"/>
      <c r="D319" s="303"/>
      <c r="E319" s="302"/>
      <c r="F319" s="302"/>
      <c r="G319" s="302"/>
      <c r="H319" s="302"/>
      <c r="I319" s="302"/>
      <c r="J319" s="302"/>
      <c r="K319" s="302"/>
      <c r="L319" s="302"/>
      <c r="M319" s="302"/>
      <c r="N319" s="302"/>
      <c r="R319" s="450"/>
    </row>
    <row r="320" spans="1:18" s="282" customFormat="1" x14ac:dyDescent="0.2">
      <c r="A320" s="302"/>
      <c r="B320" s="302"/>
      <c r="C320" s="302"/>
      <c r="D320" s="303"/>
      <c r="E320" s="302"/>
      <c r="F320" s="302"/>
      <c r="G320" s="302"/>
      <c r="H320" s="302"/>
      <c r="I320" s="302"/>
      <c r="J320" s="302"/>
      <c r="K320" s="302"/>
      <c r="L320" s="302"/>
      <c r="M320" s="302"/>
      <c r="N320" s="302"/>
      <c r="R320" s="450"/>
    </row>
    <row r="321" spans="1:18" s="282" customFormat="1" x14ac:dyDescent="0.2">
      <c r="A321" s="302"/>
      <c r="B321" s="302"/>
      <c r="C321" s="302"/>
      <c r="D321" s="303"/>
      <c r="E321" s="302"/>
      <c r="F321" s="302"/>
      <c r="G321" s="302"/>
      <c r="H321" s="302"/>
      <c r="I321" s="302"/>
      <c r="J321" s="302"/>
      <c r="K321" s="302"/>
      <c r="L321" s="302"/>
      <c r="M321" s="302"/>
      <c r="N321" s="302"/>
      <c r="R321" s="450"/>
    </row>
    <row r="322" spans="1:18" s="282" customFormat="1" x14ac:dyDescent="0.2">
      <c r="A322" s="450"/>
      <c r="B322" s="450"/>
      <c r="C322" s="450"/>
      <c r="D322" s="279"/>
      <c r="E322" s="450"/>
      <c r="F322" s="450"/>
      <c r="G322" s="302"/>
      <c r="H322" s="302"/>
      <c r="I322" s="302"/>
      <c r="J322" s="302"/>
      <c r="K322" s="302"/>
      <c r="L322" s="302"/>
      <c r="M322" s="302"/>
      <c r="N322" s="302"/>
      <c r="R322" s="450"/>
    </row>
    <row r="323" spans="1:18" s="282" customFormat="1" x14ac:dyDescent="0.2">
      <c r="A323" s="450"/>
      <c r="B323" s="450"/>
      <c r="C323" s="450"/>
      <c r="D323" s="279"/>
      <c r="E323" s="450"/>
      <c r="F323" s="450"/>
      <c r="G323" s="302"/>
      <c r="H323" s="302"/>
      <c r="I323" s="302"/>
      <c r="J323" s="302"/>
      <c r="K323" s="302"/>
      <c r="L323" s="302"/>
      <c r="M323" s="302"/>
      <c r="N323" s="302"/>
      <c r="R323" s="450"/>
    </row>
    <row r="324" spans="1:18" s="282" customFormat="1" x14ac:dyDescent="0.2">
      <c r="A324" s="450"/>
      <c r="B324" s="450"/>
      <c r="C324" s="450"/>
      <c r="D324" s="279"/>
      <c r="E324" s="450"/>
      <c r="F324" s="450"/>
      <c r="G324" s="302"/>
      <c r="H324" s="302"/>
      <c r="I324" s="302"/>
      <c r="J324" s="302"/>
      <c r="K324" s="302"/>
      <c r="L324" s="302"/>
      <c r="M324" s="302"/>
      <c r="N324" s="302"/>
      <c r="R324" s="450"/>
    </row>
    <row r="325" spans="1:18" s="282" customFormat="1" x14ac:dyDescent="0.2">
      <c r="A325" s="450"/>
      <c r="B325" s="450"/>
      <c r="C325" s="450"/>
      <c r="D325" s="279"/>
      <c r="E325" s="450"/>
      <c r="F325" s="450"/>
      <c r="G325" s="302"/>
      <c r="H325" s="302"/>
      <c r="I325" s="302"/>
      <c r="J325" s="302"/>
      <c r="K325" s="302"/>
      <c r="L325" s="302"/>
      <c r="M325" s="302"/>
      <c r="N325" s="302"/>
      <c r="R325" s="450"/>
    </row>
    <row r="326" spans="1:18" s="282" customFormat="1" x14ac:dyDescent="0.2">
      <c r="A326" s="450"/>
      <c r="B326" s="450"/>
      <c r="C326" s="450"/>
      <c r="D326" s="279"/>
      <c r="E326" s="450"/>
      <c r="F326" s="450"/>
      <c r="G326" s="302"/>
      <c r="H326" s="302"/>
      <c r="I326" s="302"/>
      <c r="J326" s="302"/>
      <c r="K326" s="302"/>
      <c r="L326" s="302"/>
      <c r="M326" s="302"/>
      <c r="N326" s="302"/>
      <c r="R326" s="450"/>
    </row>
    <row r="327" spans="1:18" s="282" customFormat="1" x14ac:dyDescent="0.2">
      <c r="A327" s="450"/>
      <c r="B327" s="450"/>
      <c r="C327" s="450"/>
      <c r="D327" s="279"/>
      <c r="E327" s="450"/>
      <c r="F327" s="450"/>
      <c r="G327" s="302"/>
      <c r="H327" s="302"/>
      <c r="I327" s="302"/>
      <c r="J327" s="302"/>
      <c r="K327" s="302"/>
      <c r="L327" s="302"/>
      <c r="M327" s="302"/>
      <c r="N327" s="302"/>
      <c r="R327" s="450"/>
    </row>
    <row r="328" spans="1:18" s="282" customFormat="1" x14ac:dyDescent="0.2">
      <c r="A328" s="450"/>
      <c r="B328" s="450"/>
      <c r="C328" s="450"/>
      <c r="D328" s="279"/>
      <c r="E328" s="450"/>
      <c r="F328" s="450"/>
      <c r="G328" s="302"/>
      <c r="H328" s="302"/>
      <c r="I328" s="302"/>
      <c r="J328" s="302"/>
      <c r="K328" s="302"/>
      <c r="L328" s="302"/>
      <c r="M328" s="302"/>
      <c r="N328" s="302"/>
      <c r="R328" s="450"/>
    </row>
    <row r="329" spans="1:18" s="282" customFormat="1" x14ac:dyDescent="0.2">
      <c r="A329" s="450"/>
      <c r="B329" s="450"/>
      <c r="C329" s="450"/>
      <c r="D329" s="279"/>
      <c r="E329" s="450"/>
      <c r="F329" s="450"/>
      <c r="G329" s="302"/>
      <c r="H329" s="302"/>
      <c r="I329" s="302"/>
      <c r="J329" s="302"/>
      <c r="K329" s="302"/>
      <c r="L329" s="302"/>
      <c r="M329" s="302"/>
      <c r="N329" s="302"/>
      <c r="R329" s="450"/>
    </row>
    <row r="330" spans="1:18" s="282" customFormat="1" x14ac:dyDescent="0.2">
      <c r="A330" s="450"/>
      <c r="B330" s="450"/>
      <c r="C330" s="450"/>
      <c r="D330" s="279"/>
      <c r="E330" s="450"/>
      <c r="F330" s="450"/>
      <c r="G330" s="302"/>
      <c r="H330" s="302"/>
      <c r="I330" s="302"/>
      <c r="J330" s="302"/>
      <c r="K330" s="302"/>
      <c r="L330" s="302"/>
      <c r="M330" s="302"/>
      <c r="N330" s="302"/>
      <c r="R330" s="450"/>
    </row>
    <row r="331" spans="1:18" s="282" customFormat="1" x14ac:dyDescent="0.2">
      <c r="A331" s="450"/>
      <c r="B331" s="450"/>
      <c r="C331" s="450"/>
      <c r="D331" s="279"/>
      <c r="E331" s="450"/>
      <c r="F331" s="450"/>
      <c r="G331" s="302"/>
      <c r="H331" s="302"/>
      <c r="I331" s="302"/>
      <c r="J331" s="302"/>
      <c r="K331" s="302"/>
      <c r="L331" s="302"/>
      <c r="M331" s="302"/>
      <c r="N331" s="302"/>
      <c r="R331" s="450"/>
    </row>
    <row r="332" spans="1:18" s="282" customFormat="1" x14ac:dyDescent="0.2">
      <c r="A332" s="450"/>
      <c r="B332" s="450"/>
      <c r="C332" s="450"/>
      <c r="D332" s="279"/>
      <c r="E332" s="450"/>
      <c r="F332" s="450"/>
      <c r="G332" s="302"/>
      <c r="H332" s="450"/>
      <c r="I332" s="450"/>
      <c r="J332" s="450"/>
      <c r="K332" s="450"/>
      <c r="L332" s="302"/>
      <c r="M332" s="302"/>
      <c r="N332" s="302"/>
      <c r="R332" s="450"/>
    </row>
    <row r="333" spans="1:18" s="282" customFormat="1" x14ac:dyDescent="0.2">
      <c r="A333" s="450"/>
      <c r="B333" s="450"/>
      <c r="C333" s="450"/>
      <c r="D333" s="279"/>
      <c r="E333" s="450"/>
      <c r="F333" s="450"/>
      <c r="G333" s="302"/>
      <c r="H333" s="450"/>
      <c r="I333" s="450"/>
      <c r="J333" s="450"/>
      <c r="K333" s="450"/>
      <c r="L333" s="302"/>
      <c r="M333" s="302"/>
      <c r="N333" s="302"/>
      <c r="R333" s="450"/>
    </row>
    <row r="334" spans="1:18" s="282" customFormat="1" x14ac:dyDescent="0.2">
      <c r="A334" s="450"/>
      <c r="B334" s="450"/>
      <c r="C334" s="450"/>
      <c r="D334" s="279"/>
      <c r="E334" s="450"/>
      <c r="F334" s="450"/>
      <c r="G334" s="450"/>
      <c r="H334" s="450"/>
      <c r="I334" s="450"/>
      <c r="J334" s="450"/>
      <c r="K334" s="450"/>
      <c r="L334" s="450"/>
      <c r="M334" s="302"/>
      <c r="N334" s="302"/>
      <c r="R334" s="450"/>
    </row>
    <row r="335" spans="1:18" s="282" customFormat="1" x14ac:dyDescent="0.2">
      <c r="A335" s="450"/>
      <c r="B335" s="450"/>
      <c r="C335" s="450"/>
      <c r="D335" s="279"/>
      <c r="E335" s="450"/>
      <c r="F335" s="450"/>
      <c r="G335" s="450"/>
      <c r="H335" s="450"/>
      <c r="I335" s="450"/>
      <c r="J335" s="450"/>
      <c r="K335" s="450"/>
      <c r="L335" s="450"/>
      <c r="M335" s="302"/>
      <c r="N335" s="302"/>
      <c r="R335" s="450"/>
    </row>
    <row r="336" spans="1:18" s="282" customFormat="1" x14ac:dyDescent="0.2">
      <c r="A336" s="450"/>
      <c r="B336" s="450"/>
      <c r="C336" s="450"/>
      <c r="D336" s="279"/>
      <c r="E336" s="450"/>
      <c r="F336" s="450"/>
      <c r="G336" s="450"/>
      <c r="H336" s="450"/>
      <c r="I336" s="450"/>
      <c r="J336" s="450"/>
      <c r="K336" s="450"/>
      <c r="L336" s="450"/>
      <c r="M336" s="302"/>
      <c r="N336" s="302"/>
      <c r="R336" s="450"/>
    </row>
    <row r="337" spans="1:18" s="282" customFormat="1" x14ac:dyDescent="0.2">
      <c r="A337" s="450"/>
      <c r="B337" s="450"/>
      <c r="C337" s="450"/>
      <c r="D337" s="279"/>
      <c r="E337" s="450"/>
      <c r="F337" s="450"/>
      <c r="G337" s="450"/>
      <c r="H337" s="450"/>
      <c r="I337" s="450"/>
      <c r="J337" s="450"/>
      <c r="K337" s="450"/>
      <c r="L337" s="450"/>
      <c r="M337" s="302"/>
      <c r="N337" s="302"/>
      <c r="R337" s="450"/>
    </row>
    <row r="338" spans="1:18" s="282" customFormat="1" x14ac:dyDescent="0.2">
      <c r="A338" s="450"/>
      <c r="B338" s="450"/>
      <c r="C338" s="450"/>
      <c r="D338" s="279"/>
      <c r="E338" s="450"/>
      <c r="F338" s="450"/>
      <c r="G338" s="450"/>
      <c r="H338" s="450"/>
      <c r="I338" s="450"/>
      <c r="J338" s="450"/>
      <c r="K338" s="450"/>
      <c r="L338" s="450"/>
      <c r="M338" s="302"/>
      <c r="N338" s="302"/>
      <c r="R338" s="450"/>
    </row>
    <row r="339" spans="1:18" s="282" customFormat="1" x14ac:dyDescent="0.2">
      <c r="A339" s="450"/>
      <c r="B339" s="450"/>
      <c r="C339" s="450"/>
      <c r="D339" s="279"/>
      <c r="E339" s="450"/>
      <c r="F339" s="450"/>
      <c r="G339" s="450"/>
      <c r="H339" s="450"/>
      <c r="I339" s="450"/>
      <c r="J339" s="450"/>
      <c r="K339" s="450"/>
      <c r="L339" s="450"/>
      <c r="M339" s="302"/>
      <c r="N339" s="302"/>
      <c r="R339" s="450"/>
    </row>
    <row r="340" spans="1:18" s="282" customFormat="1" x14ac:dyDescent="0.2">
      <c r="A340" s="450"/>
      <c r="B340" s="450"/>
      <c r="C340" s="450"/>
      <c r="D340" s="279"/>
      <c r="E340" s="450"/>
      <c r="F340" s="450"/>
      <c r="G340" s="450"/>
      <c r="H340" s="450"/>
      <c r="I340" s="450"/>
      <c r="J340" s="450"/>
      <c r="K340" s="450"/>
      <c r="L340" s="450"/>
      <c r="M340" s="302"/>
      <c r="N340" s="302"/>
      <c r="R340" s="450"/>
    </row>
    <row r="341" spans="1:18" s="282" customFormat="1" x14ac:dyDescent="0.2">
      <c r="A341" s="450"/>
      <c r="B341" s="450"/>
      <c r="C341" s="450"/>
      <c r="D341" s="279"/>
      <c r="E341" s="450"/>
      <c r="F341" s="450"/>
      <c r="G341" s="450"/>
      <c r="H341" s="450"/>
      <c r="I341" s="450"/>
      <c r="J341" s="450"/>
      <c r="K341" s="450"/>
      <c r="L341" s="450"/>
      <c r="M341" s="302"/>
      <c r="N341" s="302"/>
      <c r="R341" s="450"/>
    </row>
    <row r="342" spans="1:18" s="282" customFormat="1" x14ac:dyDescent="0.2">
      <c r="A342" s="450"/>
      <c r="B342" s="450"/>
      <c r="C342" s="450"/>
      <c r="D342" s="279"/>
      <c r="E342" s="450"/>
      <c r="F342" s="450"/>
      <c r="G342" s="450"/>
      <c r="H342" s="450"/>
      <c r="I342" s="450"/>
      <c r="J342" s="450"/>
      <c r="K342" s="450"/>
      <c r="L342" s="450"/>
      <c r="M342" s="302"/>
      <c r="N342" s="302"/>
      <c r="R342" s="450"/>
    </row>
    <row r="343" spans="1:18" s="282" customFormat="1" x14ac:dyDescent="0.2">
      <c r="A343" s="450"/>
      <c r="B343" s="450"/>
      <c r="C343" s="450"/>
      <c r="D343" s="279"/>
      <c r="E343" s="450"/>
      <c r="F343" s="450"/>
      <c r="G343" s="450"/>
      <c r="H343" s="450"/>
      <c r="I343" s="450"/>
      <c r="J343" s="450"/>
      <c r="K343" s="450"/>
      <c r="L343" s="450"/>
      <c r="M343" s="302"/>
      <c r="N343" s="302"/>
      <c r="R343" s="450"/>
    </row>
  </sheetData>
  <customSheetViews>
    <customSheetView guid="{06317133-151B-4DBC-8EB3-9345BA061F91}" scale="90" showPageBreaks="1" fitToPage="1">
      <pane ySplit="7" topLeftCell="A190" activePane="bottomLeft" state="frozen"/>
      <selection pane="bottomLeft" activeCell="K156" sqref="K156"/>
      <pageMargins left="0.11811023622047245" right="0" top="1.0629921259842521" bottom="0.11811023622047245" header="0.31496062992125984" footer="0.11811023622047245"/>
      <pageSetup paperSize="8" scale="48" fitToHeight="0" orientation="portrait" r:id="rId1"/>
      <headerFooter>
        <oddFooter>&amp;L&amp;A&amp;Rлист &amp;P    листов &amp;N</oddFooter>
      </headerFooter>
    </customSheetView>
    <customSheetView guid="{375BA386-B398-4A0E-AF86-4319F1FDDF11}" showPageBreaks="1" fitToPage="1">
      <pane ySplit="7" topLeftCell="A8" activePane="bottomLeft" state="frozen"/>
      <selection pane="bottomLeft" activeCell="M76" sqref="M76:N77"/>
      <pageMargins left="0.11811023622047245" right="0" top="1.0629921259842521" bottom="0.11811023622047245" header="0.31496062992125984" footer="0.11811023622047245"/>
      <pageSetup paperSize="8" scale="33" fitToHeight="0" orientation="portrait" r:id="rId2"/>
      <headerFooter>
        <oddFooter>&amp;L&amp;A&amp;Rлист &amp;P    листов &amp;N</oddFooter>
      </headerFooter>
    </customSheetView>
    <customSheetView guid="{45C31AC1-6FB2-488C-94EA-BCF9E79D0043}" showPageBreaks="1" fitToPage="1" hiddenColumns="1">
      <pane ySplit="7" topLeftCell="A188" activePane="bottomLeft" state="frozen"/>
      <selection pane="bottomLeft" activeCell="A20" sqref="A20"/>
      <pageMargins left="0.11811023622047245" right="0" top="1.0629921259842521" bottom="0.11811023622047245" header="0.31496062992125984" footer="0.11811023622047245"/>
      <pageSetup paperSize="8" scale="59" fitToHeight="0" orientation="portrait" r:id="rId3"/>
      <headerFooter>
        <oddFooter>&amp;L&amp;A&amp;Rлист &amp;P    листов &amp;N</oddFooter>
      </headerFooter>
    </customSheetView>
    <customSheetView guid="{845EA106-2CB5-4F86-BBCF-D0DE18153B1C}" showPageBreaks="1" fitToPage="1" printArea="1">
      <pane ySplit="7" topLeftCell="A32" activePane="bottomLeft" state="frozen"/>
      <selection pane="bottomLeft" activeCell="G21" sqref="G21"/>
      <pageMargins left="0.11811023622047245" right="0" top="1.0629921259842521" bottom="0.11811023622047245" header="0.31496062992125984" footer="0.11811023622047245"/>
      <pageSetup paperSize="8" scale="75" fitToHeight="0" orientation="portrait" r:id="rId4"/>
      <headerFooter>
        <oddFooter>&amp;L&amp;A&amp;Rлист &amp;P    листов &amp;N</oddFooter>
      </headerFooter>
    </customSheetView>
    <customSheetView guid="{C29DA669-F4F9-44CD-9569-E796ADF74A86}" showPageBreaks="1" fitToPage="1">
      <pane ySplit="7" topLeftCell="A8" activePane="bottomLeft" state="frozen"/>
      <selection pane="bottomLeft" activeCell="M76" sqref="M76:N77"/>
      <pageMargins left="0.11811023622047245" right="0" top="1.0629921259842521" bottom="0.11811023622047245" header="0.31496062992125984" footer="0.11811023622047245"/>
      <pageSetup paperSize="8" scale="48" fitToHeight="0" orientation="portrait" r:id="rId5"/>
      <headerFooter>
        <oddFooter>&amp;L&amp;A&amp;Rлист &amp;P    листов &amp;N</oddFooter>
      </headerFooter>
    </customSheetView>
    <customSheetView guid="{A1BD6C0C-B1B9-4F48-A6B1-3BFD273F4CD7}" showPageBreaks="1" fitToPage="1" hiddenColumns="1">
      <pane ySplit="7" topLeftCell="A95" activePane="bottomLeft" state="frozen"/>
      <selection pane="bottomLeft" activeCell="J104" sqref="J104"/>
      <pageMargins left="0.11811023622047245" right="0" top="1.0629921259842521" bottom="0.11811023622047245" header="0.31496062992125984" footer="0.11811023622047245"/>
      <pageSetup paperSize="8" scale="41" fitToHeight="0" orientation="portrait" r:id="rId6"/>
      <headerFooter>
        <oddFooter>&amp;L&amp;A&amp;Rлист &amp;P    листов &amp;N</oddFooter>
      </headerFooter>
    </customSheetView>
    <customSheetView guid="{D42288F7-1871-4EF6-BC87-1B9EF747C744}" scale="90" fitToPage="1">
      <pane ySplit="7" topLeftCell="A190" activePane="bottomLeft" state="frozen"/>
      <selection pane="bottomLeft" activeCell="K156" sqref="K156"/>
      <pageMargins left="0.11811023622047245" right="0" top="1.0629921259842521" bottom="0.11811023622047245" header="0.31496062992125984" footer="0.11811023622047245"/>
      <pageSetup paperSize="8" scale="48" fitToHeight="0" orientation="portrait" r:id="rId7"/>
      <headerFooter>
        <oddFooter>&amp;L&amp;A&amp;Rлист &amp;P    листов &amp;N</oddFooter>
      </headerFooter>
    </customSheetView>
    <customSheetView guid="{8C638750-2D78-446E-B8DA-A6202AF1ED31}" showPageBreaks="1" fitToPage="1" printArea="1">
      <pane ySplit="7" topLeftCell="A170" activePane="bottomLeft" state="frozen"/>
      <selection pane="bottomLeft" activeCell="K174" sqref="K174"/>
      <pageMargins left="0.11811023622047245" right="0" top="1.0629921259842521" bottom="0.11811023622047245" header="0.31496062992125984" footer="0.11811023622047245"/>
      <pageSetup paperSize="8" fitToHeight="0" orientation="portrait" r:id="rId8"/>
      <headerFooter>
        <oddFooter>&amp;L&amp;A&amp;Rлист &amp;P    листов &amp;N</oddFooter>
      </headerFooter>
    </customSheetView>
  </customSheetViews>
  <mergeCells count="18">
    <mergeCell ref="A1:B1"/>
    <mergeCell ref="J1:M1"/>
    <mergeCell ref="A2:B2"/>
    <mergeCell ref="J2:M2"/>
    <mergeCell ref="A3:B3"/>
    <mergeCell ref="J3:M3"/>
    <mergeCell ref="A6:A7"/>
    <mergeCell ref="B6:B7"/>
    <mergeCell ref="C6:C7"/>
    <mergeCell ref="D6:D7"/>
    <mergeCell ref="E6:E7"/>
    <mergeCell ref="H6:K6"/>
    <mergeCell ref="L6:L7"/>
    <mergeCell ref="M6:M7"/>
    <mergeCell ref="C4:D4"/>
    <mergeCell ref="E4:G4"/>
    <mergeCell ref="F6:F7"/>
    <mergeCell ref="G6:G7"/>
  </mergeCells>
  <pageMargins left="0.11811023622047245" right="0" top="1.0629921259842521" bottom="0.11811023622047245" header="0.31496062992125984" footer="0.11811023622047245"/>
  <pageSetup paperSize="8" scale="48" fitToHeight="0" orientation="portrait" r:id="rId9"/>
  <headerFooter>
    <oddFooter>&amp;L&amp;A&amp;Rлист &amp;P    листов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19</vt:i4>
      </vt:variant>
      <vt:variant>
        <vt:lpstr>Именованные диапазоны</vt:lpstr>
      </vt:variant>
      <vt:variant>
        <vt:i4>16</vt:i4>
      </vt:variant>
    </vt:vector>
  </HeadingPairs>
  <TitlesOfParts>
    <vt:vector size="35" baseType="lpstr">
      <vt:lpstr>Лист1</vt:lpstr>
      <vt:lpstr>январь 2019 Эпотос-К</vt:lpstr>
      <vt:lpstr>январь 2019</vt:lpstr>
      <vt:lpstr>февраль 2019 Эпотос-К</vt:lpstr>
      <vt:lpstr>февраль 2019</vt:lpstr>
      <vt:lpstr>март 2019 Эпотос-К</vt:lpstr>
      <vt:lpstr>март 2019</vt:lpstr>
      <vt:lpstr>апрель 2019 Эпотос-К</vt:lpstr>
      <vt:lpstr>апрель 2019</vt:lpstr>
      <vt:lpstr>май 2019 Эпотос-К</vt:lpstr>
      <vt:lpstr>май 2019</vt:lpstr>
      <vt:lpstr>июнь 2019 Эпотос-К</vt:lpstr>
      <vt:lpstr>июнь 2019</vt:lpstr>
      <vt:lpstr>обзор 2019</vt:lpstr>
      <vt:lpstr>обзор 2018</vt:lpstr>
      <vt:lpstr>обзор 2017</vt:lpstr>
      <vt:lpstr>обзор 2016</vt:lpstr>
      <vt:lpstr>объёмы 2019</vt:lpstr>
      <vt:lpstr>загрузка Эпотос-К</vt:lpstr>
      <vt:lpstr>'апрель 2019'!Заголовки_для_печати</vt:lpstr>
      <vt:lpstr>'июнь 2019'!Заголовки_для_печати</vt:lpstr>
      <vt:lpstr>'май 2019'!Заголовки_для_печати</vt:lpstr>
      <vt:lpstr>'март 2019'!Заголовки_для_печати</vt:lpstr>
      <vt:lpstr>'объёмы 2019'!Заголовки_для_печати</vt:lpstr>
      <vt:lpstr>'февраль 2019'!Заголовки_для_печати</vt:lpstr>
      <vt:lpstr>'январь 2019'!Заголовки_для_печати</vt:lpstr>
      <vt:lpstr>'апрель 2019 Эпотос-К'!Область_печати</vt:lpstr>
      <vt:lpstr>'июнь 2019 Эпотос-К'!Область_печати</vt:lpstr>
      <vt:lpstr>'май 2019 Эпотос-К'!Область_печати</vt:lpstr>
      <vt:lpstr>'март 2019 Эпотос-К'!Область_печати</vt:lpstr>
      <vt:lpstr>'обзор 2016'!Область_печати</vt:lpstr>
      <vt:lpstr>'обзор 2017'!Область_печати</vt:lpstr>
      <vt:lpstr>'обзор 2018'!Область_печати</vt:lpstr>
      <vt:lpstr>'обзор 2019'!Область_печати</vt:lpstr>
      <vt:lpstr>'объёмы 2019'!Область_печати</vt:lpstr>
    </vt:vector>
  </TitlesOfParts>
  <Company>оснастка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VVV</dc:creator>
  <cp:lastModifiedBy>БыковаВП</cp:lastModifiedBy>
  <cp:lastPrinted>2019-04-09T04:39:13Z</cp:lastPrinted>
  <dcterms:created xsi:type="dcterms:W3CDTF">2011-12-19T12:28:41Z</dcterms:created>
  <dcterms:modified xsi:type="dcterms:W3CDTF">2019-06-13T12:58:56Z</dcterms:modified>
</cp:coreProperties>
</file>