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filterPrivacy="1"/>
  <xr:revisionPtr revIDLastSave="0" documentId="10_ncr:100000_{E6EADF04-9E05-4E77-B75C-51B3549D7213}" xr6:coauthVersionLast="31" xr6:coauthVersionMax="31" xr10:uidLastSave="{00000000-0000-0000-0000-000000000000}"/>
  <bookViews>
    <workbookView xWindow="0" yWindow="0" windowWidth="19008" windowHeight="9072" firstSheet="4" activeTab="8" xr2:uid="{00000000-000D-0000-FFFF-FFFF00000000}"/>
  </bookViews>
  <sheets>
    <sheet name="Title page" sheetId="27" r:id="rId1"/>
    <sheet name="A2-1 EV-ICEV composition" sheetId="15" r:id="rId2"/>
    <sheet name="A2-2 Uncertainties ELV" sheetId="12" r:id="rId3"/>
    <sheet name="A2-3 Generic MFA" sheetId="1" r:id="rId4"/>
    <sheet name="A2-4 Derived trans.coefficients" sheetId="20" r:id="rId5"/>
    <sheet name="A2-4.1 Transfercoefficients" sheetId="28" r:id="rId6"/>
    <sheet name="A2-4.2 TCs improved" sheetId="33" r:id="rId7"/>
    <sheet name="A2-5 Hmax &amp; Mmax" sheetId="37" r:id="rId8"/>
    <sheet name="A2-6 RSE components" sheetId="34" r:id="rId9"/>
  </sheets>
  <definedNames>
    <definedName name="_xlnm._FilterDatabase" localSheetId="1" hidden="1">'A2-1 EV-ICEV composition'!$M$196:$M$205</definedName>
    <definedName name="_xlnm._FilterDatabase" localSheetId="2" hidden="1">'A2-2 Uncertainties ELV'!$N$13:$O$24</definedName>
    <definedName name="Body_doors">'A2-1 EV-ICEV composition'!$AK$29:$AK$44</definedName>
    <definedName name="Brakes">'A2-1 EV-ICEV composition'!$AE$29:$AE$44</definedName>
    <definedName name="Chassis">'A2-1 EV-ICEV composition'!$AH$29:$AH$44</definedName>
    <definedName name="Dismantled_ELV" localSheetId="6">#REF!</definedName>
    <definedName name="Dismantled_ELV" localSheetId="7">'A2-5 Hmax &amp; Mmax'!$B$13:$B$23</definedName>
    <definedName name="Dismantled_ELV">#REF!</definedName>
    <definedName name="Engine">'A2-1 EV-ICEV composition'!$AQ$29:$AQ$44</definedName>
    <definedName name="EV_battery">'A2-1 EV-ICEV composition'!$P$29:$P$44</definedName>
    <definedName name="EV_motor_and_transmission">'A2-1 EV-ICEV composition'!$S$29:$S$44</definedName>
    <definedName name="ex.1" localSheetId="2">'A2-2 Uncertainties ELV'!$C$8</definedName>
    <definedName name="ex.1" localSheetId="5">#REF!</definedName>
    <definedName name="ex.1" localSheetId="6">#REF!</definedName>
    <definedName name="ex.1" localSheetId="7">#REF!</definedName>
    <definedName name="ex.1">#REF!</definedName>
    <definedName name="ex.2" localSheetId="2">'A2-2 Uncertainties ELV'!$D$8</definedName>
    <definedName name="ex.2" localSheetId="5">#REF!</definedName>
    <definedName name="ex.2" localSheetId="6">#REF!</definedName>
    <definedName name="ex.2" localSheetId="7">#REF!</definedName>
    <definedName name="ex.2">#REF!</definedName>
    <definedName name="ex.3" localSheetId="2">'A2-2 Uncertainties ELV'!$E$8</definedName>
    <definedName name="ex.3" localSheetId="5">#REF!</definedName>
    <definedName name="ex.3" localSheetId="6">#REF!</definedName>
    <definedName name="ex.3" localSheetId="7">#REF!</definedName>
    <definedName name="ex.3">#REF!</definedName>
    <definedName name="ex.4" localSheetId="2">'A2-2 Uncertainties ELV'!$F$8</definedName>
    <definedName name="ex.4" localSheetId="5">#REF!</definedName>
    <definedName name="ex.4" localSheetId="6">#REF!</definedName>
    <definedName name="ex.4" localSheetId="7">#REF!</definedName>
    <definedName name="ex.4">#REF!</definedName>
    <definedName name="high.1" localSheetId="2">'A2-2 Uncertainties ELV'!$C$5</definedName>
    <definedName name="high.1" localSheetId="5">#REF!</definedName>
    <definedName name="high.1" localSheetId="6">#REF!</definedName>
    <definedName name="high.1" localSheetId="7">#REF!</definedName>
    <definedName name="high.1">#REF!</definedName>
    <definedName name="high.2" localSheetId="2">'A2-2 Uncertainties ELV'!$D$5</definedName>
    <definedName name="high.2" localSheetId="5">#REF!</definedName>
    <definedName name="high.2" localSheetId="6">#REF!</definedName>
    <definedName name="high.2" localSheetId="7">#REF!</definedName>
    <definedName name="high.2">#REF!</definedName>
    <definedName name="high.3" localSheetId="2">'A2-2 Uncertainties ELV'!$E$5</definedName>
    <definedName name="high.3" localSheetId="5">#REF!</definedName>
    <definedName name="high.3" localSheetId="6">#REF!</definedName>
    <definedName name="high.3" localSheetId="7">#REF!</definedName>
    <definedName name="high.3">#REF!</definedName>
    <definedName name="high.4" localSheetId="2">'A2-2 Uncertainties ELV'!$F$5</definedName>
    <definedName name="high.4" localSheetId="5">#REF!</definedName>
    <definedName name="high.4" localSheetId="6">#REF!</definedName>
    <definedName name="high.4" localSheetId="7">#REF!</definedName>
    <definedName name="high.4">#REF!</definedName>
    <definedName name="ICEV_other_powertrain">'A2-1 EV-ICEV composition'!$AT$29:$AT$44</definedName>
    <definedName name="input1" localSheetId="6">#REF!</definedName>
    <definedName name="input1" localSheetId="7">'A2-5 Hmax &amp; Mmax'!$H$13:$H$15</definedName>
    <definedName name="input1">#REF!</definedName>
    <definedName name="Interior_exterior">'A2-1 EV-ICEV composition'!$Y$29:$Y$44</definedName>
    <definedName name="Lead_battery">'A2-1 EV-ICEV composition'!$V$29:$V$44</definedName>
    <definedName name="low.1" localSheetId="2">'A2-2 Uncertainties ELV'!$C$7</definedName>
    <definedName name="low.1" localSheetId="5">#REF!</definedName>
    <definedName name="low.1" localSheetId="6">#REF!</definedName>
    <definedName name="low.1" localSheetId="7">#REF!</definedName>
    <definedName name="low.1">#REF!</definedName>
    <definedName name="low.2" localSheetId="2">'A2-2 Uncertainties ELV'!$D$7</definedName>
    <definedName name="low.2" localSheetId="5">#REF!</definedName>
    <definedName name="low.2" localSheetId="6">#REF!</definedName>
    <definedName name="low.2" localSheetId="7">#REF!</definedName>
    <definedName name="low.2">#REF!</definedName>
    <definedName name="low.3" localSheetId="2">'A2-2 Uncertainties ELV'!$E$7</definedName>
    <definedName name="low.3" localSheetId="5">#REF!</definedName>
    <definedName name="low.3" localSheetId="6">#REF!</definedName>
    <definedName name="low.3" localSheetId="7">#REF!</definedName>
    <definedName name="low.3">#REF!</definedName>
    <definedName name="low.4" localSheetId="2">'A2-2 Uncertainties ELV'!$F$7</definedName>
    <definedName name="low.4" localSheetId="5">#REF!</definedName>
    <definedName name="low.4" localSheetId="6">#REF!</definedName>
    <definedName name="low.4" localSheetId="7">#REF!</definedName>
    <definedName name="low.4">#REF!</definedName>
    <definedName name="mid.1" localSheetId="2">'A2-2 Uncertainties ELV'!$C$6</definedName>
    <definedName name="mid.1" localSheetId="5">#REF!</definedName>
    <definedName name="mid.1" localSheetId="6">#REF!</definedName>
    <definedName name="mid.1" localSheetId="7">#REF!</definedName>
    <definedName name="mid.1">#REF!</definedName>
    <definedName name="mid.2" localSheetId="2">'A2-2 Uncertainties ELV'!$D$6</definedName>
    <definedName name="mid.2" localSheetId="5">#REF!</definedName>
    <definedName name="mid.2" localSheetId="6">#REF!</definedName>
    <definedName name="mid.2" localSheetId="7">#REF!</definedName>
    <definedName name="mid.2">#REF!</definedName>
    <definedName name="mid.3" localSheetId="2">'A2-2 Uncertainties ELV'!$E$6</definedName>
    <definedName name="mid.3" localSheetId="5">#REF!</definedName>
    <definedName name="mid.3" localSheetId="6">#REF!</definedName>
    <definedName name="mid.3" localSheetId="7">#REF!</definedName>
    <definedName name="mid.3">#REF!</definedName>
    <definedName name="mid.4" localSheetId="2">'A2-2 Uncertainties ELV'!$F$6</definedName>
    <definedName name="mid.4" localSheetId="5">#REF!</definedName>
    <definedName name="mid.4" localSheetId="6">#REF!</definedName>
    <definedName name="mid.4" localSheetId="7">#REF!</definedName>
    <definedName name="mid.4">#REF!</definedName>
    <definedName name="Multiplication_matrix" localSheetId="6">#REF!</definedName>
    <definedName name="Multiplication_matrix" localSheetId="7">'A2-5 Hmax &amp; Mmax'!$J$13:$J$15</definedName>
    <definedName name="Multiplication_matrix">#REF!</definedName>
    <definedName name="rel.1" localSheetId="2">'A2-2 Uncertainties ELV'!$C$4</definedName>
    <definedName name="rel.1" localSheetId="5">#REF!</definedName>
    <definedName name="rel.1" localSheetId="6">#REF!</definedName>
    <definedName name="rel.1" localSheetId="7">#REF!</definedName>
    <definedName name="rel.1">#REF!</definedName>
    <definedName name="rel.2" localSheetId="2">'A2-2 Uncertainties ELV'!$D$4</definedName>
    <definedName name="rel.2" localSheetId="5">#REF!</definedName>
    <definedName name="rel.2" localSheetId="6">#REF!</definedName>
    <definedName name="rel.2" localSheetId="7">#REF!</definedName>
    <definedName name="rel.2">#REF!</definedName>
    <definedName name="rel.3" localSheetId="2">'A2-2 Uncertainties ELV'!$E$4</definedName>
    <definedName name="rel.3" localSheetId="5">#REF!</definedName>
    <definedName name="rel.3" localSheetId="6">#REF!</definedName>
    <definedName name="rel.3" localSheetId="7">#REF!</definedName>
    <definedName name="rel.3">#REF!</definedName>
    <definedName name="rel.4" localSheetId="2">'A2-2 Uncertainties ELV'!$F$4</definedName>
    <definedName name="rel.4" localSheetId="5">#REF!</definedName>
    <definedName name="rel.4" localSheetId="6">#REF!</definedName>
    <definedName name="rel.4" localSheetId="7">#REF!</definedName>
    <definedName name="rel.4">#REF!</definedName>
    <definedName name="Reli1" localSheetId="2">'A2-2 Uncertainties ELV'!$C$4</definedName>
    <definedName name="Reli1" localSheetId="5">#REF!</definedName>
    <definedName name="Reli1" localSheetId="6">#REF!</definedName>
    <definedName name="Reli1" localSheetId="7">#REF!</definedName>
    <definedName name="Reli1">#REF!</definedName>
    <definedName name="Reli2" localSheetId="2">'A2-2 Uncertainties ELV'!$D$4</definedName>
    <definedName name="Reli2" localSheetId="5">#REF!</definedName>
    <definedName name="Reli2" localSheetId="6">#REF!</definedName>
    <definedName name="Reli2" localSheetId="7">#REF!</definedName>
    <definedName name="Reli2">#REF!</definedName>
    <definedName name="Reli3" localSheetId="2">'A2-2 Uncertainties ELV'!$E$4</definedName>
    <definedName name="Reli3" localSheetId="5">#REF!</definedName>
    <definedName name="Reli3" localSheetId="6">#REF!</definedName>
    <definedName name="Reli3" localSheetId="7">#REF!</definedName>
    <definedName name="Reli3">#REF!</definedName>
    <definedName name="solver_adj" localSheetId="4" hidden="1">'A2-4 Derived trans.coefficients'!$N$48</definedName>
    <definedName name="solver_adj" localSheetId="7" hidden="1">'A2-5 Hmax &amp; Mmax'!$B$6</definedName>
    <definedName name="solver_cvg" localSheetId="4" hidden="1">0.0001</definedName>
    <definedName name="solver_cvg" localSheetId="7" hidden="1">0.0001</definedName>
    <definedName name="solver_drv" localSheetId="4" hidden="1">2</definedName>
    <definedName name="solver_drv" localSheetId="7" hidden="1">2</definedName>
    <definedName name="solver_eng" localSheetId="4" hidden="1">1</definedName>
    <definedName name="solver_eng" localSheetId="7" hidden="1">1</definedName>
    <definedName name="solver_est" localSheetId="4" hidden="1">1</definedName>
    <definedName name="solver_est" localSheetId="7" hidden="1">1</definedName>
    <definedName name="solver_itr" localSheetId="4" hidden="1">2147483647</definedName>
    <definedName name="solver_itr" localSheetId="7" hidden="1">2147483647</definedName>
    <definedName name="solver_lhs1" localSheetId="4" hidden="1">'A2-4 Derived trans.coefficients'!$N$48</definedName>
    <definedName name="solver_lhs1" localSheetId="7" hidden="1">'A2-5 Hmax &amp; Mmax'!$B$6</definedName>
    <definedName name="solver_lhs2" localSheetId="7" hidden="1">'A2-5 Hmax &amp; Mmax'!$B$6</definedName>
    <definedName name="solver_mip" localSheetId="4" hidden="1">2147483647</definedName>
    <definedName name="solver_mip" localSheetId="7" hidden="1">2147483647</definedName>
    <definedName name="solver_mni" localSheetId="4" hidden="1">30</definedName>
    <definedName name="solver_mni" localSheetId="7" hidden="1">30</definedName>
    <definedName name="solver_mrt" localSheetId="4" hidden="1">0.075</definedName>
    <definedName name="solver_mrt" localSheetId="7" hidden="1">0.075</definedName>
    <definedName name="solver_msl" localSheetId="4" hidden="1">2</definedName>
    <definedName name="solver_msl" localSheetId="7" hidden="1">2</definedName>
    <definedName name="solver_neg" localSheetId="4" hidden="1">1</definedName>
    <definedName name="solver_neg" localSheetId="7" hidden="1">2</definedName>
    <definedName name="solver_nod" localSheetId="4" hidden="1">2147483647</definedName>
    <definedName name="solver_nod" localSheetId="7" hidden="1">2147483647</definedName>
    <definedName name="solver_num" localSheetId="4" hidden="1">1</definedName>
    <definedName name="solver_num" localSheetId="7" hidden="1">2</definedName>
    <definedName name="solver_nwt" localSheetId="4" hidden="1">1</definedName>
    <definedName name="solver_nwt" localSheetId="7" hidden="1">1</definedName>
    <definedName name="solver_opt" localSheetId="4" hidden="1">'A2-4 Derived trans.coefficients'!$P$48</definedName>
    <definedName name="solver_opt" localSheetId="7" hidden="1">'A2-5 Hmax &amp; Mmax'!$R$43</definedName>
    <definedName name="solver_pre" localSheetId="4" hidden="1">0.000001</definedName>
    <definedName name="solver_pre" localSheetId="7" hidden="1">0.000001</definedName>
    <definedName name="solver_rbv" localSheetId="4" hidden="1">2</definedName>
    <definedName name="solver_rbv" localSheetId="7" hidden="1">2</definedName>
    <definedName name="solver_rel1" localSheetId="4" hidden="1">1</definedName>
    <definedName name="solver_rel1" localSheetId="7" hidden="1">1</definedName>
    <definedName name="solver_rel2" localSheetId="7" hidden="1">3</definedName>
    <definedName name="solver_rhs1" localSheetId="4" hidden="1">'A2-4 Derived trans.coefficients'!$D$48</definedName>
    <definedName name="solver_rhs1" localSheetId="7" hidden="1">100</definedName>
    <definedName name="solver_rhs2" localSheetId="7" hidden="1">0</definedName>
    <definedName name="solver_rlx" localSheetId="4" hidden="1">2</definedName>
    <definedName name="solver_rlx" localSheetId="7" hidden="1">2</definedName>
    <definedName name="solver_rsd" localSheetId="4" hidden="1">0</definedName>
    <definedName name="solver_rsd" localSheetId="7" hidden="1">0</definedName>
    <definedName name="solver_scl" localSheetId="4" hidden="1">2</definedName>
    <definedName name="solver_scl" localSheetId="7" hidden="1">2</definedName>
    <definedName name="solver_sho" localSheetId="4" hidden="1">2</definedName>
    <definedName name="solver_sho" localSheetId="7" hidden="1">2</definedName>
    <definedName name="solver_ssz" localSheetId="4" hidden="1">100</definedName>
    <definedName name="solver_ssz" localSheetId="7" hidden="1">100</definedName>
    <definedName name="solver_tim" localSheetId="4" hidden="1">2147483647</definedName>
    <definedName name="solver_tim" localSheetId="7" hidden="1">2147483647</definedName>
    <definedName name="solver_tol" localSheetId="4" hidden="1">0.01</definedName>
    <definedName name="solver_tol" localSheetId="7" hidden="1">0.01</definedName>
    <definedName name="solver_typ" localSheetId="4" hidden="1">2</definedName>
    <definedName name="solver_typ" localSheetId="7" hidden="1">2</definedName>
    <definedName name="solver_val" localSheetId="4" hidden="1">0</definedName>
    <definedName name="solver_val" localSheetId="7" hidden="1">0</definedName>
    <definedName name="solver_ver" localSheetId="4" hidden="1">3</definedName>
    <definedName name="solver_ver" localSheetId="7" hidden="1">3</definedName>
    <definedName name="TKs_heavy_fraction" localSheetId="5">'A2-4 Derived trans.coefficients'!#REF!</definedName>
    <definedName name="TKs_heavy_fraction" localSheetId="6">'A2-4 Derived trans.coefficients'!#REF!</definedName>
    <definedName name="TKs_heavy_fraction" localSheetId="7">'A2-4 Derived trans.coefficients'!#REF!</definedName>
    <definedName name="TKs_heavy_fraction">'A2-4 Derived trans.coefficients'!#REF!</definedName>
    <definedName name="Tks_light_fraction" localSheetId="5">'A2-4 Derived trans.coefficients'!#REF!</definedName>
    <definedName name="Tks_light_fraction" localSheetId="6">'A2-4 Derived trans.coefficients'!#REF!</definedName>
    <definedName name="Tks_light_fraction" localSheetId="7">'A2-4 Derived trans.coefficients'!#REF!</definedName>
    <definedName name="Tks_light_fraction">'A2-4 Derived trans.coefficients'!#REF!</definedName>
    <definedName name="Transmission">'A2-1 EV-ICEV composition'!$AN$29:$AN$44</definedName>
    <definedName name="Tyres_wheels">'A2-1 EV-ICEV composition'!$AB$29:$AB$44</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5" l="1"/>
  <c r="F32" i="15" s="1"/>
  <c r="W324" i="15" l="1"/>
  <c r="X324" i="15"/>
  <c r="Y324" i="15"/>
  <c r="Z324" i="15"/>
  <c r="AA324" i="15"/>
  <c r="AB324" i="15"/>
  <c r="AC324" i="15"/>
  <c r="AD324" i="15"/>
  <c r="AE324" i="15"/>
  <c r="AF324" i="15"/>
  <c r="AG324" i="15"/>
  <c r="AH324" i="15"/>
  <c r="AI324" i="15"/>
  <c r="AJ324" i="15"/>
  <c r="AK324" i="15"/>
  <c r="AL324" i="15"/>
  <c r="AM324" i="15"/>
  <c r="AN324" i="15"/>
  <c r="AO324" i="15"/>
  <c r="AP324" i="15"/>
  <c r="AQ324" i="15"/>
  <c r="Y338" i="15"/>
  <c r="C23" i="37" l="1"/>
  <c r="D23" i="37"/>
  <c r="E23" i="37"/>
  <c r="F23" i="37"/>
  <c r="F38" i="37" s="1"/>
  <c r="G23" i="37"/>
  <c r="H23" i="37"/>
  <c r="I23" i="37"/>
  <c r="I38" i="37" s="1"/>
  <c r="J23" i="37"/>
  <c r="K23" i="37"/>
  <c r="L23" i="37"/>
  <c r="M23" i="37"/>
  <c r="M38" i="37" s="1"/>
  <c r="N23" i="37"/>
  <c r="N38" i="37" s="1"/>
  <c r="O23" i="37"/>
  <c r="P23" i="37"/>
  <c r="Q23" i="37"/>
  <c r="B23" i="37"/>
  <c r="B38" i="37" s="1"/>
  <c r="B22" i="37"/>
  <c r="B21" i="37"/>
  <c r="B36" i="37" s="1"/>
  <c r="B20" i="37"/>
  <c r="B35" i="37" s="1"/>
  <c r="C14" i="37"/>
  <c r="D14" i="37"/>
  <c r="E14" i="37"/>
  <c r="F14" i="37"/>
  <c r="G14" i="37"/>
  <c r="H14" i="37"/>
  <c r="I14" i="37"/>
  <c r="J14" i="37"/>
  <c r="K14" i="37"/>
  <c r="L14" i="37"/>
  <c r="M14" i="37"/>
  <c r="N14" i="37"/>
  <c r="O14" i="37"/>
  <c r="P14" i="37"/>
  <c r="Q14" i="37"/>
  <c r="B14" i="37"/>
  <c r="B13" i="37"/>
  <c r="B12" i="37"/>
  <c r="C12" i="37"/>
  <c r="D12" i="37"/>
  <c r="E12" i="37"/>
  <c r="F12" i="37"/>
  <c r="G12" i="37"/>
  <c r="H12" i="37"/>
  <c r="I12" i="37"/>
  <c r="J12" i="37"/>
  <c r="K12" i="37"/>
  <c r="L12" i="37"/>
  <c r="M12" i="37"/>
  <c r="N12" i="37"/>
  <c r="O12" i="37"/>
  <c r="P12" i="37"/>
  <c r="Q12" i="37"/>
  <c r="C13" i="37"/>
  <c r="D13" i="37"/>
  <c r="E13" i="37"/>
  <c r="F13" i="37"/>
  <c r="G13" i="37"/>
  <c r="H13" i="37"/>
  <c r="I13" i="37"/>
  <c r="J13" i="37"/>
  <c r="K13" i="37"/>
  <c r="L13" i="37"/>
  <c r="M13" i="37"/>
  <c r="N13" i="37"/>
  <c r="O13" i="37"/>
  <c r="P13" i="37"/>
  <c r="Q13" i="37"/>
  <c r="C15" i="37"/>
  <c r="C30" i="37" s="1"/>
  <c r="D15" i="37"/>
  <c r="E15" i="37"/>
  <c r="E30" i="37" s="1"/>
  <c r="F15" i="37"/>
  <c r="F30" i="37" s="1"/>
  <c r="G15" i="37"/>
  <c r="G30" i="37" s="1"/>
  <c r="H15" i="37"/>
  <c r="I15" i="37"/>
  <c r="I30" i="37" s="1"/>
  <c r="J15" i="37"/>
  <c r="J30" i="37" s="1"/>
  <c r="K15" i="37"/>
  <c r="K30" i="37" s="1"/>
  <c r="L15" i="37"/>
  <c r="M15" i="37"/>
  <c r="M30" i="37" s="1"/>
  <c r="N15" i="37"/>
  <c r="O15" i="37"/>
  <c r="P15" i="37"/>
  <c r="Q15" i="37"/>
  <c r="C16" i="37"/>
  <c r="C31" i="37" s="1"/>
  <c r="D16" i="37"/>
  <c r="E16" i="37"/>
  <c r="F16" i="37"/>
  <c r="F31" i="37" s="1"/>
  <c r="G16" i="37"/>
  <c r="H16" i="37"/>
  <c r="H31" i="37" s="1"/>
  <c r="I16" i="37"/>
  <c r="J16" i="37"/>
  <c r="J31" i="37" s="1"/>
  <c r="K16" i="37"/>
  <c r="K31" i="37" s="1"/>
  <c r="L16" i="37"/>
  <c r="L31" i="37" s="1"/>
  <c r="M16" i="37"/>
  <c r="N16" i="37"/>
  <c r="O16" i="37"/>
  <c r="P16" i="37"/>
  <c r="P31" i="37" s="1"/>
  <c r="Q16" i="37"/>
  <c r="C17" i="37"/>
  <c r="C32" i="37" s="1"/>
  <c r="D17" i="37"/>
  <c r="D32" i="37" s="1"/>
  <c r="E17" i="37"/>
  <c r="E32" i="37" s="1"/>
  <c r="F17" i="37"/>
  <c r="G17" i="37"/>
  <c r="H17" i="37"/>
  <c r="I17" i="37"/>
  <c r="I32" i="37" s="1"/>
  <c r="J17" i="37"/>
  <c r="K17" i="37"/>
  <c r="K32" i="37" s="1"/>
  <c r="L17" i="37"/>
  <c r="M17" i="37"/>
  <c r="M32" i="37" s="1"/>
  <c r="N17" i="37"/>
  <c r="O17" i="37"/>
  <c r="O32" i="37" s="1"/>
  <c r="P17" i="37"/>
  <c r="P32" i="37" s="1"/>
  <c r="Q17" i="37"/>
  <c r="C18" i="37"/>
  <c r="C33" i="37" s="1"/>
  <c r="D18" i="37"/>
  <c r="D33" i="37" s="1"/>
  <c r="E18" i="37"/>
  <c r="E33" i="37" s="1"/>
  <c r="F18" i="37"/>
  <c r="F33" i="37" s="1"/>
  <c r="G18" i="37"/>
  <c r="H18" i="37"/>
  <c r="H33" i="37" s="1"/>
  <c r="I18" i="37"/>
  <c r="I33" i="37" s="1"/>
  <c r="J18" i="37"/>
  <c r="K18" i="37"/>
  <c r="L18" i="37"/>
  <c r="M18" i="37"/>
  <c r="N18" i="37"/>
  <c r="N33" i="37" s="1"/>
  <c r="O18" i="37"/>
  <c r="P18" i="37"/>
  <c r="P33" i="37" s="1"/>
  <c r="Q18" i="37"/>
  <c r="C19" i="37"/>
  <c r="C34" i="37" s="1"/>
  <c r="D19" i="37"/>
  <c r="E19" i="37"/>
  <c r="E34" i="37" s="1"/>
  <c r="F19" i="37"/>
  <c r="G19" i="37"/>
  <c r="H19" i="37"/>
  <c r="I19" i="37"/>
  <c r="I34" i="37" s="1"/>
  <c r="J19" i="37"/>
  <c r="K19" i="37"/>
  <c r="K34" i="37" s="1"/>
  <c r="L19" i="37"/>
  <c r="M19" i="37"/>
  <c r="N19" i="37"/>
  <c r="N34" i="37" s="1"/>
  <c r="O19" i="37"/>
  <c r="P19" i="37"/>
  <c r="Q19" i="37"/>
  <c r="Q34" i="37" s="1"/>
  <c r="C20" i="37"/>
  <c r="D20" i="37"/>
  <c r="E20" i="37"/>
  <c r="F20" i="37"/>
  <c r="G20" i="37"/>
  <c r="G35" i="37" s="1"/>
  <c r="H20" i="37"/>
  <c r="H35" i="37" s="1"/>
  <c r="I20" i="37"/>
  <c r="J20" i="37"/>
  <c r="K20" i="37"/>
  <c r="K35" i="37" s="1"/>
  <c r="L20" i="37"/>
  <c r="L35" i="37" s="1"/>
  <c r="M20" i="37"/>
  <c r="N20" i="37"/>
  <c r="N35" i="37" s="1"/>
  <c r="O20" i="37"/>
  <c r="O35" i="37" s="1"/>
  <c r="P20" i="37"/>
  <c r="Q20" i="37"/>
  <c r="C21" i="37"/>
  <c r="C36" i="37" s="1"/>
  <c r="D21" i="37"/>
  <c r="D36" i="37" s="1"/>
  <c r="E21" i="37"/>
  <c r="E36" i="37" s="1"/>
  <c r="F21" i="37"/>
  <c r="G21" i="37"/>
  <c r="G36" i="37" s="1"/>
  <c r="H21" i="37"/>
  <c r="I21" i="37"/>
  <c r="I36" i="37" s="1"/>
  <c r="J21" i="37"/>
  <c r="K21" i="37"/>
  <c r="L21" i="37"/>
  <c r="M21" i="37"/>
  <c r="N21" i="37"/>
  <c r="O21" i="37"/>
  <c r="O36" i="37" s="1"/>
  <c r="P21" i="37"/>
  <c r="P36" i="37" s="1"/>
  <c r="Q21" i="37"/>
  <c r="Q36" i="37" s="1"/>
  <c r="C22" i="37"/>
  <c r="D22" i="37"/>
  <c r="D37" i="37" s="1"/>
  <c r="E22" i="37"/>
  <c r="F22" i="37"/>
  <c r="F37" i="37" s="1"/>
  <c r="G22" i="37"/>
  <c r="H22" i="37"/>
  <c r="H37" i="37" s="1"/>
  <c r="I22" i="37"/>
  <c r="I37" i="37" s="1"/>
  <c r="J22" i="37"/>
  <c r="J37" i="37" s="1"/>
  <c r="K22" i="37"/>
  <c r="L22" i="37"/>
  <c r="L37" i="37" s="1"/>
  <c r="M22" i="37"/>
  <c r="M37" i="37" s="1"/>
  <c r="N22" i="37"/>
  <c r="N37" i="37" s="1"/>
  <c r="O22" i="37"/>
  <c r="P22" i="37"/>
  <c r="P37" i="37" s="1"/>
  <c r="Q22" i="37"/>
  <c r="Q37" i="37" s="1"/>
  <c r="E38" i="37"/>
  <c r="B18" i="37"/>
  <c r="B33" i="37" s="1"/>
  <c r="B19" i="37"/>
  <c r="B34" i="37" s="1"/>
  <c r="B17" i="37"/>
  <c r="B32" i="37" s="1"/>
  <c r="B16" i="37"/>
  <c r="B15" i="37"/>
  <c r="J38" i="37"/>
  <c r="M36" i="37"/>
  <c r="D35" i="37"/>
  <c r="O37" i="37"/>
  <c r="C37" i="37"/>
  <c r="N36" i="37"/>
  <c r="J36" i="37"/>
  <c r="M35" i="37"/>
  <c r="I35" i="37"/>
  <c r="J35" i="37"/>
  <c r="K36" i="37"/>
  <c r="O34" i="37"/>
  <c r="J34" i="37"/>
  <c r="F34" i="37"/>
  <c r="O33" i="37"/>
  <c r="K33" i="37"/>
  <c r="J33" i="37"/>
  <c r="N32" i="37"/>
  <c r="J32" i="37"/>
  <c r="F32" i="37"/>
  <c r="Q32" i="37"/>
  <c r="M33" i="37"/>
  <c r="Q33" i="37"/>
  <c r="M34" i="37"/>
  <c r="N31" i="37"/>
  <c r="E31" i="37"/>
  <c r="I31" i="37"/>
  <c r="M31" i="37"/>
  <c r="Q31" i="37"/>
  <c r="P30" i="37"/>
  <c r="N30" i="37"/>
  <c r="L30" i="37"/>
  <c r="H30" i="37"/>
  <c r="Q38" i="37"/>
  <c r="P38" i="37"/>
  <c r="O38" i="37"/>
  <c r="L38" i="37"/>
  <c r="K38" i="37"/>
  <c r="H38" i="37"/>
  <c r="G38" i="37"/>
  <c r="D38" i="37"/>
  <c r="C38" i="37"/>
  <c r="K37" i="37"/>
  <c r="G37" i="37"/>
  <c r="E37" i="37"/>
  <c r="B37" i="37"/>
  <c r="L36" i="37"/>
  <c r="H36" i="37"/>
  <c r="F36" i="37"/>
  <c r="Q35" i="37"/>
  <c r="P35" i="37"/>
  <c r="E35" i="37"/>
  <c r="C35" i="37"/>
  <c r="P34" i="37"/>
  <c r="L34" i="37"/>
  <c r="H34" i="37"/>
  <c r="G34" i="37"/>
  <c r="D34" i="37"/>
  <c r="L33" i="37"/>
  <c r="G33" i="37"/>
  <c r="L32" i="37"/>
  <c r="H32" i="37"/>
  <c r="G32" i="37"/>
  <c r="O31" i="37"/>
  <c r="G31" i="37"/>
  <c r="D31" i="37"/>
  <c r="B31" i="37"/>
  <c r="Q30" i="37"/>
  <c r="O30" i="37"/>
  <c r="D30" i="37"/>
  <c r="B7" i="37"/>
  <c r="O29" i="37" s="1"/>
  <c r="R15" i="37" l="1"/>
  <c r="R12" i="37"/>
  <c r="O28" i="37"/>
  <c r="G27" i="37"/>
  <c r="G28" i="37"/>
  <c r="H27" i="37"/>
  <c r="M28" i="37"/>
  <c r="I28" i="37"/>
  <c r="B27" i="37"/>
  <c r="L29" i="37"/>
  <c r="H29" i="37"/>
  <c r="D29" i="37"/>
  <c r="K28" i="37"/>
  <c r="C28" i="37"/>
  <c r="N27" i="37"/>
  <c r="J27" i="37"/>
  <c r="F27" i="37"/>
  <c r="N29" i="37"/>
  <c r="L27" i="37"/>
  <c r="P27" i="37"/>
  <c r="P29" i="37"/>
  <c r="J29" i="37"/>
  <c r="D27" i="37"/>
  <c r="E28" i="37"/>
  <c r="Q28" i="37"/>
  <c r="F29" i="37"/>
  <c r="B29" i="37"/>
  <c r="R16" i="37"/>
  <c r="R18" i="37"/>
  <c r="B30" i="37"/>
  <c r="R30" i="37" s="1"/>
  <c r="R14" i="37"/>
  <c r="R23" i="37"/>
  <c r="R38" i="37"/>
  <c r="R13" i="37"/>
  <c r="R22" i="37"/>
  <c r="R20" i="37"/>
  <c r="R36" i="37"/>
  <c r="R37" i="37"/>
  <c r="F35" i="37"/>
  <c r="R35" i="37" s="1"/>
  <c r="R21" i="37"/>
  <c r="R32" i="37"/>
  <c r="R19" i="37"/>
  <c r="R34" i="37"/>
  <c r="R33" i="37"/>
  <c r="R17" i="37"/>
  <c r="R31" i="37"/>
  <c r="C27" i="37"/>
  <c r="K27" i="37"/>
  <c r="O27" i="37"/>
  <c r="B28" i="37"/>
  <c r="F28" i="37"/>
  <c r="J28" i="37"/>
  <c r="N28" i="37"/>
  <c r="E29" i="37"/>
  <c r="I29" i="37"/>
  <c r="M29" i="37"/>
  <c r="Q29" i="37"/>
  <c r="E27" i="37"/>
  <c r="I27" i="37"/>
  <c r="M27" i="37"/>
  <c r="Q27" i="37"/>
  <c r="D28" i="37"/>
  <c r="H28" i="37"/>
  <c r="L28" i="37"/>
  <c r="P28" i="37"/>
  <c r="C29" i="37"/>
  <c r="G29" i="37"/>
  <c r="K29" i="37"/>
  <c r="C14" i="34"/>
  <c r="C15" i="34"/>
  <c r="D15" i="34"/>
  <c r="E15" i="34"/>
  <c r="F15" i="34"/>
  <c r="G15" i="34"/>
  <c r="H15" i="34"/>
  <c r="I15" i="34"/>
  <c r="J15" i="34"/>
  <c r="K15" i="34"/>
  <c r="L15" i="34"/>
  <c r="M15" i="34"/>
  <c r="N15" i="34"/>
  <c r="O15" i="34"/>
  <c r="P15" i="34"/>
  <c r="Q15" i="34"/>
  <c r="R15" i="34"/>
  <c r="D14" i="34"/>
  <c r="E14" i="34"/>
  <c r="F14" i="34"/>
  <c r="G14" i="34"/>
  <c r="H14" i="34"/>
  <c r="I14" i="34"/>
  <c r="J14" i="34"/>
  <c r="K14" i="34"/>
  <c r="L14" i="34"/>
  <c r="M14" i="34"/>
  <c r="N14" i="34"/>
  <c r="O14" i="34"/>
  <c r="P14" i="34"/>
  <c r="Q14" i="34"/>
  <c r="R14" i="34"/>
  <c r="D60" i="34"/>
  <c r="E60" i="34"/>
  <c r="F60" i="34"/>
  <c r="G60" i="34"/>
  <c r="H60" i="34"/>
  <c r="I60" i="34"/>
  <c r="J60" i="34"/>
  <c r="K60" i="34"/>
  <c r="L60" i="34"/>
  <c r="M60" i="34"/>
  <c r="N60" i="34"/>
  <c r="O60" i="34"/>
  <c r="P60" i="34"/>
  <c r="Q60" i="34"/>
  <c r="R60" i="34"/>
  <c r="C60" i="34"/>
  <c r="G63" i="34"/>
  <c r="I63" i="34"/>
  <c r="L63" i="34"/>
  <c r="M63" i="34"/>
  <c r="N63" i="34"/>
  <c r="O63" i="34"/>
  <c r="P63" i="34"/>
  <c r="Q63" i="34"/>
  <c r="R63" i="34"/>
  <c r="E64" i="34"/>
  <c r="F64" i="34"/>
  <c r="G64" i="34"/>
  <c r="H64" i="34"/>
  <c r="I64" i="34"/>
  <c r="J64" i="34"/>
  <c r="M64" i="34"/>
  <c r="N64" i="34"/>
  <c r="O64" i="34"/>
  <c r="P64" i="34"/>
  <c r="Q64" i="34"/>
  <c r="R64" i="34"/>
  <c r="E65" i="34"/>
  <c r="F65" i="34"/>
  <c r="G65" i="34"/>
  <c r="H65" i="34"/>
  <c r="I65" i="34"/>
  <c r="J65" i="34"/>
  <c r="K65" i="34"/>
  <c r="L65" i="34"/>
  <c r="M65" i="34"/>
  <c r="N65" i="34"/>
  <c r="O65" i="34"/>
  <c r="P65" i="34"/>
  <c r="Q65" i="34"/>
  <c r="R65" i="34"/>
  <c r="G66" i="34"/>
  <c r="H66" i="34"/>
  <c r="I66" i="34"/>
  <c r="J66" i="34"/>
  <c r="K66" i="34"/>
  <c r="L66" i="34"/>
  <c r="M66" i="34"/>
  <c r="N66" i="34"/>
  <c r="O66" i="34"/>
  <c r="P66" i="34"/>
  <c r="Q66" i="34"/>
  <c r="R66" i="34"/>
  <c r="F67" i="34"/>
  <c r="H67" i="34"/>
  <c r="I67" i="34"/>
  <c r="J67" i="34"/>
  <c r="K67" i="34"/>
  <c r="L67" i="34"/>
  <c r="M67" i="34"/>
  <c r="N67" i="34"/>
  <c r="O67" i="34"/>
  <c r="P67" i="34"/>
  <c r="Q67" i="34"/>
  <c r="R67" i="34"/>
  <c r="D68" i="34"/>
  <c r="F68" i="34"/>
  <c r="G68" i="34"/>
  <c r="H68" i="34"/>
  <c r="I68" i="34"/>
  <c r="J68" i="34"/>
  <c r="K68" i="34"/>
  <c r="L68" i="34"/>
  <c r="N68" i="34"/>
  <c r="O68" i="34"/>
  <c r="P68" i="34"/>
  <c r="Q68" i="34"/>
  <c r="R68" i="34"/>
  <c r="D69" i="34"/>
  <c r="G69" i="34"/>
  <c r="I69" i="34"/>
  <c r="J69" i="34"/>
  <c r="K69" i="34"/>
  <c r="L69" i="34"/>
  <c r="M69" i="34"/>
  <c r="P69" i="34"/>
  <c r="G70" i="34"/>
  <c r="I70" i="34"/>
  <c r="J70" i="34"/>
  <c r="L70" i="34"/>
  <c r="M70" i="34"/>
  <c r="N70" i="34"/>
  <c r="O70" i="34"/>
  <c r="Q70" i="34"/>
  <c r="R70" i="34"/>
  <c r="E71" i="34"/>
  <c r="F71" i="34"/>
  <c r="G71" i="34"/>
  <c r="H71" i="34"/>
  <c r="J71" i="34"/>
  <c r="K71" i="34"/>
  <c r="L71" i="34"/>
  <c r="M71" i="34"/>
  <c r="N71" i="34"/>
  <c r="O71" i="34"/>
  <c r="P71" i="34"/>
  <c r="Q71" i="34"/>
  <c r="R71" i="34"/>
  <c r="F72" i="34"/>
  <c r="G72" i="34"/>
  <c r="I72" i="34"/>
  <c r="J72" i="34"/>
  <c r="K72" i="34"/>
  <c r="L72" i="34"/>
  <c r="M72" i="34"/>
  <c r="N72" i="34"/>
  <c r="O72" i="34"/>
  <c r="P72" i="34"/>
  <c r="Q72" i="34"/>
  <c r="R72" i="34"/>
  <c r="G73" i="34"/>
  <c r="H73" i="34"/>
  <c r="I73" i="34"/>
  <c r="J73" i="34"/>
  <c r="K73" i="34"/>
  <c r="L73" i="34"/>
  <c r="M73" i="34"/>
  <c r="N73" i="34"/>
  <c r="O73" i="34"/>
  <c r="P73" i="34"/>
  <c r="Q73" i="34"/>
  <c r="R73" i="34"/>
  <c r="C64" i="34"/>
  <c r="C66" i="34"/>
  <c r="C67" i="34"/>
  <c r="C68" i="34"/>
  <c r="C69" i="34"/>
  <c r="C72" i="34"/>
  <c r="C73" i="34"/>
  <c r="C63" i="34"/>
  <c r="S15" i="34" l="1"/>
  <c r="C39" i="37"/>
  <c r="N40" i="37"/>
  <c r="H40" i="37"/>
  <c r="P40" i="37"/>
  <c r="L39" i="37"/>
  <c r="J39" i="37"/>
  <c r="J40" i="37"/>
  <c r="D40" i="37"/>
  <c r="R29" i="37"/>
  <c r="L40" i="37"/>
  <c r="F40" i="37"/>
  <c r="H39" i="37"/>
  <c r="E39" i="37"/>
  <c r="E40" i="37"/>
  <c r="D39" i="37"/>
  <c r="R28" i="37"/>
  <c r="C40" i="37"/>
  <c r="B39" i="37"/>
  <c r="I39" i="37"/>
  <c r="I40" i="37"/>
  <c r="G40" i="37"/>
  <c r="G39" i="37"/>
  <c r="F39" i="37"/>
  <c r="Q39" i="37"/>
  <c r="Q40" i="37"/>
  <c r="P39" i="37"/>
  <c r="O40" i="37"/>
  <c r="O39" i="37"/>
  <c r="N39" i="37"/>
  <c r="R27" i="37"/>
  <c r="M39" i="37"/>
  <c r="M40" i="37"/>
  <c r="K40" i="37"/>
  <c r="K39" i="37"/>
  <c r="B40" i="37"/>
  <c r="R39" i="37" l="1"/>
  <c r="R40" i="37"/>
  <c r="O41" i="37" s="1"/>
  <c r="J49" i="15"/>
  <c r="J4" i="15" s="1"/>
  <c r="V352" i="15"/>
  <c r="Y353" i="15" s="1"/>
  <c r="AB351" i="15" s="1"/>
  <c r="V353" i="15"/>
  <c r="Y351" i="15" s="1"/>
  <c r="AB348" i="15" s="1"/>
  <c r="V354" i="15"/>
  <c r="Y354" i="15" s="1"/>
  <c r="AB352" i="15" s="1"/>
  <c r="V346" i="15"/>
  <c r="Y350" i="15" s="1"/>
  <c r="V348" i="15"/>
  <c r="Y347" i="15" s="1"/>
  <c r="AB347" i="15" s="1"/>
  <c r="V347" i="15"/>
  <c r="Y346" i="15" s="1"/>
  <c r="AB346" i="15" s="1"/>
  <c r="S339" i="15"/>
  <c r="V351" i="15"/>
  <c r="Y349" i="15" s="1"/>
  <c r="V365" i="15"/>
  <c r="Y365" i="15" s="1"/>
  <c r="V364" i="15"/>
  <c r="V363" i="15"/>
  <c r="Y363" i="15" s="1"/>
  <c r="V362" i="15"/>
  <c r="Y362" i="15" s="1"/>
  <c r="V350" i="15"/>
  <c r="Y348" i="15" s="1"/>
  <c r="V349" i="15"/>
  <c r="Y352" i="15" s="1"/>
  <c r="P333" i="15"/>
  <c r="P334" i="15"/>
  <c r="W362" i="15" s="1"/>
  <c r="P335" i="15"/>
  <c r="P336" i="15"/>
  <c r="P337" i="15"/>
  <c r="P338" i="15"/>
  <c r="P339" i="15"/>
  <c r="P340" i="15"/>
  <c r="P341" i="15"/>
  <c r="P342" i="15"/>
  <c r="P343" i="15"/>
  <c r="P344" i="15"/>
  <c r="P345" i="15"/>
  <c r="P346" i="15"/>
  <c r="P347" i="15"/>
  <c r="P348" i="15"/>
  <c r="P349" i="15"/>
  <c r="P350" i="15"/>
  <c r="P351" i="15"/>
  <c r="P352" i="15"/>
  <c r="P353" i="15"/>
  <c r="P354" i="15"/>
  <c r="P355" i="15"/>
  <c r="P356" i="15"/>
  <c r="P357" i="15"/>
  <c r="P358" i="15"/>
  <c r="P359" i="15"/>
  <c r="P360" i="15"/>
  <c r="P361"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33" i="15"/>
  <c r="W346" i="15" s="1"/>
  <c r="S361" i="15"/>
  <c r="S335" i="15"/>
  <c r="W335" i="15" s="1"/>
  <c r="S336" i="15"/>
  <c r="S337" i="15"/>
  <c r="S338" i="15"/>
  <c r="W336" i="15" s="1"/>
  <c r="S340" i="15"/>
  <c r="S341" i="15"/>
  <c r="S342" i="15"/>
  <c r="W337" i="15" s="1"/>
  <c r="S343" i="15"/>
  <c r="S344" i="15"/>
  <c r="S345" i="15"/>
  <c r="S346" i="15"/>
  <c r="S347" i="15"/>
  <c r="W340" i="15" s="1"/>
  <c r="S348" i="15"/>
  <c r="S349" i="15"/>
  <c r="S350" i="15"/>
  <c r="S351" i="15"/>
  <c r="S352" i="15"/>
  <c r="S353" i="15"/>
  <c r="S354" i="15"/>
  <c r="S355" i="15"/>
  <c r="S356" i="15"/>
  <c r="S357" i="15"/>
  <c r="S358" i="15"/>
  <c r="W341" i="15" s="1"/>
  <c r="S359" i="15"/>
  <c r="S360" i="15"/>
  <c r="S334" i="15"/>
  <c r="S333" i="15"/>
  <c r="W333" i="15" s="1"/>
  <c r="F362" i="15"/>
  <c r="G362" i="15"/>
  <c r="H362" i="15"/>
  <c r="L362" i="15"/>
  <c r="M362" i="15"/>
  <c r="N362" i="15"/>
  <c r="O362" i="15"/>
  <c r="E362" i="15"/>
  <c r="S7" i="34"/>
  <c r="K23" i="34" s="1"/>
  <c r="K36" i="34" s="1"/>
  <c r="S13" i="34"/>
  <c r="W13" i="34" s="1"/>
  <c r="S12" i="34"/>
  <c r="W12" i="34" s="1"/>
  <c r="S10" i="34"/>
  <c r="S9" i="34"/>
  <c r="S6" i="34"/>
  <c r="S4" i="34"/>
  <c r="S8" i="34"/>
  <c r="S11" i="34"/>
  <c r="S5" i="34"/>
  <c r="S3" i="34"/>
  <c r="I15" i="15"/>
  <c r="P16" i="15"/>
  <c r="Q16" i="15"/>
  <c r="R16" i="15"/>
  <c r="N16" i="15"/>
  <c r="O16" i="15"/>
  <c r="D374" i="15"/>
  <c r="E371" i="15" s="1"/>
  <c r="F393" i="15"/>
  <c r="G391" i="15" s="1"/>
  <c r="H391" i="15" s="1"/>
  <c r="I391" i="15" s="1"/>
  <c r="J60" i="15" s="1"/>
  <c r="T237" i="15"/>
  <c r="T236" i="15"/>
  <c r="R6" i="33"/>
  <c r="Q6" i="33"/>
  <c r="P6" i="33"/>
  <c r="F4" i="33"/>
  <c r="F38" i="33" s="1"/>
  <c r="C6" i="33"/>
  <c r="D6" i="33"/>
  <c r="F6" i="33"/>
  <c r="E10" i="33"/>
  <c r="D11" i="33"/>
  <c r="C11" i="33"/>
  <c r="D43" i="33"/>
  <c r="M11" i="33"/>
  <c r="M18" i="33"/>
  <c r="O18" i="33"/>
  <c r="O54" i="33" s="1"/>
  <c r="M19" i="33"/>
  <c r="O19" i="33"/>
  <c r="M20" i="33"/>
  <c r="O20" i="33"/>
  <c r="M21" i="33"/>
  <c r="O21" i="33"/>
  <c r="M22" i="33"/>
  <c r="O22" i="33"/>
  <c r="R95" i="33"/>
  <c r="Q95" i="33"/>
  <c r="P95" i="33"/>
  <c r="O95" i="33"/>
  <c r="N95" i="33"/>
  <c r="M95" i="33"/>
  <c r="L95" i="33"/>
  <c r="K95" i="33"/>
  <c r="J95" i="33"/>
  <c r="I95" i="33"/>
  <c r="H95" i="33"/>
  <c r="G95" i="33"/>
  <c r="F95" i="33"/>
  <c r="E95" i="33"/>
  <c r="D95" i="33"/>
  <c r="C95" i="33"/>
  <c r="R83" i="33"/>
  <c r="Q83" i="33"/>
  <c r="I83" i="33"/>
  <c r="H83" i="33"/>
  <c r="E43" i="33"/>
  <c r="O31" i="33"/>
  <c r="O30" i="33"/>
  <c r="P28" i="33"/>
  <c r="O28" i="33"/>
  <c r="P27" i="33"/>
  <c r="O27" i="33"/>
  <c r="P26" i="33"/>
  <c r="O26" i="33"/>
  <c r="O60" i="33" s="1"/>
  <c r="O25" i="33"/>
  <c r="O24" i="33"/>
  <c r="O23" i="33"/>
  <c r="N17" i="33"/>
  <c r="M17" i="33"/>
  <c r="L17" i="33"/>
  <c r="K17" i="33"/>
  <c r="J17" i="33"/>
  <c r="I17" i="33"/>
  <c r="H17" i="33"/>
  <c r="G17" i="33"/>
  <c r="F17" i="33"/>
  <c r="E17" i="33"/>
  <c r="D17" i="33"/>
  <c r="C17" i="33"/>
  <c r="M16" i="33"/>
  <c r="M49" i="33" s="1"/>
  <c r="M15" i="33"/>
  <c r="O13" i="33"/>
  <c r="N13" i="33"/>
  <c r="N46" i="33" s="1"/>
  <c r="M13" i="33"/>
  <c r="O12" i="33"/>
  <c r="N12" i="33"/>
  <c r="M12" i="33"/>
  <c r="M46" i="33" s="1"/>
  <c r="O6" i="33"/>
  <c r="M6" i="33"/>
  <c r="J6" i="33"/>
  <c r="O5" i="33"/>
  <c r="O3" i="33" s="1"/>
  <c r="O38" i="33" s="1"/>
  <c r="M5" i="33"/>
  <c r="J5" i="33"/>
  <c r="O4" i="33"/>
  <c r="M4" i="33"/>
  <c r="M3" i="33" s="1"/>
  <c r="M38" i="33" s="1"/>
  <c r="J4" i="33"/>
  <c r="J3" i="33"/>
  <c r="J38" i="33" s="1"/>
  <c r="O57" i="33"/>
  <c r="N41" i="33"/>
  <c r="O41" i="33"/>
  <c r="Q41" i="33"/>
  <c r="M54" i="33"/>
  <c r="R41" i="33"/>
  <c r="F54" i="33"/>
  <c r="P60" i="33"/>
  <c r="C43" i="33"/>
  <c r="P41" i="33"/>
  <c r="E32" i="20"/>
  <c r="D29" i="33"/>
  <c r="M29" i="20"/>
  <c r="L27" i="33"/>
  <c r="J14" i="20"/>
  <c r="I15" i="33"/>
  <c r="I14" i="20"/>
  <c r="H15" i="28"/>
  <c r="H15" i="33"/>
  <c r="H49" i="33" s="1"/>
  <c r="D38" i="15"/>
  <c r="D12" i="15" s="1"/>
  <c r="D37" i="15"/>
  <c r="I12" i="15" s="1"/>
  <c r="D36" i="15"/>
  <c r="C12" i="15" s="1"/>
  <c r="D44" i="15"/>
  <c r="F14" i="15" s="1"/>
  <c r="D43" i="15"/>
  <c r="D42" i="15"/>
  <c r="D14" i="15" s="1"/>
  <c r="D47" i="15"/>
  <c r="D46" i="15"/>
  <c r="H13" i="15" s="1"/>
  <c r="D45" i="15"/>
  <c r="D13" i="15" s="1"/>
  <c r="D51" i="15"/>
  <c r="D50" i="15"/>
  <c r="D49" i="15"/>
  <c r="E9" i="15" s="1"/>
  <c r="J53" i="15"/>
  <c r="D48" i="15"/>
  <c r="M9" i="15" s="1"/>
  <c r="J52" i="15"/>
  <c r="I75" i="15" s="1"/>
  <c r="M277" i="15"/>
  <c r="N270" i="15" s="1"/>
  <c r="O270" i="15" s="1"/>
  <c r="D52" i="15"/>
  <c r="F68" i="15" s="1"/>
  <c r="D53" i="15"/>
  <c r="D54" i="15"/>
  <c r="D55" i="15"/>
  <c r="J46" i="15"/>
  <c r="E4" i="15" s="1"/>
  <c r="J51" i="15"/>
  <c r="K4" i="15" s="1"/>
  <c r="J50" i="15"/>
  <c r="F4" i="15" s="1"/>
  <c r="J48" i="15"/>
  <c r="H4" i="15" s="1"/>
  <c r="J47" i="15"/>
  <c r="D4" i="15" s="1"/>
  <c r="J45" i="15"/>
  <c r="D166" i="20" s="1"/>
  <c r="D41" i="15"/>
  <c r="D120" i="20" s="1"/>
  <c r="J38" i="15"/>
  <c r="L5" i="15" s="1"/>
  <c r="D40" i="15"/>
  <c r="D119" i="20" s="1"/>
  <c r="J37" i="15"/>
  <c r="K5" i="15" s="1"/>
  <c r="D39" i="15"/>
  <c r="D112" i="20" s="1"/>
  <c r="J36" i="15"/>
  <c r="D5" i="15" s="1"/>
  <c r="J32" i="15"/>
  <c r="D6" i="15" s="1"/>
  <c r="J31" i="15"/>
  <c r="C6" i="15" s="1"/>
  <c r="D35" i="15"/>
  <c r="J35" i="15"/>
  <c r="F7" i="15" s="1"/>
  <c r="D34" i="15"/>
  <c r="J34" i="15"/>
  <c r="E7" i="15" s="1"/>
  <c r="D33" i="15"/>
  <c r="J33" i="15"/>
  <c r="D7" i="15" s="1"/>
  <c r="D32" i="15"/>
  <c r="D31" i="15"/>
  <c r="F69" i="15" s="1"/>
  <c r="D43" i="28"/>
  <c r="E43" i="28"/>
  <c r="F43" i="28"/>
  <c r="G43" i="28"/>
  <c r="H43" i="28"/>
  <c r="I43" i="28"/>
  <c r="J43" i="28"/>
  <c r="K43" i="28"/>
  <c r="L43" i="28"/>
  <c r="M43" i="28"/>
  <c r="N43" i="28"/>
  <c r="O43" i="28"/>
  <c r="P43" i="28"/>
  <c r="Q43" i="28"/>
  <c r="R43" i="28"/>
  <c r="D29" i="28"/>
  <c r="O30" i="28"/>
  <c r="O63" i="28" s="1"/>
  <c r="O31" i="28"/>
  <c r="O26" i="28"/>
  <c r="P26" i="28"/>
  <c r="L27" i="28"/>
  <c r="L60" i="28" s="1"/>
  <c r="O27" i="28"/>
  <c r="P27" i="28"/>
  <c r="P60" i="28" s="1"/>
  <c r="O28" i="28"/>
  <c r="P28" i="28"/>
  <c r="O23" i="28"/>
  <c r="O24" i="28"/>
  <c r="O25" i="28"/>
  <c r="M18" i="28"/>
  <c r="M54" i="28" s="1"/>
  <c r="O18" i="28"/>
  <c r="M19" i="28"/>
  <c r="O19" i="28"/>
  <c r="M20" i="28"/>
  <c r="O20" i="28"/>
  <c r="M21" i="28"/>
  <c r="O21" i="28"/>
  <c r="M22" i="28"/>
  <c r="O22" i="28"/>
  <c r="I15" i="28"/>
  <c r="M15" i="28"/>
  <c r="M16" i="28"/>
  <c r="M49" i="28" s="1"/>
  <c r="D17" i="28"/>
  <c r="E17" i="28"/>
  <c r="F17" i="28"/>
  <c r="G17" i="28"/>
  <c r="H17" i="28"/>
  <c r="I17" i="28"/>
  <c r="J17" i="28"/>
  <c r="K17" i="28"/>
  <c r="L17" i="28"/>
  <c r="M17" i="28"/>
  <c r="N17" i="28"/>
  <c r="C17" i="28"/>
  <c r="M12" i="28"/>
  <c r="N12" i="28"/>
  <c r="O12" i="28"/>
  <c r="M13" i="28"/>
  <c r="N13" i="28"/>
  <c r="O13" i="28"/>
  <c r="F7" i="28"/>
  <c r="N7" i="28"/>
  <c r="N41" i="28" s="1"/>
  <c r="P7" i="28"/>
  <c r="P41" i="28" s="1"/>
  <c r="R7" i="28"/>
  <c r="F8" i="28"/>
  <c r="N8" i="28"/>
  <c r="P8" i="28"/>
  <c r="O9" i="28"/>
  <c r="P9" i="28"/>
  <c r="F3" i="28"/>
  <c r="F38" i="28" s="1"/>
  <c r="I3" i="28"/>
  <c r="J3" i="28"/>
  <c r="M3" i="28"/>
  <c r="O3" i="28"/>
  <c r="G4" i="28"/>
  <c r="J4" i="28"/>
  <c r="M4" i="28"/>
  <c r="M38" i="28" s="1"/>
  <c r="O4" i="28"/>
  <c r="D5" i="28"/>
  <c r="H5" i="28"/>
  <c r="J5" i="28"/>
  <c r="J38" i="28" s="1"/>
  <c r="K5" i="28"/>
  <c r="M5" i="28"/>
  <c r="O5" i="28"/>
  <c r="J6" i="28"/>
  <c r="M6" i="28"/>
  <c r="O6" i="28"/>
  <c r="Q14" i="20"/>
  <c r="P15" i="33"/>
  <c r="P49" i="33" s="1"/>
  <c r="P14" i="20"/>
  <c r="M161" i="20"/>
  <c r="N161" i="20"/>
  <c r="F161" i="20"/>
  <c r="F36" i="20"/>
  <c r="O36" i="20"/>
  <c r="N3" i="28"/>
  <c r="S41" i="20"/>
  <c r="S43" i="20"/>
  <c r="R9" i="28"/>
  <c r="R41" i="20"/>
  <c r="Q7" i="28"/>
  <c r="Q41" i="28" s="1"/>
  <c r="R43" i="20"/>
  <c r="Q9" i="28"/>
  <c r="P41" i="20"/>
  <c r="O7" i="28"/>
  <c r="O41" i="28" s="1"/>
  <c r="P43" i="20"/>
  <c r="O41" i="20"/>
  <c r="O43" i="20"/>
  <c r="N9" i="28"/>
  <c r="G41" i="20"/>
  <c r="F7" i="33"/>
  <c r="G43" i="20"/>
  <c r="F9" i="33"/>
  <c r="G42" i="20"/>
  <c r="F8" i="33"/>
  <c r="G181" i="20"/>
  <c r="S42" i="20"/>
  <c r="R8" i="28"/>
  <c r="G180" i="20"/>
  <c r="G178" i="20"/>
  <c r="O42" i="20"/>
  <c r="G177" i="20"/>
  <c r="P42" i="20"/>
  <c r="O8" i="28"/>
  <c r="G176" i="20"/>
  <c r="R42" i="20"/>
  <c r="Q8" i="28"/>
  <c r="H37" i="20"/>
  <c r="G4" i="33"/>
  <c r="J37" i="20"/>
  <c r="I4" i="33"/>
  <c r="I3" i="33" s="1"/>
  <c r="I38" i="33" s="1"/>
  <c r="I37" i="20"/>
  <c r="F37" i="20"/>
  <c r="E37" i="20"/>
  <c r="D4" i="33"/>
  <c r="D3" i="33" s="1"/>
  <c r="D38" i="33" s="1"/>
  <c r="M37" i="20"/>
  <c r="L4" i="33"/>
  <c r="M38" i="20"/>
  <c r="L5" i="33"/>
  <c r="L37" i="20"/>
  <c r="K4" i="33"/>
  <c r="L38" i="20"/>
  <c r="K5" i="33"/>
  <c r="J38" i="20"/>
  <c r="I5" i="33"/>
  <c r="I38" i="20"/>
  <c r="H38" i="20"/>
  <c r="G5" i="33"/>
  <c r="G3" i="33" s="1"/>
  <c r="G38" i="33" s="1"/>
  <c r="F38" i="20"/>
  <c r="E38" i="20"/>
  <c r="D5" i="33"/>
  <c r="Q37" i="20"/>
  <c r="Q38" i="20"/>
  <c r="P5" i="33"/>
  <c r="G36" i="20"/>
  <c r="D37" i="20"/>
  <c r="C4" i="33"/>
  <c r="D38" i="20"/>
  <c r="C5" i="33"/>
  <c r="C3" i="33" s="1"/>
  <c r="C38" i="33" s="1"/>
  <c r="F163" i="20"/>
  <c r="G163" i="20"/>
  <c r="N159" i="20"/>
  <c r="F159" i="20"/>
  <c r="M163" i="20"/>
  <c r="N163" i="20"/>
  <c r="F165" i="20"/>
  <c r="J36" i="20"/>
  <c r="M159" i="20"/>
  <c r="M160" i="20"/>
  <c r="N160" i="20"/>
  <c r="M168" i="20"/>
  <c r="N167" i="20"/>
  <c r="R167" i="20"/>
  <c r="R169" i="20"/>
  <c r="O37" i="20"/>
  <c r="E4" i="33"/>
  <c r="E4" i="28"/>
  <c r="F41" i="28"/>
  <c r="H4" i="33"/>
  <c r="H3" i="33" s="1"/>
  <c r="H38" i="33" s="1"/>
  <c r="H4" i="28"/>
  <c r="S37" i="20"/>
  <c r="R37" i="20"/>
  <c r="G5" i="28"/>
  <c r="R41" i="28"/>
  <c r="O15" i="33"/>
  <c r="O15" i="28"/>
  <c r="O49" i="28" s="1"/>
  <c r="P5" i="28"/>
  <c r="P15" i="28"/>
  <c r="O60" i="28"/>
  <c r="O54" i="28"/>
  <c r="P4" i="33"/>
  <c r="P4" i="28"/>
  <c r="S38" i="20"/>
  <c r="H5" i="33"/>
  <c r="L5" i="28"/>
  <c r="O38" i="28"/>
  <c r="C5" i="28"/>
  <c r="K4" i="28"/>
  <c r="E3" i="28"/>
  <c r="C4" i="28"/>
  <c r="I4" i="28"/>
  <c r="F9" i="28"/>
  <c r="O57" i="28"/>
  <c r="G159" i="20"/>
  <c r="D39" i="20"/>
  <c r="D36" i="20"/>
  <c r="C3" i="28"/>
  <c r="C38" i="28" s="1"/>
  <c r="O38" i="20"/>
  <c r="E5" i="33"/>
  <c r="F41" i="33"/>
  <c r="I5" i="28"/>
  <c r="E5" i="28"/>
  <c r="L4" i="28"/>
  <c r="D4" i="28"/>
  <c r="R38" i="20"/>
  <c r="F160" i="20"/>
  <c r="E36" i="20"/>
  <c r="D3" i="28"/>
  <c r="J163" i="20"/>
  <c r="H39" i="20"/>
  <c r="F167" i="20"/>
  <c r="M162" i="20"/>
  <c r="N162" i="20"/>
  <c r="H162" i="20"/>
  <c r="G38" i="20"/>
  <c r="F168" i="20"/>
  <c r="M36" i="20"/>
  <c r="L3" i="28"/>
  <c r="H36" i="20"/>
  <c r="G3" i="28"/>
  <c r="G165" i="20"/>
  <c r="G161" i="20"/>
  <c r="F164" i="20"/>
  <c r="I36" i="20"/>
  <c r="H3" i="28"/>
  <c r="N166" i="20"/>
  <c r="N30" i="20"/>
  <c r="M30" i="20"/>
  <c r="L30" i="20"/>
  <c r="H30" i="20"/>
  <c r="F30" i="20"/>
  <c r="L29" i="20"/>
  <c r="H29" i="20"/>
  <c r="F29" i="20"/>
  <c r="N28" i="20"/>
  <c r="M28" i="20"/>
  <c r="L28" i="20"/>
  <c r="H28" i="20"/>
  <c r="F28" i="20"/>
  <c r="H26" i="20"/>
  <c r="H25" i="20"/>
  <c r="T144" i="20"/>
  <c r="U144" i="20"/>
  <c r="U146" i="20"/>
  <c r="H24" i="20"/>
  <c r="N131" i="20"/>
  <c r="N34" i="20"/>
  <c r="M34" i="20"/>
  <c r="L34" i="20"/>
  <c r="K34" i="20"/>
  <c r="J34" i="20"/>
  <c r="I34" i="20"/>
  <c r="H34" i="20"/>
  <c r="G34" i="20"/>
  <c r="F34" i="20"/>
  <c r="N33" i="20"/>
  <c r="M33" i="20"/>
  <c r="L33" i="20"/>
  <c r="K33" i="20"/>
  <c r="J33" i="20"/>
  <c r="I33" i="20"/>
  <c r="H33" i="20"/>
  <c r="G33" i="20"/>
  <c r="F33" i="20"/>
  <c r="E33" i="20"/>
  <c r="D33" i="20"/>
  <c r="N32" i="20"/>
  <c r="M32" i="20"/>
  <c r="L32" i="20"/>
  <c r="K32" i="20"/>
  <c r="J32" i="20"/>
  <c r="I32" i="20"/>
  <c r="H32" i="20"/>
  <c r="G32" i="20"/>
  <c r="F32" i="20"/>
  <c r="D32" i="20"/>
  <c r="I113" i="20"/>
  <c r="I114" i="20"/>
  <c r="I115" i="20"/>
  <c r="I116" i="20"/>
  <c r="I117" i="20"/>
  <c r="I118" i="20"/>
  <c r="I119" i="20"/>
  <c r="I120" i="20"/>
  <c r="I121" i="20"/>
  <c r="H112" i="20"/>
  <c r="E34" i="20"/>
  <c r="H111" i="20"/>
  <c r="I111" i="20"/>
  <c r="D79" i="20"/>
  <c r="W81" i="20"/>
  <c r="T129" i="20"/>
  <c r="U129" i="20"/>
  <c r="U130" i="20"/>
  <c r="Q95" i="20"/>
  <c r="Q102" i="20"/>
  <c r="P102" i="20"/>
  <c r="Q97" i="20"/>
  <c r="Q96" i="20"/>
  <c r="F48" i="20"/>
  <c r="P15" i="20"/>
  <c r="P16" i="20"/>
  <c r="Q15" i="20"/>
  <c r="R15" i="20"/>
  <c r="S15" i="20"/>
  <c r="Q16" i="20"/>
  <c r="R16" i="20"/>
  <c r="S16" i="20"/>
  <c r="R14" i="20"/>
  <c r="S14" i="20"/>
  <c r="J15" i="20"/>
  <c r="I15" i="20"/>
  <c r="D82" i="20"/>
  <c r="W79" i="20"/>
  <c r="I73" i="20"/>
  <c r="D85" i="20"/>
  <c r="D81" i="20"/>
  <c r="D80" i="20"/>
  <c r="N12" i="20"/>
  <c r="O12" i="20"/>
  <c r="P12" i="20"/>
  <c r="N7" i="20"/>
  <c r="M10" i="33"/>
  <c r="E71" i="20"/>
  <c r="F71" i="20"/>
  <c r="P32" i="20"/>
  <c r="D58" i="20"/>
  <c r="E48" i="20"/>
  <c r="F49" i="20"/>
  <c r="F53" i="20"/>
  <c r="F50" i="20"/>
  <c r="F55" i="20"/>
  <c r="P39" i="1"/>
  <c r="P40" i="1"/>
  <c r="Q53" i="1"/>
  <c r="Q77" i="1"/>
  <c r="Q76" i="1"/>
  <c r="Q62" i="1"/>
  <c r="Q75" i="1"/>
  <c r="Q54" i="1"/>
  <c r="Q41" i="1"/>
  <c r="Q37" i="1"/>
  <c r="Q16" i="1"/>
  <c r="Q21" i="1"/>
  <c r="Q20" i="1"/>
  <c r="Q59" i="1"/>
  <c r="Q58" i="1"/>
  <c r="O59" i="1"/>
  <c r="R17" i="33"/>
  <c r="R49" i="33" s="1"/>
  <c r="R17" i="28"/>
  <c r="G6" i="33"/>
  <c r="G6" i="28"/>
  <c r="Q4" i="33"/>
  <c r="Q3" i="33" s="1"/>
  <c r="Q38" i="33" s="1"/>
  <c r="Q4" i="28"/>
  <c r="O29" i="33"/>
  <c r="O29" i="28"/>
  <c r="M14" i="33"/>
  <c r="M14" i="28"/>
  <c r="I16" i="33"/>
  <c r="I16" i="28"/>
  <c r="Q17" i="33"/>
  <c r="Q17" i="28"/>
  <c r="P16" i="33"/>
  <c r="P16" i="28"/>
  <c r="H42" i="20"/>
  <c r="G29" i="33"/>
  <c r="G29" i="28"/>
  <c r="L42" i="20"/>
  <c r="K29" i="33"/>
  <c r="K63" i="33" s="1"/>
  <c r="K29" i="28"/>
  <c r="D30" i="33"/>
  <c r="D30" i="28"/>
  <c r="H30" i="33"/>
  <c r="H63" i="33" s="1"/>
  <c r="H30" i="28"/>
  <c r="M43" i="20"/>
  <c r="L30" i="33"/>
  <c r="L30" i="28"/>
  <c r="L63" i="28" s="1"/>
  <c r="H41" i="20"/>
  <c r="G31" i="33"/>
  <c r="G31" i="28"/>
  <c r="L41" i="20"/>
  <c r="K31" i="33"/>
  <c r="K31" i="28"/>
  <c r="G24" i="33"/>
  <c r="G24" i="28"/>
  <c r="G57" i="28" s="1"/>
  <c r="K26" i="33"/>
  <c r="K26" i="28"/>
  <c r="G27" i="33"/>
  <c r="G27" i="28"/>
  <c r="K28" i="33"/>
  <c r="K28" i="28"/>
  <c r="C6" i="28"/>
  <c r="R4" i="33"/>
  <c r="R4" i="28"/>
  <c r="N4" i="33"/>
  <c r="N4" i="28"/>
  <c r="N14" i="33"/>
  <c r="N14" i="28"/>
  <c r="Q16" i="33"/>
  <c r="Q16" i="28"/>
  <c r="D31" i="33"/>
  <c r="E41" i="20"/>
  <c r="D31" i="28"/>
  <c r="F29" i="33"/>
  <c r="F29" i="28"/>
  <c r="H43" i="20"/>
  <c r="G30" i="33"/>
  <c r="G30" i="28"/>
  <c r="G38" i="28"/>
  <c r="M43" i="33"/>
  <c r="R15" i="33"/>
  <c r="R15" i="28"/>
  <c r="P17" i="33"/>
  <c r="P17" i="28"/>
  <c r="O17" i="33"/>
  <c r="O17" i="28"/>
  <c r="D42" i="20"/>
  <c r="C29" i="33"/>
  <c r="C63" i="33" s="1"/>
  <c r="C29" i="28"/>
  <c r="H29" i="33"/>
  <c r="H29" i="28"/>
  <c r="H63" i="28" s="1"/>
  <c r="M42" i="20"/>
  <c r="L29" i="33"/>
  <c r="L29" i="28"/>
  <c r="E30" i="33"/>
  <c r="E30" i="28"/>
  <c r="J43" i="20"/>
  <c r="I30" i="33"/>
  <c r="I30" i="28"/>
  <c r="N43" i="20"/>
  <c r="M30" i="33"/>
  <c r="M30" i="28"/>
  <c r="H31" i="33"/>
  <c r="H31" i="28"/>
  <c r="M41" i="20"/>
  <c r="L31" i="33"/>
  <c r="L31" i="28"/>
  <c r="G23" i="33"/>
  <c r="G57" i="33" s="1"/>
  <c r="G23" i="28"/>
  <c r="G25" i="33"/>
  <c r="G25" i="28"/>
  <c r="L26" i="33"/>
  <c r="L60" i="33" s="1"/>
  <c r="L26" i="28"/>
  <c r="K27" i="33"/>
  <c r="K27" i="28"/>
  <c r="K60" i="28" s="1"/>
  <c r="L28" i="33"/>
  <c r="L28" i="28"/>
  <c r="F5" i="33"/>
  <c r="F5" i="28"/>
  <c r="R5" i="33"/>
  <c r="R5" i="28"/>
  <c r="H16" i="33"/>
  <c r="H16" i="28"/>
  <c r="K42" i="20"/>
  <c r="J29" i="33"/>
  <c r="J29" i="28"/>
  <c r="D43" i="20"/>
  <c r="C30" i="33"/>
  <c r="C30" i="28"/>
  <c r="L43" i="20"/>
  <c r="K30" i="33"/>
  <c r="K30" i="28"/>
  <c r="F31" i="33"/>
  <c r="F31" i="28"/>
  <c r="K41" i="20"/>
  <c r="J31" i="33"/>
  <c r="J31" i="28"/>
  <c r="G26" i="33"/>
  <c r="G26" i="28"/>
  <c r="G60" i="28" s="1"/>
  <c r="O29" i="20"/>
  <c r="E27" i="33"/>
  <c r="E27" i="28"/>
  <c r="G28" i="33"/>
  <c r="G60" i="33" s="1"/>
  <c r="G28" i="28"/>
  <c r="Q5" i="33"/>
  <c r="Q5" i="28"/>
  <c r="O14" i="33"/>
  <c r="O14" i="28"/>
  <c r="Q15" i="33"/>
  <c r="Q15" i="28"/>
  <c r="R16" i="33"/>
  <c r="R16" i="28"/>
  <c r="O16" i="33"/>
  <c r="O49" i="33" s="1"/>
  <c r="O16" i="28"/>
  <c r="E29" i="33"/>
  <c r="E29" i="28"/>
  <c r="J42" i="20"/>
  <c r="I29" i="33"/>
  <c r="I29" i="28"/>
  <c r="N42" i="20"/>
  <c r="M29" i="33"/>
  <c r="M63" i="33" s="1"/>
  <c r="M29" i="28"/>
  <c r="F30" i="33"/>
  <c r="F30" i="28"/>
  <c r="K43" i="20"/>
  <c r="J30" i="33"/>
  <c r="J30" i="28"/>
  <c r="J63" i="28" s="1"/>
  <c r="E31" i="33"/>
  <c r="E31" i="28"/>
  <c r="J41" i="20"/>
  <c r="I31" i="33"/>
  <c r="I31" i="28"/>
  <c r="N41" i="20"/>
  <c r="M31" i="33"/>
  <c r="M31" i="28"/>
  <c r="O28" i="20"/>
  <c r="E26" i="33"/>
  <c r="E60" i="33" s="1"/>
  <c r="E26" i="28"/>
  <c r="M26" i="33"/>
  <c r="M26" i="28"/>
  <c r="O30" i="20"/>
  <c r="E28" i="33"/>
  <c r="E28" i="28"/>
  <c r="E60" i="28" s="1"/>
  <c r="M28" i="33"/>
  <c r="M28" i="28"/>
  <c r="N5" i="33"/>
  <c r="N5" i="28"/>
  <c r="N38" i="28" s="1"/>
  <c r="P49" i="28"/>
  <c r="F42" i="20"/>
  <c r="O32" i="20"/>
  <c r="F41" i="20"/>
  <c r="O34" i="20"/>
  <c r="S36" i="20"/>
  <c r="R3" i="28"/>
  <c r="R36" i="20"/>
  <c r="Q3" i="28"/>
  <c r="E43" i="20"/>
  <c r="Q33" i="20"/>
  <c r="I43" i="20"/>
  <c r="R33" i="20"/>
  <c r="S33" i="20"/>
  <c r="Q34" i="20"/>
  <c r="E42" i="20"/>
  <c r="Q32" i="20"/>
  <c r="I42" i="20"/>
  <c r="S32" i="20"/>
  <c r="R32" i="20"/>
  <c r="F43" i="20"/>
  <c r="O33" i="20"/>
  <c r="I41" i="20"/>
  <c r="S34" i="20"/>
  <c r="R34" i="20"/>
  <c r="G168" i="20"/>
  <c r="J168" i="20"/>
  <c r="F166" i="20"/>
  <c r="Q36" i="20"/>
  <c r="P3" i="28"/>
  <c r="G160" i="20"/>
  <c r="E39" i="20"/>
  <c r="M39" i="20"/>
  <c r="J165" i="20"/>
  <c r="J39" i="20"/>
  <c r="G167" i="20"/>
  <c r="L36" i="20"/>
  <c r="K3" i="28"/>
  <c r="J159" i="20"/>
  <c r="J161" i="20"/>
  <c r="F39" i="20"/>
  <c r="I112" i="20"/>
  <c r="I162" i="20"/>
  <c r="G37" i="20"/>
  <c r="G166" i="20"/>
  <c r="Q39" i="20"/>
  <c r="G164" i="20"/>
  <c r="D34" i="20"/>
  <c r="U145" i="20"/>
  <c r="U147" i="20"/>
  <c r="E51" i="20"/>
  <c r="E49" i="20"/>
  <c r="E50" i="20"/>
  <c r="E52" i="20"/>
  <c r="P6" i="28"/>
  <c r="I6" i="33"/>
  <c r="I6" i="28"/>
  <c r="H7" i="33"/>
  <c r="H41" i="33" s="1"/>
  <c r="H7" i="28"/>
  <c r="H41" i="28" s="1"/>
  <c r="P30" i="33"/>
  <c r="P30" i="28"/>
  <c r="N31" i="33"/>
  <c r="N31" i="28"/>
  <c r="N26" i="33"/>
  <c r="N26" i="28"/>
  <c r="M8" i="33"/>
  <c r="M8" i="28"/>
  <c r="G9" i="33"/>
  <c r="G9" i="28"/>
  <c r="K60" i="33"/>
  <c r="G7" i="33"/>
  <c r="G41" i="33" s="1"/>
  <c r="G7" i="28"/>
  <c r="K63" i="28"/>
  <c r="G63" i="33"/>
  <c r="M46" i="28"/>
  <c r="F4" i="28"/>
  <c r="N30" i="33"/>
  <c r="N30" i="28"/>
  <c r="H8" i="33"/>
  <c r="H8" i="28"/>
  <c r="R30" i="33"/>
  <c r="R30" i="28"/>
  <c r="D9" i="33"/>
  <c r="D9" i="28"/>
  <c r="E7" i="33"/>
  <c r="E7" i="28"/>
  <c r="I63" i="28"/>
  <c r="E63" i="33"/>
  <c r="O46" i="33"/>
  <c r="J7" i="33"/>
  <c r="J41" i="33" s="1"/>
  <c r="J7" i="28"/>
  <c r="C9" i="33"/>
  <c r="C9" i="28"/>
  <c r="H49" i="28"/>
  <c r="L7" i="33"/>
  <c r="L41" i="33" s="1"/>
  <c r="L7" i="28"/>
  <c r="L41" i="28" s="1"/>
  <c r="I9" i="33"/>
  <c r="I9" i="28"/>
  <c r="L63" i="33"/>
  <c r="F63" i="28"/>
  <c r="K7" i="33"/>
  <c r="K41" i="33" s="1"/>
  <c r="K7" i="28"/>
  <c r="G8" i="33"/>
  <c r="G8" i="28"/>
  <c r="P31" i="33"/>
  <c r="P63" i="33" s="1"/>
  <c r="P31" i="28"/>
  <c r="R49" i="28"/>
  <c r="N46" i="28"/>
  <c r="D41" i="20"/>
  <c r="C31" i="33"/>
  <c r="C31" i="28"/>
  <c r="C63" i="28" s="1"/>
  <c r="L6" i="33"/>
  <c r="L6" i="28"/>
  <c r="E9" i="33"/>
  <c r="E41" i="33" s="1"/>
  <c r="E9" i="28"/>
  <c r="Q30" i="33"/>
  <c r="Q30" i="28"/>
  <c r="N29" i="33"/>
  <c r="N29" i="28"/>
  <c r="N63" i="28" s="1"/>
  <c r="I7" i="33"/>
  <c r="I7" i="28"/>
  <c r="M63" i="28"/>
  <c r="I63" i="33"/>
  <c r="Q49" i="28"/>
  <c r="K9" i="33"/>
  <c r="K9" i="28"/>
  <c r="K41" i="28" s="1"/>
  <c r="M9" i="33"/>
  <c r="M9" i="28"/>
  <c r="L8" i="33"/>
  <c r="L8" i="28"/>
  <c r="F63" i="33"/>
  <c r="D63" i="28"/>
  <c r="K8" i="33"/>
  <c r="K8" i="28"/>
  <c r="I49" i="28"/>
  <c r="P38" i="28"/>
  <c r="R29" i="33"/>
  <c r="R29" i="28"/>
  <c r="E63" i="28"/>
  <c r="O46" i="28"/>
  <c r="N27" i="33"/>
  <c r="N27" i="28"/>
  <c r="J8" i="33"/>
  <c r="J8" i="28"/>
  <c r="J41" i="28" s="1"/>
  <c r="D7" i="33"/>
  <c r="D7" i="28"/>
  <c r="Q31" i="33"/>
  <c r="Q31" i="28"/>
  <c r="Q63" i="28" s="1"/>
  <c r="P29" i="33"/>
  <c r="P29" i="28"/>
  <c r="O39" i="20"/>
  <c r="E6" i="33"/>
  <c r="E6" i="28"/>
  <c r="D6" i="28"/>
  <c r="R31" i="33"/>
  <c r="R31" i="28"/>
  <c r="Q29" i="33"/>
  <c r="Q29" i="28"/>
  <c r="D8" i="33"/>
  <c r="D8" i="28"/>
  <c r="D41" i="28" s="1"/>
  <c r="H9" i="33"/>
  <c r="H9" i="28"/>
  <c r="E8" i="33"/>
  <c r="E8" i="28"/>
  <c r="E41" i="28" s="1"/>
  <c r="N28" i="33"/>
  <c r="N28" i="28"/>
  <c r="M7" i="33"/>
  <c r="M41" i="33" s="1"/>
  <c r="M7" i="28"/>
  <c r="M41" i="28" s="1"/>
  <c r="J9" i="33"/>
  <c r="J9" i="28"/>
  <c r="I8" i="33"/>
  <c r="I8" i="28"/>
  <c r="I41" i="28" s="1"/>
  <c r="Q49" i="33"/>
  <c r="J63" i="33"/>
  <c r="C8" i="33"/>
  <c r="C41" i="33" s="1"/>
  <c r="C8" i="28"/>
  <c r="L9" i="33"/>
  <c r="L9" i="28"/>
  <c r="D63" i="33"/>
  <c r="G63" i="28"/>
  <c r="I49" i="33"/>
  <c r="O63" i="33"/>
  <c r="J160" i="20"/>
  <c r="J166" i="20"/>
  <c r="G162" i="20"/>
  <c r="J164" i="20"/>
  <c r="I39" i="20"/>
  <c r="L39" i="20"/>
  <c r="J167" i="20"/>
  <c r="N6" i="33"/>
  <c r="N6" i="28"/>
  <c r="R63" i="28"/>
  <c r="N63" i="33"/>
  <c r="N60" i="33"/>
  <c r="D38" i="28"/>
  <c r="I41" i="33"/>
  <c r="N60" i="28"/>
  <c r="K6" i="33"/>
  <c r="K6" i="28"/>
  <c r="Q63" i="33"/>
  <c r="P63" i="28"/>
  <c r="D41" i="33"/>
  <c r="H6" i="33"/>
  <c r="H6" i="28"/>
  <c r="E38" i="28"/>
  <c r="R63" i="33"/>
  <c r="L38" i="28"/>
  <c r="C7" i="33"/>
  <c r="C7" i="28"/>
  <c r="G41" i="28"/>
  <c r="I38" i="28"/>
  <c r="E3" i="33"/>
  <c r="E38" i="33" s="1"/>
  <c r="L3" i="33"/>
  <c r="P3" i="33"/>
  <c r="P38" i="33" s="1"/>
  <c r="S39" i="20"/>
  <c r="R39" i="20"/>
  <c r="J162" i="20"/>
  <c r="G39" i="20"/>
  <c r="R6" i="28"/>
  <c r="Q6" i="28"/>
  <c r="C41" i="28"/>
  <c r="H38" i="28"/>
  <c r="L38" i="33"/>
  <c r="K38" i="28"/>
  <c r="F6" i="28"/>
  <c r="K3" i="33"/>
  <c r="N3" i="33"/>
  <c r="N38" i="33" s="1"/>
  <c r="Q33" i="1"/>
  <c r="P30" i="1"/>
  <c r="P53" i="1"/>
  <c r="K36" i="1"/>
  <c r="R30" i="1"/>
  <c r="R29" i="1" s="1"/>
  <c r="C16" i="20" s="1"/>
  <c r="Q31" i="1"/>
  <c r="Q30" i="1"/>
  <c r="Q29" i="1" s="1"/>
  <c r="P49" i="1"/>
  <c r="Q49" i="1"/>
  <c r="Q47" i="1"/>
  <c r="Q48" i="1"/>
  <c r="Q27" i="1"/>
  <c r="Q26" i="1"/>
  <c r="P25" i="1"/>
  <c r="P24" i="1"/>
  <c r="P68" i="1"/>
  <c r="K11" i="1"/>
  <c r="R11" i="1" s="1"/>
  <c r="R10" i="1" s="1"/>
  <c r="D53" i="1"/>
  <c r="D54" i="1"/>
  <c r="D55" i="1"/>
  <c r="D56" i="1"/>
  <c r="D57" i="1"/>
  <c r="D51" i="1"/>
  <c r="D52" i="1"/>
  <c r="D50" i="1"/>
  <c r="D45" i="1"/>
  <c r="D46" i="1"/>
  <c r="D47" i="1"/>
  <c r="D48" i="1"/>
  <c r="D49" i="1"/>
  <c r="D44" i="1"/>
  <c r="D43" i="1"/>
  <c r="D42" i="1"/>
  <c r="D40" i="1"/>
  <c r="D41" i="1"/>
  <c r="D39" i="1"/>
  <c r="D35" i="1"/>
  <c r="D36" i="1"/>
  <c r="D37" i="1"/>
  <c r="D38" i="1"/>
  <c r="D34" i="1"/>
  <c r="D31" i="1"/>
  <c r="D32" i="1"/>
  <c r="D33" i="1"/>
  <c r="D30" i="1"/>
  <c r="D28" i="1"/>
  <c r="D29" i="1"/>
  <c r="D27" i="1"/>
  <c r="D24" i="1"/>
  <c r="D25" i="1"/>
  <c r="D26" i="1"/>
  <c r="D23" i="1"/>
  <c r="D20" i="1"/>
  <c r="D21" i="1"/>
  <c r="D22" i="1"/>
  <c r="D19" i="1"/>
  <c r="D18" i="1"/>
  <c r="D17" i="1"/>
  <c r="D12" i="1"/>
  <c r="D13" i="1"/>
  <c r="D14" i="1"/>
  <c r="D15" i="1"/>
  <c r="D16" i="1"/>
  <c r="D11" i="1"/>
  <c r="K17" i="1"/>
  <c r="R20" i="1" s="1"/>
  <c r="C7" i="20" s="1"/>
  <c r="E10" i="1"/>
  <c r="Q11" i="1"/>
  <c r="K13" i="1"/>
  <c r="R13" i="1" s="1"/>
  <c r="K12" i="1"/>
  <c r="R12" i="1"/>
  <c r="P77" i="1"/>
  <c r="O77" i="1"/>
  <c r="P76" i="1"/>
  <c r="O76" i="1"/>
  <c r="P75" i="1"/>
  <c r="O75" i="1"/>
  <c r="Q73" i="1"/>
  <c r="P73" i="1"/>
  <c r="O73" i="1"/>
  <c r="Q72" i="1"/>
  <c r="P72" i="1"/>
  <c r="O72" i="1"/>
  <c r="Q69" i="1"/>
  <c r="P69" i="1"/>
  <c r="O69" i="1"/>
  <c r="Q68" i="1"/>
  <c r="O68" i="1"/>
  <c r="Q65" i="1"/>
  <c r="P65" i="1"/>
  <c r="O65" i="1"/>
  <c r="Q64" i="1"/>
  <c r="P64" i="1"/>
  <c r="O64" i="1"/>
  <c r="Q63" i="1"/>
  <c r="P63" i="1"/>
  <c r="O63" i="1"/>
  <c r="P62" i="1"/>
  <c r="O62" i="1"/>
  <c r="Q60" i="1"/>
  <c r="P60" i="1"/>
  <c r="O60" i="1"/>
  <c r="P58" i="1"/>
  <c r="O58" i="1"/>
  <c r="Q56" i="1"/>
  <c r="Q55" i="1" s="1"/>
  <c r="P56" i="1"/>
  <c r="O56" i="1"/>
  <c r="E57" i="1"/>
  <c r="K57" i="1"/>
  <c r="P55" i="1"/>
  <c r="O55" i="1"/>
  <c r="E56" i="1"/>
  <c r="K56" i="1"/>
  <c r="P54" i="1"/>
  <c r="O54" i="1"/>
  <c r="E55" i="1"/>
  <c r="K55" i="1"/>
  <c r="O53" i="1"/>
  <c r="E54" i="1"/>
  <c r="K54" i="1"/>
  <c r="E53" i="1"/>
  <c r="K53" i="1"/>
  <c r="Q51" i="1"/>
  <c r="P51" i="1"/>
  <c r="O51" i="1"/>
  <c r="E52" i="1"/>
  <c r="K52" i="1"/>
  <c r="Q50" i="1"/>
  <c r="P50" i="1"/>
  <c r="O50" i="1"/>
  <c r="E51" i="1"/>
  <c r="K51" i="1"/>
  <c r="O49" i="1"/>
  <c r="E50" i="1"/>
  <c r="K50" i="1"/>
  <c r="P48" i="1"/>
  <c r="O48" i="1"/>
  <c r="E49" i="1"/>
  <c r="K49" i="1"/>
  <c r="R41" i="1" s="1"/>
  <c r="P47" i="1"/>
  <c r="O47" i="1"/>
  <c r="E48" i="1"/>
  <c r="K48" i="1"/>
  <c r="R40" i="1" s="1"/>
  <c r="C18" i="20" s="1"/>
  <c r="E47" i="1"/>
  <c r="K47" i="1"/>
  <c r="R39" i="1" s="1"/>
  <c r="C19" i="20" s="1"/>
  <c r="Q45" i="1"/>
  <c r="P45" i="1"/>
  <c r="O45" i="1"/>
  <c r="E46" i="1"/>
  <c r="K46" i="1"/>
  <c r="R38" i="1" s="1"/>
  <c r="C20" i="20" s="1"/>
  <c r="Q44" i="1"/>
  <c r="P44" i="1"/>
  <c r="O44" i="1"/>
  <c r="E45" i="1"/>
  <c r="K45" i="1"/>
  <c r="R37" i="1" s="1"/>
  <c r="C21" i="20" s="1"/>
  <c r="Q43" i="1"/>
  <c r="P43" i="1"/>
  <c r="O43" i="1"/>
  <c r="E44" i="1"/>
  <c r="K44" i="1"/>
  <c r="R36" i="1"/>
  <c r="C22" i="20" s="1"/>
  <c r="E43" i="1"/>
  <c r="K43" i="1"/>
  <c r="P41" i="1"/>
  <c r="O41" i="1"/>
  <c r="E42" i="1"/>
  <c r="K42" i="1"/>
  <c r="Q40" i="1"/>
  <c r="O40" i="1"/>
  <c r="E41" i="1"/>
  <c r="K41" i="1"/>
  <c r="Q39" i="1"/>
  <c r="O39" i="1"/>
  <c r="E40" i="1"/>
  <c r="K40" i="1"/>
  <c r="Q38" i="1"/>
  <c r="P38" i="1"/>
  <c r="O38" i="1"/>
  <c r="E39" i="1"/>
  <c r="K39" i="1"/>
  <c r="P37" i="1"/>
  <c r="O37" i="1"/>
  <c r="E38" i="1"/>
  <c r="K38" i="1"/>
  <c r="R31" i="1" s="1"/>
  <c r="Q36" i="1"/>
  <c r="P36" i="1"/>
  <c r="O36" i="1"/>
  <c r="E37" i="1"/>
  <c r="K37" i="1"/>
  <c r="R34" i="1" s="1"/>
  <c r="E36" i="1"/>
  <c r="Q34" i="1"/>
  <c r="Q32" i="1" s="1"/>
  <c r="P34" i="1"/>
  <c r="O34" i="1"/>
  <c r="E35" i="1"/>
  <c r="K35" i="1"/>
  <c r="R33" i="1" s="1"/>
  <c r="C14" i="20" s="1"/>
  <c r="P33" i="1"/>
  <c r="O33" i="1"/>
  <c r="E34" i="1"/>
  <c r="K34" i="1"/>
  <c r="R32" i="1" s="1"/>
  <c r="C15" i="20" s="1"/>
  <c r="P32" i="1"/>
  <c r="O32" i="1"/>
  <c r="E33" i="1"/>
  <c r="K33" i="1"/>
  <c r="R25" i="1" s="1"/>
  <c r="P31" i="1"/>
  <c r="O31" i="1"/>
  <c r="E32" i="1"/>
  <c r="K32" i="1"/>
  <c r="R27" i="1"/>
  <c r="O30" i="1"/>
  <c r="E31" i="1"/>
  <c r="K31" i="1"/>
  <c r="R26" i="1"/>
  <c r="E30" i="1"/>
  <c r="K30" i="1"/>
  <c r="R24" i="1" s="1"/>
  <c r="R23" i="1" s="1"/>
  <c r="E29" i="1"/>
  <c r="K29" i="1"/>
  <c r="R77" i="1" s="1"/>
  <c r="P27" i="1"/>
  <c r="O27" i="1"/>
  <c r="E28" i="1"/>
  <c r="K28" i="1"/>
  <c r="P26" i="1"/>
  <c r="O26" i="1"/>
  <c r="E27" i="1"/>
  <c r="K27" i="1"/>
  <c r="Q25" i="1"/>
  <c r="O25" i="1"/>
  <c r="E26" i="1"/>
  <c r="K26" i="1"/>
  <c r="Q24" i="1"/>
  <c r="O24" i="1"/>
  <c r="E25" i="1"/>
  <c r="K25" i="1"/>
  <c r="E24" i="1"/>
  <c r="K24" i="1"/>
  <c r="E23" i="1"/>
  <c r="K23" i="1"/>
  <c r="O21" i="1"/>
  <c r="E22" i="1"/>
  <c r="K22" i="1"/>
  <c r="R73" i="1" s="1"/>
  <c r="O20" i="1"/>
  <c r="E21" i="1"/>
  <c r="K21" i="1"/>
  <c r="R72" i="1" s="1"/>
  <c r="R71" i="1" s="1"/>
  <c r="E20" i="1"/>
  <c r="K20" i="1"/>
  <c r="R69" i="1" s="1"/>
  <c r="Q18" i="1"/>
  <c r="P18" i="1"/>
  <c r="O18" i="1"/>
  <c r="E19" i="1"/>
  <c r="K19" i="1"/>
  <c r="R68" i="1"/>
  <c r="Q17" i="1"/>
  <c r="Q15" i="1" s="1"/>
  <c r="E18" i="1"/>
  <c r="K18" i="1"/>
  <c r="R21" i="1"/>
  <c r="C8" i="20"/>
  <c r="M59" i="20" s="1"/>
  <c r="E17" i="1"/>
  <c r="E16" i="1"/>
  <c r="K16" i="1"/>
  <c r="R18" i="1" s="1"/>
  <c r="R15" i="1" s="1"/>
  <c r="E15" i="1"/>
  <c r="K15" i="1"/>
  <c r="R17" i="1"/>
  <c r="Q13" i="1"/>
  <c r="E14" i="1"/>
  <c r="K14" i="1"/>
  <c r="R16" i="1"/>
  <c r="Q12" i="1"/>
  <c r="E13" i="1"/>
  <c r="E12" i="1"/>
  <c r="E11" i="1"/>
  <c r="K38" i="33"/>
  <c r="R60" i="1"/>
  <c r="C29" i="20" s="1"/>
  <c r="R58" i="1"/>
  <c r="C28" i="20" s="1"/>
  <c r="R59" i="1"/>
  <c r="C30" i="20" s="1"/>
  <c r="R38" i="28"/>
  <c r="Q38" i="28"/>
  <c r="Q71" i="1"/>
  <c r="Q67" i="1"/>
  <c r="R3" i="33"/>
  <c r="R38" i="33" s="1"/>
  <c r="Q23" i="1"/>
  <c r="Q10" i="1"/>
  <c r="R67" i="1"/>
  <c r="C34" i="20" s="1"/>
  <c r="R76" i="1"/>
  <c r="C32" i="20" s="1"/>
  <c r="R75" i="1"/>
  <c r="C33" i="20" s="1"/>
  <c r="C72" i="15"/>
  <c r="F72" i="15"/>
  <c r="C74" i="15"/>
  <c r="F75" i="15"/>
  <c r="M83" i="15"/>
  <c r="Q93" i="15"/>
  <c r="AY295" i="15"/>
  <c r="AZ294" i="15" s="1"/>
  <c r="D380" i="15"/>
  <c r="E376" i="15" s="1"/>
  <c r="D388" i="15"/>
  <c r="E382" i="15" s="1"/>
  <c r="G392" i="15"/>
  <c r="H392" i="15" s="1"/>
  <c r="I392" i="15" s="1"/>
  <c r="E373" i="15"/>
  <c r="G380" i="15"/>
  <c r="Q140" i="15"/>
  <c r="R138" i="15" s="1"/>
  <c r="D88" i="20"/>
  <c r="D87" i="20"/>
  <c r="D86" i="20"/>
  <c r="X90" i="20"/>
  <c r="V90" i="20"/>
  <c r="X84" i="20"/>
  <c r="V84" i="20"/>
  <c r="W89" i="20"/>
  <c r="W83" i="20"/>
  <c r="D84" i="20"/>
  <c r="W88" i="20"/>
  <c r="W82" i="20"/>
  <c r="D83" i="20"/>
  <c r="W87" i="20"/>
  <c r="W86" i="20"/>
  <c r="W80" i="20"/>
  <c r="W85" i="20"/>
  <c r="E67" i="20"/>
  <c r="F64" i="20"/>
  <c r="E54" i="20"/>
  <c r="F57" i="20"/>
  <c r="F56" i="20"/>
  <c r="E56" i="20"/>
  <c r="E55" i="20"/>
  <c r="T56" i="20"/>
  <c r="W49" i="20"/>
  <c r="S56" i="20"/>
  <c r="V55" i="20"/>
  <c r="R56" i="20"/>
  <c r="U51" i="20"/>
  <c r="F54" i="20"/>
  <c r="D89" i="20"/>
  <c r="M64" i="20"/>
  <c r="M63" i="20"/>
  <c r="F65" i="20"/>
  <c r="M66" i="20"/>
  <c r="F66" i="20"/>
  <c r="W52" i="20"/>
  <c r="W54" i="20"/>
  <c r="W51" i="20"/>
  <c r="V51" i="20"/>
  <c r="I50" i="20"/>
  <c r="W50" i="20"/>
  <c r="W53" i="20"/>
  <c r="U55" i="20"/>
  <c r="U49" i="20"/>
  <c r="U54" i="20"/>
  <c r="U53" i="20"/>
  <c r="U50" i="20"/>
  <c r="U52" i="20"/>
  <c r="W90" i="20"/>
  <c r="Y86" i="20"/>
  <c r="I81" i="20"/>
  <c r="M82" i="20"/>
  <c r="E53" i="20"/>
  <c r="E57" i="20"/>
  <c r="W84" i="20"/>
  <c r="Y79" i="20"/>
  <c r="H80" i="20"/>
  <c r="M68" i="20"/>
  <c r="M69" i="20"/>
  <c r="Y83" i="20"/>
  <c r="H84" i="20"/>
  <c r="L83" i="20"/>
  <c r="N83" i="20"/>
  <c r="Y81" i="20"/>
  <c r="H82" i="20"/>
  <c r="Y82" i="20"/>
  <c r="H83" i="20"/>
  <c r="Y88" i="20"/>
  <c r="I83" i="20"/>
  <c r="Y80" i="20"/>
  <c r="H81" i="20"/>
  <c r="L82" i="20"/>
  <c r="O82" i="20"/>
  <c r="G15" i="20"/>
  <c r="Y85" i="20"/>
  <c r="I80" i="20"/>
  <c r="Y87" i="20"/>
  <c r="I82" i="20"/>
  <c r="Y89" i="20"/>
  <c r="I84" i="20"/>
  <c r="M83" i="20"/>
  <c r="V52" i="20"/>
  <c r="I51" i="20"/>
  <c r="L56" i="20"/>
  <c r="V50" i="20"/>
  <c r="I49" i="20"/>
  <c r="L53" i="20"/>
  <c r="V54" i="20"/>
  <c r="I53" i="20"/>
  <c r="L51" i="20"/>
  <c r="L57" i="20"/>
  <c r="W56" i="20"/>
  <c r="U56" i="20"/>
  <c r="V53" i="20"/>
  <c r="V49" i="20"/>
  <c r="I48" i="20"/>
  <c r="F16" i="33"/>
  <c r="F16" i="28"/>
  <c r="X50" i="20"/>
  <c r="X52" i="20"/>
  <c r="L54" i="20"/>
  <c r="O83" i="20"/>
  <c r="H15" i="20"/>
  <c r="L49" i="20"/>
  <c r="L48" i="20"/>
  <c r="L52" i="20"/>
  <c r="X49" i="20"/>
  <c r="I85" i="20"/>
  <c r="Y90" i="20"/>
  <c r="X54" i="20"/>
  <c r="X53" i="20"/>
  <c r="I52" i="20"/>
  <c r="L50" i="20"/>
  <c r="V56" i="20"/>
  <c r="N82" i="20"/>
  <c r="X51" i="20"/>
  <c r="H85" i="20"/>
  <c r="Y84" i="20"/>
  <c r="G16" i="33"/>
  <c r="G16" i="28"/>
  <c r="G49" i="28" s="1"/>
  <c r="G14" i="20"/>
  <c r="H14" i="20"/>
  <c r="L55" i="20"/>
  <c r="F15" i="33"/>
  <c r="F49" i="33" s="1"/>
  <c r="F15" i="28"/>
  <c r="G15" i="28"/>
  <c r="G15" i="33"/>
  <c r="G49" i="33" s="1"/>
  <c r="L58" i="20"/>
  <c r="F49" i="28"/>
  <c r="AR324" i="15"/>
  <c r="V324" i="15"/>
  <c r="U324" i="15"/>
  <c r="T324" i="15"/>
  <c r="S324" i="15"/>
  <c r="R324" i="15"/>
  <c r="P324" i="15"/>
  <c r="O324" i="15"/>
  <c r="M324" i="15"/>
  <c r="L324" i="15"/>
  <c r="I324" i="15"/>
  <c r="H324" i="15"/>
  <c r="G324" i="15"/>
  <c r="F324" i="15"/>
  <c r="E324" i="15"/>
  <c r="AS323" i="15"/>
  <c r="AV294" i="15" s="1"/>
  <c r="AS322" i="15"/>
  <c r="AV293" i="15" s="1"/>
  <c r="AS321" i="15"/>
  <c r="N320" i="15"/>
  <c r="N324" i="15" s="1"/>
  <c r="AS319" i="15"/>
  <c r="AS318" i="15"/>
  <c r="AS317" i="15"/>
  <c r="Q316" i="15"/>
  <c r="AS316" i="15" s="1"/>
  <c r="AS315" i="15"/>
  <c r="AS314" i="15"/>
  <c r="J313" i="15"/>
  <c r="AS313" i="15" s="1"/>
  <c r="K312" i="15"/>
  <c r="AS312" i="15" s="1"/>
  <c r="AS311" i="15"/>
  <c r="AS310" i="15"/>
  <c r="Q309" i="15"/>
  <c r="AS309" i="15" s="1"/>
  <c r="AS308" i="15"/>
  <c r="AS307" i="15"/>
  <c r="AS306" i="15"/>
  <c r="AS305" i="15"/>
  <c r="J304" i="15"/>
  <c r="AS304" i="15" s="1"/>
  <c r="AS303" i="15"/>
  <c r="K302" i="15"/>
  <c r="AS302" i="15" s="1"/>
  <c r="AS301" i="15"/>
  <c r="AV290" i="15" s="1"/>
  <c r="AS300" i="15"/>
  <c r="AS299" i="15"/>
  <c r="AS298" i="15"/>
  <c r="AV289" i="15" s="1"/>
  <c r="AS297" i="15"/>
  <c r="AV288" i="15" s="1"/>
  <c r="AS296" i="15"/>
  <c r="AV287" i="15" s="1"/>
  <c r="AS295" i="15"/>
  <c r="AS294" i="15"/>
  <c r="AS293" i="15"/>
  <c r="AS292" i="15"/>
  <c r="AS291" i="15"/>
  <c r="AU290" i="15"/>
  <c r="AS290" i="15"/>
  <c r="AU289" i="15"/>
  <c r="AS289" i="15"/>
  <c r="AU288" i="15"/>
  <c r="AS288" i="15"/>
  <c r="AU287" i="15"/>
  <c r="AS287" i="15"/>
  <c r="AS286" i="15"/>
  <c r="AS285" i="15"/>
  <c r="F280" i="15"/>
  <c r="E280" i="15"/>
  <c r="G279" i="15"/>
  <c r="G278" i="15"/>
  <c r="G277" i="15"/>
  <c r="J275" i="15" s="1"/>
  <c r="G276" i="15"/>
  <c r="J274" i="15" s="1"/>
  <c r="G275" i="15"/>
  <c r="G274" i="15"/>
  <c r="J273" i="15" s="1"/>
  <c r="G273" i="15"/>
  <c r="J272" i="15" s="1"/>
  <c r="G272" i="15"/>
  <c r="J271" i="15" s="1"/>
  <c r="G271" i="15"/>
  <c r="G270" i="15"/>
  <c r="J263" i="15"/>
  <c r="I263" i="15"/>
  <c r="H263" i="15"/>
  <c r="G263" i="15"/>
  <c r="F263" i="15"/>
  <c r="E263" i="15"/>
  <c r="K262" i="15"/>
  <c r="K261" i="15"/>
  <c r="K260" i="15"/>
  <c r="K259" i="15"/>
  <c r="Q258" i="15"/>
  <c r="R254" i="15" s="1"/>
  <c r="S254" i="15" s="1"/>
  <c r="K258" i="15"/>
  <c r="K257" i="15"/>
  <c r="N257" i="15" s="1"/>
  <c r="K256" i="15"/>
  <c r="K255" i="15"/>
  <c r="K254" i="15"/>
  <c r="M244" i="15"/>
  <c r="L244" i="15"/>
  <c r="K244" i="15"/>
  <c r="J244" i="15"/>
  <c r="I244" i="15"/>
  <c r="H244" i="15"/>
  <c r="G244" i="15"/>
  <c r="F244" i="15"/>
  <c r="E244" i="15"/>
  <c r="N243" i="15"/>
  <c r="N242" i="15"/>
  <c r="N241" i="15"/>
  <c r="N240" i="15"/>
  <c r="N239" i="15"/>
  <c r="N238" i="15"/>
  <c r="N237" i="15"/>
  <c r="Q234" i="15" s="1"/>
  <c r="U234" i="15"/>
  <c r="N236" i="15"/>
  <c r="Q233" i="15" s="1"/>
  <c r="N235" i="15"/>
  <c r="Q232" i="15" s="1"/>
  <c r="N234" i="15"/>
  <c r="Q231" i="15" s="1"/>
  <c r="N233" i="15"/>
  <c r="N232" i="15"/>
  <c r="N231" i="15"/>
  <c r="N230" i="15"/>
  <c r="N229" i="15"/>
  <c r="Q229" i="15" s="1"/>
  <c r="G219" i="15"/>
  <c r="F219" i="15"/>
  <c r="E219" i="15"/>
  <c r="H218" i="15"/>
  <c r="H217" i="15"/>
  <c r="H216" i="15"/>
  <c r="F206" i="15"/>
  <c r="E206" i="15"/>
  <c r="M205" i="15"/>
  <c r="N204" i="15" s="1"/>
  <c r="G205" i="15"/>
  <c r="J204" i="15" s="1"/>
  <c r="G204" i="15"/>
  <c r="J203" i="15" s="1"/>
  <c r="G203" i="15"/>
  <c r="J202" i="15" s="1"/>
  <c r="G202" i="15"/>
  <c r="J201" i="15" s="1"/>
  <c r="G201" i="15"/>
  <c r="G200" i="15"/>
  <c r="J200" i="15" s="1"/>
  <c r="G199" i="15"/>
  <c r="J199" i="15" s="1"/>
  <c r="G198" i="15"/>
  <c r="J198" i="15" s="1"/>
  <c r="G197" i="15"/>
  <c r="J197" i="15" s="1"/>
  <c r="I187" i="15"/>
  <c r="H187" i="15"/>
  <c r="G187" i="15"/>
  <c r="F187" i="15"/>
  <c r="E187" i="15"/>
  <c r="J186" i="15"/>
  <c r="J185" i="15"/>
  <c r="J184" i="15"/>
  <c r="J183" i="15"/>
  <c r="J182" i="15"/>
  <c r="N173" i="15"/>
  <c r="M173" i="15"/>
  <c r="L173" i="15"/>
  <c r="K173" i="15"/>
  <c r="J173" i="15"/>
  <c r="I173" i="15"/>
  <c r="H173" i="15"/>
  <c r="G173" i="15"/>
  <c r="F173" i="15"/>
  <c r="E173" i="15"/>
  <c r="O172" i="15"/>
  <c r="O171" i="15"/>
  <c r="O170" i="15"/>
  <c r="O169" i="15"/>
  <c r="O168" i="15"/>
  <c r="R155" i="15" s="1"/>
  <c r="O167" i="15"/>
  <c r="O166" i="15"/>
  <c r="O165" i="15"/>
  <c r="O164" i="15"/>
  <c r="O163" i="15"/>
  <c r="O162" i="15"/>
  <c r="O161" i="15"/>
  <c r="O160" i="15"/>
  <c r="O159" i="15"/>
  <c r="O158" i="15"/>
  <c r="U157" i="15"/>
  <c r="V156" i="15" s="1"/>
  <c r="O157" i="15"/>
  <c r="O156" i="15"/>
  <c r="O155" i="15"/>
  <c r="O154" i="15"/>
  <c r="O153" i="15"/>
  <c r="O152" i="15"/>
  <c r="J143" i="15"/>
  <c r="I143" i="15"/>
  <c r="H143" i="15"/>
  <c r="G143" i="15"/>
  <c r="F143" i="15"/>
  <c r="E143" i="15"/>
  <c r="K142" i="15"/>
  <c r="N139" i="15" s="1"/>
  <c r="K141" i="15"/>
  <c r="N138" i="15" s="1"/>
  <c r="K140" i="15"/>
  <c r="K139" i="15"/>
  <c r="N137" i="15" s="1"/>
  <c r="K138" i="15"/>
  <c r="K137" i="15"/>
  <c r="N136" i="15" s="1"/>
  <c r="K136" i="15"/>
  <c r="K135" i="15"/>
  <c r="N135" i="15" s="1"/>
  <c r="F126" i="15"/>
  <c r="E126" i="15"/>
  <c r="G125" i="15"/>
  <c r="J120" i="15" s="1"/>
  <c r="G124" i="15"/>
  <c r="J119" i="15" s="1"/>
  <c r="G123" i="15"/>
  <c r="G122" i="15"/>
  <c r="M121" i="15"/>
  <c r="N119" i="15" s="1"/>
  <c r="G121" i="15"/>
  <c r="G120" i="15"/>
  <c r="G119" i="15"/>
  <c r="G118" i="15"/>
  <c r="J118" i="15" s="1"/>
  <c r="G117" i="15"/>
  <c r="J117" i="15" s="1"/>
  <c r="N108" i="15"/>
  <c r="M108" i="15"/>
  <c r="L108" i="15"/>
  <c r="K108" i="15"/>
  <c r="J108" i="15"/>
  <c r="I108" i="15"/>
  <c r="H108" i="15"/>
  <c r="G108" i="15"/>
  <c r="F108" i="15"/>
  <c r="E108" i="15"/>
  <c r="O107" i="15"/>
  <c r="R96" i="15" s="1"/>
  <c r="U95" i="15" s="1"/>
  <c r="O106" i="15"/>
  <c r="O105" i="15"/>
  <c r="R94" i="15" s="1"/>
  <c r="U93" i="15" s="1"/>
  <c r="O104" i="15"/>
  <c r="O103" i="15"/>
  <c r="O102" i="15"/>
  <c r="O101" i="15"/>
  <c r="O100" i="15"/>
  <c r="R93" i="15" s="1"/>
  <c r="O99" i="15"/>
  <c r="O98" i="15"/>
  <c r="O97" i="15"/>
  <c r="O96" i="15"/>
  <c r="Q95" i="15"/>
  <c r="O95" i="15"/>
  <c r="Q94" i="15"/>
  <c r="O94" i="15"/>
  <c r="O93" i="15"/>
  <c r="O92" i="15"/>
  <c r="N117" i="15"/>
  <c r="O117" i="15" s="1"/>
  <c r="U231" i="15"/>
  <c r="U230" i="15"/>
  <c r="U235" i="15"/>
  <c r="U233" i="15"/>
  <c r="U229" i="15"/>
  <c r="V229" i="15" s="1"/>
  <c r="U232" i="15"/>
  <c r="K324" i="15"/>
  <c r="E15" i="12"/>
  <c r="E22" i="12"/>
  <c r="E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21" i="12"/>
  <c r="H61" i="12"/>
  <c r="H60" i="12"/>
  <c r="H59" i="12"/>
  <c r="H17" i="12"/>
  <c r="H18" i="12"/>
  <c r="H19" i="12"/>
  <c r="H20" i="12"/>
  <c r="H16" i="12"/>
  <c r="H15" i="12"/>
  <c r="H14" i="12"/>
  <c r="E14" i="12"/>
  <c r="C20" i="12"/>
  <c r="D8" i="12"/>
  <c r="F8" i="12"/>
  <c r="F7" i="12"/>
  <c r="E8" i="12"/>
  <c r="E7" i="12"/>
  <c r="D7" i="12"/>
  <c r="C8" i="12"/>
  <c r="F4" i="12"/>
  <c r="E4" i="12"/>
  <c r="D4" i="12"/>
  <c r="D59" i="12"/>
  <c r="C4" i="12"/>
  <c r="D15" i="12"/>
  <c r="D32" i="12"/>
  <c r="D48" i="12"/>
  <c r="D42" i="12"/>
  <c r="D49" i="12"/>
  <c r="J49" i="12" s="1"/>
  <c r="D47" i="12"/>
  <c r="D40" i="12"/>
  <c r="D38" i="12"/>
  <c r="D50" i="12"/>
  <c r="D46" i="12"/>
  <c r="D39" i="12"/>
  <c r="D60" i="12"/>
  <c r="D25" i="12"/>
  <c r="D36" i="12"/>
  <c r="D35" i="12"/>
  <c r="D27" i="12"/>
  <c r="D37" i="12"/>
  <c r="D33" i="12"/>
  <c r="D16" i="12"/>
  <c r="D52" i="12"/>
  <c r="D24" i="12"/>
  <c r="D41" i="12"/>
  <c r="D45" i="12"/>
  <c r="D26" i="12"/>
  <c r="D43" i="12"/>
  <c r="D44" i="12"/>
  <c r="D21" i="12"/>
  <c r="D30" i="12"/>
  <c r="D17" i="12"/>
  <c r="J17" i="12" s="1"/>
  <c r="E69" i="12" s="1"/>
  <c r="D61" i="12"/>
  <c r="D57" i="12"/>
  <c r="D53" i="12"/>
  <c r="D22" i="12"/>
  <c r="D28" i="12"/>
  <c r="D18" i="12"/>
  <c r="D58" i="12"/>
  <c r="D54" i="12"/>
  <c r="D31" i="12"/>
  <c r="D34" i="12"/>
  <c r="D14" i="12"/>
  <c r="D19" i="12"/>
  <c r="D20" i="12"/>
  <c r="D56" i="12"/>
  <c r="D51" i="12"/>
  <c r="D55" i="12"/>
  <c r="D23" i="12"/>
  <c r="D29" i="12"/>
  <c r="C42" i="12"/>
  <c r="C94" i="12" s="1"/>
  <c r="C43" i="12"/>
  <c r="C95" i="12"/>
  <c r="C44" i="12"/>
  <c r="C96" i="12" s="1"/>
  <c r="C45" i="12"/>
  <c r="C97" i="12"/>
  <c r="C41" i="12"/>
  <c r="C93" i="12" s="1"/>
  <c r="C50" i="12"/>
  <c r="C102" i="12"/>
  <c r="C49" i="12"/>
  <c r="C101" i="12" s="1"/>
  <c r="C47" i="12"/>
  <c r="C99" i="12"/>
  <c r="C48" i="12"/>
  <c r="C100" i="12" s="1"/>
  <c r="C46" i="12"/>
  <c r="C98" i="12"/>
  <c r="C51" i="12"/>
  <c r="C103" i="12" s="1"/>
  <c r="C60" i="12"/>
  <c r="C112" i="12"/>
  <c r="C61" i="12"/>
  <c r="C113" i="12" s="1"/>
  <c r="C59" i="12"/>
  <c r="C111" i="12"/>
  <c r="C56" i="12"/>
  <c r="C108" i="12" s="1"/>
  <c r="C57" i="12"/>
  <c r="C109" i="12"/>
  <c r="C58" i="12"/>
  <c r="C110" i="12" s="1"/>
  <c r="C55" i="12"/>
  <c r="C107" i="12"/>
  <c r="C52" i="12"/>
  <c r="C104" i="12" s="1"/>
  <c r="C53" i="12"/>
  <c r="C105" i="12"/>
  <c r="C54" i="12"/>
  <c r="C106" i="12" s="1"/>
  <c r="C39" i="12"/>
  <c r="C91" i="12"/>
  <c r="C40" i="12"/>
  <c r="C92" i="12" s="1"/>
  <c r="C38" i="12"/>
  <c r="C90" i="12"/>
  <c r="C32" i="12"/>
  <c r="C84" i="12" s="1"/>
  <c r="C29" i="12"/>
  <c r="C81" i="12"/>
  <c r="C28" i="12"/>
  <c r="C80" i="12"/>
  <c r="C33" i="12"/>
  <c r="C85" i="12"/>
  <c r="C34" i="12"/>
  <c r="C86" i="12"/>
  <c r="C35" i="12"/>
  <c r="C87" i="12"/>
  <c r="C36" i="12"/>
  <c r="C88" i="12"/>
  <c r="C37" i="12"/>
  <c r="C89" i="12"/>
  <c r="C30" i="12"/>
  <c r="C82" i="12"/>
  <c r="C31" i="12"/>
  <c r="C83" i="12"/>
  <c r="C27" i="12"/>
  <c r="C79" i="12"/>
  <c r="C24" i="12"/>
  <c r="C76" i="12"/>
  <c r="C25" i="12"/>
  <c r="C77" i="12"/>
  <c r="C26" i="12"/>
  <c r="C78" i="12"/>
  <c r="C23" i="12"/>
  <c r="C75" i="12"/>
  <c r="C21" i="12"/>
  <c r="C22" i="12"/>
  <c r="C16" i="12"/>
  <c r="C68" i="12" s="1"/>
  <c r="C17" i="12"/>
  <c r="C18" i="12"/>
  <c r="C70" i="12" s="1"/>
  <c r="C19" i="12"/>
  <c r="C71" i="12"/>
  <c r="C15" i="12"/>
  <c r="C67" i="12"/>
  <c r="C14" i="12"/>
  <c r="C66" i="12"/>
  <c r="H6" i="12"/>
  <c r="H5" i="12"/>
  <c r="E5" i="12"/>
  <c r="O18" i="12"/>
  <c r="O21" i="12"/>
  <c r="C73" i="12"/>
  <c r="G16" i="12"/>
  <c r="E33" i="12"/>
  <c r="F21" i="12"/>
  <c r="F41" i="12"/>
  <c r="E36" i="12"/>
  <c r="F27" i="12"/>
  <c r="F28" i="12"/>
  <c r="G27" i="12"/>
  <c r="F30" i="12"/>
  <c r="G19" i="12"/>
  <c r="E37" i="12"/>
  <c r="F26" i="12"/>
  <c r="O24" i="12"/>
  <c r="O37" i="12"/>
  <c r="O33" i="12"/>
  <c r="O15" i="12"/>
  <c r="O16" i="12"/>
  <c r="O38" i="12"/>
  <c r="O53" i="12"/>
  <c r="O57" i="12"/>
  <c r="O60" i="12"/>
  <c r="O47" i="12"/>
  <c r="O45" i="12"/>
  <c r="O26" i="12"/>
  <c r="O29" i="12"/>
  <c r="O55" i="12"/>
  <c r="O46" i="12"/>
  <c r="O31" i="12"/>
  <c r="O35" i="12"/>
  <c r="O39" i="12"/>
  <c r="O59" i="12"/>
  <c r="O50" i="12"/>
  <c r="O14" i="12"/>
  <c r="O23" i="12"/>
  <c r="O27" i="12"/>
  <c r="O36" i="12"/>
  <c r="O28" i="12"/>
  <c r="O40" i="12"/>
  <c r="O52" i="12"/>
  <c r="O56" i="12"/>
  <c r="O51" i="12"/>
  <c r="O49" i="12"/>
  <c r="O44" i="12"/>
  <c r="O43" i="12"/>
  <c r="O19" i="12"/>
  <c r="O25" i="12"/>
  <c r="O30" i="12"/>
  <c r="O34" i="12"/>
  <c r="O32" i="12"/>
  <c r="O54" i="12"/>
  <c r="O58" i="12"/>
  <c r="O61" i="12"/>
  <c r="O48" i="12"/>
  <c r="O41" i="12"/>
  <c r="O42" i="12"/>
  <c r="F5" i="12"/>
  <c r="D5" i="12"/>
  <c r="F6" i="12"/>
  <c r="E6" i="12"/>
  <c r="F16" i="12"/>
  <c r="D6" i="12"/>
  <c r="F24" i="12"/>
  <c r="F50" i="12"/>
  <c r="F46" i="12"/>
  <c r="F49" i="12"/>
  <c r="F47" i="12"/>
  <c r="F48" i="12"/>
  <c r="F35" i="12"/>
  <c r="F36" i="12"/>
  <c r="F34" i="12"/>
  <c r="F37" i="12"/>
  <c r="J37" i="12" s="1"/>
  <c r="F33" i="12"/>
  <c r="E17" i="12"/>
  <c r="F56" i="12"/>
  <c r="E20" i="12"/>
  <c r="E50" i="12"/>
  <c r="F45" i="12"/>
  <c r="E45" i="12"/>
  <c r="E40" i="12"/>
  <c r="F40" i="12"/>
  <c r="E26" i="12"/>
  <c r="E44" i="12"/>
  <c r="E39" i="12"/>
  <c r="J39" i="12" s="1"/>
  <c r="F51" i="1" s="1"/>
  <c r="E42" i="12"/>
  <c r="E49" i="12"/>
  <c r="E48" i="12"/>
  <c r="F44" i="12"/>
  <c r="F39" i="12"/>
  <c r="E47" i="12"/>
  <c r="F43" i="12"/>
  <c r="E43" i="12"/>
  <c r="E38" i="12"/>
  <c r="E35" i="12"/>
  <c r="E27" i="12"/>
  <c r="E46" i="12"/>
  <c r="J46" i="12" s="1"/>
  <c r="E41" i="12"/>
  <c r="F42" i="12"/>
  <c r="F38" i="12"/>
  <c r="F18" i="12"/>
  <c r="F17" i="12"/>
  <c r="F19" i="12"/>
  <c r="F20" i="12"/>
  <c r="F14" i="12"/>
  <c r="F31" i="12"/>
  <c r="F32" i="12"/>
  <c r="F52" i="12"/>
  <c r="E52" i="12"/>
  <c r="G21" i="12"/>
  <c r="G25" i="12"/>
  <c r="G29" i="12"/>
  <c r="G33" i="12"/>
  <c r="G37" i="12"/>
  <c r="G41" i="12"/>
  <c r="G45" i="12"/>
  <c r="G49" i="12"/>
  <c r="G53" i="12"/>
  <c r="G58" i="12"/>
  <c r="G60" i="12"/>
  <c r="E61" i="12"/>
  <c r="F51" i="12"/>
  <c r="G32" i="12"/>
  <c r="G40" i="12"/>
  <c r="G52" i="12"/>
  <c r="G61" i="12"/>
  <c r="F53" i="12"/>
  <c r="E53" i="12"/>
  <c r="G56" i="12"/>
  <c r="G22" i="12"/>
  <c r="G26" i="12"/>
  <c r="G30" i="12"/>
  <c r="G34" i="12"/>
  <c r="G38" i="12"/>
  <c r="G42" i="12"/>
  <c r="G46" i="12"/>
  <c r="G50" i="12"/>
  <c r="G54" i="12"/>
  <c r="G59" i="12"/>
  <c r="E60" i="12"/>
  <c r="G18" i="12"/>
  <c r="G15" i="12"/>
  <c r="G24" i="12"/>
  <c r="G48" i="12"/>
  <c r="E59" i="12"/>
  <c r="F22" i="12"/>
  <c r="J22" i="12" s="1"/>
  <c r="E74" i="12" s="1"/>
  <c r="F54" i="12"/>
  <c r="E54" i="12"/>
  <c r="G23" i="12"/>
  <c r="G31" i="12"/>
  <c r="G35" i="12"/>
  <c r="G39" i="12"/>
  <c r="G43" i="12"/>
  <c r="G47" i="12"/>
  <c r="G51" i="12"/>
  <c r="G55" i="12"/>
  <c r="G20" i="12"/>
  <c r="G17" i="12"/>
  <c r="G14" i="12"/>
  <c r="E51" i="12"/>
  <c r="G28" i="12"/>
  <c r="G36" i="12"/>
  <c r="G44" i="12"/>
  <c r="G57" i="12"/>
  <c r="F25" i="12"/>
  <c r="F15" i="12"/>
  <c r="F23" i="12"/>
  <c r="F61" i="12"/>
  <c r="F29" i="12"/>
  <c r="F59" i="12"/>
  <c r="F60" i="12"/>
  <c r="E32" i="12"/>
  <c r="J32" i="12" s="1"/>
  <c r="E34" i="12"/>
  <c r="J34" i="12" s="1"/>
  <c r="E86" i="12" s="1"/>
  <c r="E31" i="12"/>
  <c r="J31" i="12" s="1"/>
  <c r="E25" i="12"/>
  <c r="E30" i="12"/>
  <c r="F55" i="12"/>
  <c r="E29" i="12"/>
  <c r="F58" i="12"/>
  <c r="E56" i="12"/>
  <c r="E16" i="12"/>
  <c r="J16" i="12" s="1"/>
  <c r="L16" i="12" s="1"/>
  <c r="D68" i="12" s="1"/>
  <c r="E28" i="12"/>
  <c r="E55" i="12"/>
  <c r="E57" i="12"/>
  <c r="E18" i="12"/>
  <c r="E24" i="12"/>
  <c r="F57" i="12"/>
  <c r="E58" i="12"/>
  <c r="E19" i="12"/>
  <c r="J19" i="12" s="1"/>
  <c r="E23" i="12"/>
  <c r="J61" i="12"/>
  <c r="J21" i="12"/>
  <c r="C72" i="12" l="1"/>
  <c r="O20" i="12"/>
  <c r="C69" i="12"/>
  <c r="O17" i="12"/>
  <c r="C74" i="12"/>
  <c r="O22" i="12"/>
  <c r="R55" i="1"/>
  <c r="C25" i="20" s="1"/>
  <c r="R54" i="1"/>
  <c r="C26" i="20" s="1"/>
  <c r="R53" i="1"/>
  <c r="C24" i="20" s="1"/>
  <c r="M48" i="20"/>
  <c r="M56" i="20"/>
  <c r="N56" i="20" s="1"/>
  <c r="M57" i="20"/>
  <c r="N57" i="20" s="1"/>
  <c r="M49" i="20"/>
  <c r="N49" i="20" s="1"/>
  <c r="M52" i="20"/>
  <c r="N52" i="20" s="1"/>
  <c r="M53" i="20"/>
  <c r="N53" i="20" s="1"/>
  <c r="M51" i="20"/>
  <c r="N51" i="20" s="1"/>
  <c r="M54" i="20"/>
  <c r="N54" i="20" s="1"/>
  <c r="M50" i="20"/>
  <c r="N50" i="20" s="1"/>
  <c r="M55" i="20"/>
  <c r="N55" i="20" s="1"/>
  <c r="C23" i="34"/>
  <c r="T13" i="34"/>
  <c r="X13" i="34" s="1"/>
  <c r="W11" i="34"/>
  <c r="T10" i="34"/>
  <c r="W7" i="34"/>
  <c r="W8" i="34"/>
  <c r="Q23" i="34"/>
  <c r="Q36" i="34" s="1"/>
  <c r="I23" i="34"/>
  <c r="I36" i="34" s="1"/>
  <c r="W3" i="34"/>
  <c r="D19" i="34"/>
  <c r="W4" i="34"/>
  <c r="O23" i="34"/>
  <c r="O36" i="34" s="1"/>
  <c r="G23" i="34"/>
  <c r="W5" i="34"/>
  <c r="W6" i="34"/>
  <c r="M23" i="34"/>
  <c r="M36" i="34" s="1"/>
  <c r="E23" i="34"/>
  <c r="E7" i="37"/>
  <c r="J7" i="37" s="1"/>
  <c r="AB3" i="34"/>
  <c r="T23" i="34" s="1"/>
  <c r="W351" i="15"/>
  <c r="Z349" i="15" s="1"/>
  <c r="AC350" i="15" s="1"/>
  <c r="W363" i="15"/>
  <c r="N202" i="15"/>
  <c r="W354" i="15"/>
  <c r="Z354" i="15" s="1"/>
  <c r="AC352" i="15" s="1"/>
  <c r="W347" i="15"/>
  <c r="Z346" i="15" s="1"/>
  <c r="AC346" i="15" s="1"/>
  <c r="N274" i="15"/>
  <c r="N201" i="15"/>
  <c r="W334" i="15"/>
  <c r="Z333" i="15" s="1"/>
  <c r="J39" i="15" s="1"/>
  <c r="W349" i="15"/>
  <c r="Z352" i="15" s="1"/>
  <c r="W339" i="15"/>
  <c r="Z338" i="15" s="1"/>
  <c r="J44" i="15" s="1"/>
  <c r="W338" i="15"/>
  <c r="Z337" i="15" s="1"/>
  <c r="J43" i="15" s="1"/>
  <c r="C11" i="15" s="1"/>
  <c r="W353" i="15"/>
  <c r="Z351" i="15" s="1"/>
  <c r="W348" i="15"/>
  <c r="Z347" i="15" s="1"/>
  <c r="AC347" i="15" s="1"/>
  <c r="W364" i="15"/>
  <c r="Z364" i="15" s="1"/>
  <c r="W350" i="15"/>
  <c r="Z348" i="15" s="1"/>
  <c r="W365" i="15"/>
  <c r="Z365" i="15" s="1"/>
  <c r="R136" i="15"/>
  <c r="R139" i="15"/>
  <c r="G390" i="15"/>
  <c r="H390" i="15" s="1"/>
  <c r="I390" i="15" s="1"/>
  <c r="J57" i="15" s="1"/>
  <c r="N10" i="15" s="1"/>
  <c r="F74" i="15"/>
  <c r="W352" i="15"/>
  <c r="Z353" i="15" s="1"/>
  <c r="AC351" i="15" s="1"/>
  <c r="F71" i="15"/>
  <c r="N275" i="15"/>
  <c r="Q324" i="15"/>
  <c r="J276" i="15"/>
  <c r="N272" i="15"/>
  <c r="D113" i="20"/>
  <c r="N273" i="15"/>
  <c r="N276" i="15"/>
  <c r="J324" i="15"/>
  <c r="Z335" i="15"/>
  <c r="Z336" i="15"/>
  <c r="J42" i="15" s="1"/>
  <c r="E11" i="15" s="1"/>
  <c r="Z350" i="15"/>
  <c r="AC349" i="15" s="1"/>
  <c r="Z362" i="15"/>
  <c r="Z334" i="15"/>
  <c r="E379" i="15"/>
  <c r="H379" i="15" s="1"/>
  <c r="I379" i="15" s="1"/>
  <c r="R154" i="15"/>
  <c r="G206" i="15"/>
  <c r="H202" i="15" s="1"/>
  <c r="AV285" i="15"/>
  <c r="N120" i="15"/>
  <c r="G126" i="15"/>
  <c r="H119" i="15" s="1"/>
  <c r="E386" i="15"/>
  <c r="C71" i="15"/>
  <c r="N118" i="15"/>
  <c r="R153" i="15"/>
  <c r="E372" i="15"/>
  <c r="C68" i="15"/>
  <c r="N254" i="15"/>
  <c r="E383" i="15"/>
  <c r="E387" i="15"/>
  <c r="G374" i="15"/>
  <c r="AZ293" i="15"/>
  <c r="AS320" i="15"/>
  <c r="AV292" i="15" s="1"/>
  <c r="R135" i="15"/>
  <c r="S135" i="15" s="1"/>
  <c r="S136" i="15" s="1"/>
  <c r="R137" i="15"/>
  <c r="G388" i="15"/>
  <c r="H382" i="15" s="1"/>
  <c r="I382" i="15" s="1"/>
  <c r="E377" i="15"/>
  <c r="H377" i="15" s="1"/>
  <c r="I377" i="15" s="1"/>
  <c r="E384" i="15"/>
  <c r="N271" i="15"/>
  <c r="AZ286" i="15"/>
  <c r="E378" i="15"/>
  <c r="H378" i="15" s="1"/>
  <c r="I378" i="15" s="1"/>
  <c r="J54" i="15" s="1"/>
  <c r="E385" i="15"/>
  <c r="C69" i="15"/>
  <c r="C70" i="15"/>
  <c r="J59" i="15"/>
  <c r="R10" i="15"/>
  <c r="I81" i="15"/>
  <c r="D181" i="20"/>
  <c r="H376" i="15"/>
  <c r="I376" i="15" s="1"/>
  <c r="J15" i="15"/>
  <c r="J16" i="15"/>
  <c r="D178" i="20"/>
  <c r="I79" i="15"/>
  <c r="N255" i="15"/>
  <c r="K263" i="15"/>
  <c r="L259" i="15" s="1"/>
  <c r="G280" i="15"/>
  <c r="K53" i="15" s="1"/>
  <c r="L53" i="15" s="1"/>
  <c r="I362" i="15"/>
  <c r="J347" i="15" s="1"/>
  <c r="C41" i="37"/>
  <c r="G41" i="37"/>
  <c r="E41" i="37"/>
  <c r="K41" i="37"/>
  <c r="M41" i="37"/>
  <c r="F42" i="1"/>
  <c r="E101" i="12"/>
  <c r="J54" i="12"/>
  <c r="N42" i="37"/>
  <c r="J42" i="37"/>
  <c r="Q42" i="37"/>
  <c r="M42" i="37"/>
  <c r="P42" i="37"/>
  <c r="L42" i="37"/>
  <c r="O42" i="37"/>
  <c r="O43" i="37" s="1"/>
  <c r="K42" i="37"/>
  <c r="F41" i="37"/>
  <c r="N41" i="37"/>
  <c r="D41" i="37"/>
  <c r="P41" i="37"/>
  <c r="L41" i="37"/>
  <c r="J41" i="37"/>
  <c r="H41" i="37"/>
  <c r="H43" i="37" s="1"/>
  <c r="I41" i="37"/>
  <c r="Q41" i="37"/>
  <c r="Q43" i="37" s="1"/>
  <c r="B41" i="37"/>
  <c r="T8" i="34"/>
  <c r="Y8" i="34" s="1"/>
  <c r="S14" i="34"/>
  <c r="U8" i="34" s="1"/>
  <c r="J20" i="34"/>
  <c r="J33" i="34" s="1"/>
  <c r="O25" i="34"/>
  <c r="N25" i="34"/>
  <c r="L22" i="34"/>
  <c r="L35" i="34" s="1"/>
  <c r="F20" i="34"/>
  <c r="F33" i="34" s="1"/>
  <c r="C22" i="34"/>
  <c r="C35" i="34" s="1"/>
  <c r="H22" i="34"/>
  <c r="H35" i="34" s="1"/>
  <c r="G21" i="34"/>
  <c r="G34" i="34" s="1"/>
  <c r="K25" i="34"/>
  <c r="K38" i="34" s="1"/>
  <c r="D22" i="34"/>
  <c r="R20" i="34"/>
  <c r="R33" i="34" s="1"/>
  <c r="K21" i="34"/>
  <c r="K34" i="34" s="1"/>
  <c r="R25" i="34"/>
  <c r="G25" i="34"/>
  <c r="G38" i="34" s="1"/>
  <c r="P22" i="34"/>
  <c r="P35" i="34" s="1"/>
  <c r="O21" i="34"/>
  <c r="O34" i="34" s="1"/>
  <c r="N20" i="34"/>
  <c r="N33" i="34" s="1"/>
  <c r="C27" i="34"/>
  <c r="C26" i="34"/>
  <c r="Q19" i="34"/>
  <c r="Q32" i="34" s="1"/>
  <c r="M19" i="34"/>
  <c r="M32" i="34" s="1"/>
  <c r="I19" i="34"/>
  <c r="I32" i="34" s="1"/>
  <c r="E19" i="34"/>
  <c r="O29" i="34"/>
  <c r="O42" i="34" s="1"/>
  <c r="K29" i="34"/>
  <c r="K42" i="34" s="1"/>
  <c r="G29" i="34"/>
  <c r="G42" i="34" s="1"/>
  <c r="R28" i="34"/>
  <c r="R41" i="34" s="1"/>
  <c r="N28" i="34"/>
  <c r="N41" i="34" s="1"/>
  <c r="J28" i="34"/>
  <c r="J41" i="34" s="1"/>
  <c r="F28" i="34"/>
  <c r="F41" i="34" s="1"/>
  <c r="Q27" i="34"/>
  <c r="Q40" i="34" s="1"/>
  <c r="M27" i="34"/>
  <c r="M40" i="34" s="1"/>
  <c r="I27" i="34"/>
  <c r="E27" i="34"/>
  <c r="E40" i="34" s="1"/>
  <c r="P26" i="34"/>
  <c r="L26" i="34"/>
  <c r="L39" i="34" s="1"/>
  <c r="H26" i="34"/>
  <c r="D26" i="34"/>
  <c r="R24" i="34"/>
  <c r="R37" i="34" s="1"/>
  <c r="N24" i="34"/>
  <c r="N37" i="34" s="1"/>
  <c r="J24" i="34"/>
  <c r="J37" i="34" s="1"/>
  <c r="F24" i="34"/>
  <c r="F37" i="34" s="1"/>
  <c r="T22" i="34"/>
  <c r="C19" i="34"/>
  <c r="C28" i="34"/>
  <c r="P19" i="34"/>
  <c r="P32" i="34" s="1"/>
  <c r="L19" i="34"/>
  <c r="L32" i="34" s="1"/>
  <c r="H19" i="34"/>
  <c r="R29" i="34"/>
  <c r="R42" i="34" s="1"/>
  <c r="N29" i="34"/>
  <c r="N42" i="34" s="1"/>
  <c r="J29" i="34"/>
  <c r="J42" i="34" s="1"/>
  <c r="F29" i="34"/>
  <c r="Q28" i="34"/>
  <c r="Q41" i="34" s="1"/>
  <c r="M28" i="34"/>
  <c r="M41" i="34" s="1"/>
  <c r="I28" i="34"/>
  <c r="I41" i="34" s="1"/>
  <c r="E28" i="34"/>
  <c r="P27" i="34"/>
  <c r="P40" i="34" s="1"/>
  <c r="L27" i="34"/>
  <c r="L40" i="34" s="1"/>
  <c r="H27" i="34"/>
  <c r="H40" i="34" s="1"/>
  <c r="D27" i="34"/>
  <c r="O26" i="34"/>
  <c r="O39" i="34" s="1"/>
  <c r="K26" i="34"/>
  <c r="G26" i="34"/>
  <c r="G39" i="34" s="1"/>
  <c r="J25" i="34"/>
  <c r="J38" i="34" s="1"/>
  <c r="F25" i="34"/>
  <c r="Q24" i="34"/>
  <c r="Q37" i="34" s="1"/>
  <c r="M24" i="34"/>
  <c r="I24" i="34"/>
  <c r="I37" i="34" s="1"/>
  <c r="E24" i="34"/>
  <c r="O22" i="34"/>
  <c r="O35" i="34" s="1"/>
  <c r="K22" i="34"/>
  <c r="K35" i="34" s="1"/>
  <c r="G22" i="34"/>
  <c r="G35" i="34" s="1"/>
  <c r="R21" i="34"/>
  <c r="R34" i="34" s="1"/>
  <c r="N21" i="34"/>
  <c r="N34" i="34" s="1"/>
  <c r="J21" i="34"/>
  <c r="J34" i="34" s="1"/>
  <c r="F21" i="34"/>
  <c r="F34" i="34" s="1"/>
  <c r="Q20" i="34"/>
  <c r="Q33" i="34" s="1"/>
  <c r="M20" i="34"/>
  <c r="M33" i="34" s="1"/>
  <c r="I20" i="34"/>
  <c r="I33" i="34" s="1"/>
  <c r="E20" i="34"/>
  <c r="E33" i="34" s="1"/>
  <c r="C20" i="34"/>
  <c r="C24" i="34"/>
  <c r="C29" i="34"/>
  <c r="O19" i="34"/>
  <c r="O32" i="34" s="1"/>
  <c r="K19" i="34"/>
  <c r="G19" i="34"/>
  <c r="G32" i="34" s="1"/>
  <c r="Q29" i="34"/>
  <c r="Q42" i="34" s="1"/>
  <c r="M29" i="34"/>
  <c r="M42" i="34" s="1"/>
  <c r="I29" i="34"/>
  <c r="I42" i="34" s="1"/>
  <c r="E29" i="34"/>
  <c r="P28" i="34"/>
  <c r="P41" i="34" s="1"/>
  <c r="L28" i="34"/>
  <c r="L41" i="34" s="1"/>
  <c r="H28" i="34"/>
  <c r="D28" i="34"/>
  <c r="O27" i="34"/>
  <c r="O40" i="34" s="1"/>
  <c r="K27" i="34"/>
  <c r="K40" i="34" s="1"/>
  <c r="G27" i="34"/>
  <c r="G40" i="34" s="1"/>
  <c r="R26" i="34"/>
  <c r="R39" i="34" s="1"/>
  <c r="N26" i="34"/>
  <c r="N39" i="34" s="1"/>
  <c r="J26" i="34"/>
  <c r="J39" i="34" s="1"/>
  <c r="F26" i="34"/>
  <c r="Q25" i="34"/>
  <c r="M25" i="34"/>
  <c r="M38" i="34" s="1"/>
  <c r="I25" i="34"/>
  <c r="I38" i="34" s="1"/>
  <c r="E25" i="34"/>
  <c r="P24" i="34"/>
  <c r="P37" i="34" s="1"/>
  <c r="L24" i="34"/>
  <c r="L37" i="34" s="1"/>
  <c r="H24" i="34"/>
  <c r="H37" i="34" s="1"/>
  <c r="D24" i="34"/>
  <c r="D37" i="34" s="1"/>
  <c r="R22" i="34"/>
  <c r="R35" i="34" s="1"/>
  <c r="N22" i="34"/>
  <c r="N35" i="34" s="1"/>
  <c r="J22" i="34"/>
  <c r="J35" i="34" s="1"/>
  <c r="F22" i="34"/>
  <c r="Q21" i="34"/>
  <c r="Q34" i="34" s="1"/>
  <c r="M21" i="34"/>
  <c r="M34" i="34" s="1"/>
  <c r="I21" i="34"/>
  <c r="I34" i="34" s="1"/>
  <c r="E21" i="34"/>
  <c r="E34" i="34" s="1"/>
  <c r="P20" i="34"/>
  <c r="P33" i="34" s="1"/>
  <c r="L20" i="34"/>
  <c r="H20" i="34"/>
  <c r="H33" i="34" s="1"/>
  <c r="D20" i="34"/>
  <c r="T25" i="34"/>
  <c r="N38" i="34" s="1"/>
  <c r="C21" i="34"/>
  <c r="C25" i="34"/>
  <c r="R19" i="34"/>
  <c r="R32" i="34" s="1"/>
  <c r="N19" i="34"/>
  <c r="N32" i="34" s="1"/>
  <c r="J19" i="34"/>
  <c r="F19" i="34"/>
  <c r="P29" i="34"/>
  <c r="P42" i="34" s="1"/>
  <c r="L29" i="34"/>
  <c r="L42" i="34" s="1"/>
  <c r="H29" i="34"/>
  <c r="H42" i="34" s="1"/>
  <c r="D29" i="34"/>
  <c r="O28" i="34"/>
  <c r="O41" i="34" s="1"/>
  <c r="K28" i="34"/>
  <c r="K41" i="34" s="1"/>
  <c r="G28" i="34"/>
  <c r="G41" i="34" s="1"/>
  <c r="R27" i="34"/>
  <c r="R40" i="34" s="1"/>
  <c r="N27" i="34"/>
  <c r="N40" i="34" s="1"/>
  <c r="J27" i="34"/>
  <c r="J40" i="34" s="1"/>
  <c r="F27" i="34"/>
  <c r="F40" i="34" s="1"/>
  <c r="Q26" i="34"/>
  <c r="Q39" i="34" s="1"/>
  <c r="M26" i="34"/>
  <c r="M39" i="34" s="1"/>
  <c r="I26" i="34"/>
  <c r="I39" i="34" s="1"/>
  <c r="E26" i="34"/>
  <c r="P25" i="34"/>
  <c r="P38" i="34" s="1"/>
  <c r="L25" i="34"/>
  <c r="L38" i="34" s="1"/>
  <c r="H25" i="34"/>
  <c r="D25" i="34"/>
  <c r="D38" i="34" s="1"/>
  <c r="O24" i="34"/>
  <c r="O37" i="34" s="1"/>
  <c r="K24" i="34"/>
  <c r="K37" i="34" s="1"/>
  <c r="G24" i="34"/>
  <c r="G37" i="34" s="1"/>
  <c r="Q22" i="34"/>
  <c r="Q35" i="34" s="1"/>
  <c r="M22" i="34"/>
  <c r="M35" i="34" s="1"/>
  <c r="I22" i="34"/>
  <c r="I35" i="34" s="1"/>
  <c r="E22" i="34"/>
  <c r="P21" i="34"/>
  <c r="P34" i="34" s="1"/>
  <c r="L21" i="34"/>
  <c r="L34" i="34" s="1"/>
  <c r="H21" i="34"/>
  <c r="H34" i="34" s="1"/>
  <c r="D21" i="34"/>
  <c r="O20" i="34"/>
  <c r="O33" i="34" s="1"/>
  <c r="K20" i="34"/>
  <c r="G20" i="34"/>
  <c r="G33" i="34" s="1"/>
  <c r="D23" i="34"/>
  <c r="J48" i="12"/>
  <c r="J33" i="12"/>
  <c r="F45" i="1" s="1"/>
  <c r="S37" i="1" s="1"/>
  <c r="T37" i="1" s="1"/>
  <c r="J58" i="12"/>
  <c r="J30" i="12"/>
  <c r="J26" i="12"/>
  <c r="L26" i="12" s="1"/>
  <c r="D78" i="12" s="1"/>
  <c r="J52" i="12"/>
  <c r="F24" i="1" s="1"/>
  <c r="J28" i="12"/>
  <c r="J25" i="12"/>
  <c r="E77" i="12" s="1"/>
  <c r="J57" i="12"/>
  <c r="C75" i="15"/>
  <c r="D121" i="20"/>
  <c r="D137" i="20" s="1"/>
  <c r="F137" i="20" s="1"/>
  <c r="E41" i="15"/>
  <c r="F41" i="15" s="1"/>
  <c r="H203" i="15"/>
  <c r="I74" i="15"/>
  <c r="H197" i="15"/>
  <c r="Q235" i="15"/>
  <c r="F73" i="15"/>
  <c r="O108" i="15"/>
  <c r="P93" i="15" s="1"/>
  <c r="J346" i="15"/>
  <c r="J350" i="15"/>
  <c r="J358" i="15"/>
  <c r="J333" i="15"/>
  <c r="J337" i="15"/>
  <c r="J349" i="15"/>
  <c r="J357" i="15"/>
  <c r="J335" i="15"/>
  <c r="J343" i="15"/>
  <c r="J351" i="15"/>
  <c r="J355" i="15"/>
  <c r="J336" i="15"/>
  <c r="J340" i="15"/>
  <c r="J344" i="15"/>
  <c r="J352" i="15"/>
  <c r="J356" i="15"/>
  <c r="J360" i="15"/>
  <c r="J353" i="15"/>
  <c r="J361" i="15"/>
  <c r="P362" i="15"/>
  <c r="Q346" i="15" s="1"/>
  <c r="H199" i="15"/>
  <c r="H200" i="15"/>
  <c r="K38" i="15"/>
  <c r="L38" i="15" s="1"/>
  <c r="AZ289" i="15"/>
  <c r="AZ290" i="15"/>
  <c r="N199" i="15"/>
  <c r="V230" i="15"/>
  <c r="V231" i="15" s="1"/>
  <c r="V232" i="15" s="1"/>
  <c r="V233" i="15" s="1"/>
  <c r="V234" i="15" s="1"/>
  <c r="V235" i="15" s="1"/>
  <c r="V155" i="15"/>
  <c r="O118" i="15"/>
  <c r="O119" i="15" s="1"/>
  <c r="O120" i="15" s="1"/>
  <c r="AZ285" i="15"/>
  <c r="BA285" i="15" s="1"/>
  <c r="H201" i="15"/>
  <c r="H204" i="15"/>
  <c r="AZ291" i="15"/>
  <c r="AZ292" i="15"/>
  <c r="N203" i="15"/>
  <c r="V153" i="15"/>
  <c r="V152" i="15"/>
  <c r="W152" i="15" s="1"/>
  <c r="N200" i="15"/>
  <c r="H122" i="15"/>
  <c r="N244" i="15"/>
  <c r="O241" i="15" s="1"/>
  <c r="L254" i="15"/>
  <c r="H205" i="15"/>
  <c r="AZ288" i="15"/>
  <c r="AZ287" i="15"/>
  <c r="N198" i="15"/>
  <c r="V154" i="15"/>
  <c r="H198" i="15"/>
  <c r="N197" i="15"/>
  <c r="O197" i="15" s="1"/>
  <c r="K143" i="15"/>
  <c r="L140" i="15" s="1"/>
  <c r="O173" i="15"/>
  <c r="P154" i="15" s="1"/>
  <c r="J187" i="15"/>
  <c r="H219" i="15"/>
  <c r="P101" i="15"/>
  <c r="H270" i="15"/>
  <c r="H273" i="15"/>
  <c r="L16" i="15"/>
  <c r="E47" i="15"/>
  <c r="F47" i="15" s="1"/>
  <c r="L261" i="15"/>
  <c r="L257" i="15"/>
  <c r="L258" i="15"/>
  <c r="L260" i="15"/>
  <c r="R257" i="15"/>
  <c r="R255" i="15"/>
  <c r="S255" i="15" s="1"/>
  <c r="R256" i="15"/>
  <c r="L262" i="15"/>
  <c r="J270" i="15"/>
  <c r="H271" i="15"/>
  <c r="C16" i="15"/>
  <c r="O271" i="15"/>
  <c r="O272" i="15" s="1"/>
  <c r="O273" i="15" s="1"/>
  <c r="O274" i="15" s="1"/>
  <c r="S9" i="15"/>
  <c r="S12" i="15"/>
  <c r="E13" i="15"/>
  <c r="L15" i="15"/>
  <c r="R92" i="15"/>
  <c r="P92" i="15"/>
  <c r="R95" i="15"/>
  <c r="U94" i="15" s="1"/>
  <c r="S5" i="15"/>
  <c r="P104" i="15"/>
  <c r="H275" i="15"/>
  <c r="R152" i="15"/>
  <c r="Q230" i="15"/>
  <c r="N256" i="15"/>
  <c r="N77" i="15"/>
  <c r="N72" i="15"/>
  <c r="S6" i="15"/>
  <c r="I16" i="15"/>
  <c r="L142" i="15"/>
  <c r="R156" i="15"/>
  <c r="P171" i="15"/>
  <c r="P155" i="15"/>
  <c r="P165" i="15"/>
  <c r="P167" i="15"/>
  <c r="AV291" i="15"/>
  <c r="C76" i="15"/>
  <c r="F76" i="15"/>
  <c r="M15" i="15"/>
  <c r="M16" i="15"/>
  <c r="E14" i="15"/>
  <c r="C73" i="15"/>
  <c r="Q236" i="15"/>
  <c r="AV286" i="15"/>
  <c r="K16" i="15"/>
  <c r="J205" i="15"/>
  <c r="F70" i="15"/>
  <c r="S7" i="15"/>
  <c r="L46" i="12"/>
  <c r="D98" i="12" s="1"/>
  <c r="F39" i="1"/>
  <c r="S53" i="1" s="1"/>
  <c r="T53" i="1" s="1"/>
  <c r="E98" i="12"/>
  <c r="L33" i="12"/>
  <c r="D85" i="12" s="1"/>
  <c r="L58" i="12"/>
  <c r="D110" i="12" s="1"/>
  <c r="F22" i="1"/>
  <c r="E110" i="12"/>
  <c r="F37" i="1"/>
  <c r="S34" i="1" s="1"/>
  <c r="T34" i="1" s="1"/>
  <c r="E82" i="12"/>
  <c r="E104" i="12"/>
  <c r="E71" i="12"/>
  <c r="L19" i="12"/>
  <c r="D71" i="12" s="1"/>
  <c r="F15" i="1"/>
  <c r="S17" i="1" s="1"/>
  <c r="F49" i="1"/>
  <c r="E89" i="12"/>
  <c r="L37" i="12"/>
  <c r="D89" i="12" s="1"/>
  <c r="S58" i="1"/>
  <c r="T58" i="1" s="1"/>
  <c r="S59" i="1"/>
  <c r="T59" i="1" s="1"/>
  <c r="E109" i="12"/>
  <c r="F21" i="1"/>
  <c r="L57" i="12"/>
  <c r="D109" i="12" s="1"/>
  <c r="J14" i="12"/>
  <c r="E66" i="12" s="1"/>
  <c r="L17" i="12"/>
  <c r="D69" i="12" s="1"/>
  <c r="J55" i="12"/>
  <c r="L55" i="12" s="1"/>
  <c r="D107" i="12" s="1"/>
  <c r="J59" i="12"/>
  <c r="L59" i="12" s="1"/>
  <c r="D111" i="12" s="1"/>
  <c r="J41" i="12"/>
  <c r="J51" i="12"/>
  <c r="L49" i="12"/>
  <c r="D101" i="12" s="1"/>
  <c r="F13" i="1"/>
  <c r="S13" i="1" s="1"/>
  <c r="J23" i="12"/>
  <c r="L23" i="12" s="1"/>
  <c r="D75" i="12" s="1"/>
  <c r="J24" i="12"/>
  <c r="J42" i="12"/>
  <c r="J53" i="12"/>
  <c r="J60" i="12"/>
  <c r="E112" i="12" s="1"/>
  <c r="J20" i="12"/>
  <c r="J38" i="12"/>
  <c r="J27" i="12"/>
  <c r="E79" i="12" s="1"/>
  <c r="J43" i="12"/>
  <c r="L43" i="12" s="1"/>
  <c r="D95" i="12" s="1"/>
  <c r="J47" i="12"/>
  <c r="J36" i="12"/>
  <c r="J45" i="12"/>
  <c r="E97" i="12" s="1"/>
  <c r="J35" i="12"/>
  <c r="J15" i="12"/>
  <c r="L15" i="12" s="1"/>
  <c r="D67" i="12" s="1"/>
  <c r="J50" i="12"/>
  <c r="L50" i="12" s="1"/>
  <c r="D102" i="12" s="1"/>
  <c r="S362" i="15"/>
  <c r="T351" i="15" s="1"/>
  <c r="I82" i="15"/>
  <c r="P11" i="15"/>
  <c r="P15" i="15" s="1"/>
  <c r="N70" i="15"/>
  <c r="N82" i="15"/>
  <c r="N71" i="15"/>
  <c r="N67" i="15"/>
  <c r="N74" i="15"/>
  <c r="N81" i="15"/>
  <c r="N80" i="15"/>
  <c r="N68" i="15"/>
  <c r="N75" i="15"/>
  <c r="N79" i="15"/>
  <c r="N76" i="15"/>
  <c r="N78" i="15"/>
  <c r="N69" i="15"/>
  <c r="N73" i="15"/>
  <c r="J29" i="15"/>
  <c r="U92" i="15"/>
  <c r="F16" i="15"/>
  <c r="J277" i="15"/>
  <c r="H16" i="15"/>
  <c r="I76" i="15"/>
  <c r="C67" i="15"/>
  <c r="F67" i="15"/>
  <c r="M137" i="20"/>
  <c r="N26" i="20" s="1"/>
  <c r="R23" i="34"/>
  <c r="R36" i="34" s="1"/>
  <c r="N23" i="34"/>
  <c r="N36" i="34" s="1"/>
  <c r="J23" i="34"/>
  <c r="J36" i="34" s="1"/>
  <c r="F23" i="34"/>
  <c r="F36" i="34" s="1"/>
  <c r="C36" i="34"/>
  <c r="P23" i="34"/>
  <c r="P36" i="34" s="1"/>
  <c r="L23" i="34"/>
  <c r="L36" i="34" s="1"/>
  <c r="H23" i="34"/>
  <c r="H36" i="34" s="1"/>
  <c r="D36" i="34"/>
  <c r="F29" i="1"/>
  <c r="E113" i="12"/>
  <c r="L61" i="12"/>
  <c r="D113" i="12" s="1"/>
  <c r="F10" i="1"/>
  <c r="L53" i="12"/>
  <c r="D105" i="12" s="1"/>
  <c r="F25" i="1"/>
  <c r="E105" i="12"/>
  <c r="F28" i="1"/>
  <c r="S76" i="1" s="1"/>
  <c r="T76" i="1" s="1"/>
  <c r="F17" i="1"/>
  <c r="E73" i="12"/>
  <c r="L21" i="12"/>
  <c r="D73" i="12" s="1"/>
  <c r="F38" i="1"/>
  <c r="S31" i="1" s="1"/>
  <c r="E83" i="12"/>
  <c r="L31" i="12"/>
  <c r="D83" i="12" s="1"/>
  <c r="F44" i="1"/>
  <c r="S36" i="1" s="1"/>
  <c r="T36" i="1" s="1"/>
  <c r="E84" i="12"/>
  <c r="F27" i="1"/>
  <c r="S75" i="1" s="1"/>
  <c r="T75" i="1" s="1"/>
  <c r="E111" i="12"/>
  <c r="L32" i="12"/>
  <c r="D84" i="12" s="1"/>
  <c r="F26" i="1"/>
  <c r="L54" i="12"/>
  <c r="D106" i="12" s="1"/>
  <c r="E106" i="12"/>
  <c r="F32" i="1"/>
  <c r="S27" i="1" s="1"/>
  <c r="T27" i="1" s="1"/>
  <c r="L25" i="12"/>
  <c r="D77" i="12" s="1"/>
  <c r="E76" i="12"/>
  <c r="F31" i="1"/>
  <c r="S26" i="1" s="1"/>
  <c r="T26" i="1" s="1"/>
  <c r="L24" i="12"/>
  <c r="D76" i="12" s="1"/>
  <c r="F35" i="1"/>
  <c r="S33" i="1" s="1"/>
  <c r="T33" i="1" s="1"/>
  <c r="L28" i="12"/>
  <c r="D80" i="12" s="1"/>
  <c r="E80" i="12"/>
  <c r="E102" i="12"/>
  <c r="F41" i="1"/>
  <c r="L48" i="12"/>
  <c r="D100" i="12" s="1"/>
  <c r="L30" i="12"/>
  <c r="D82" i="12" s="1"/>
  <c r="E107" i="12"/>
  <c r="E91" i="12"/>
  <c r="L39" i="12"/>
  <c r="D91" i="12" s="1"/>
  <c r="F18" i="1"/>
  <c r="L22" i="12"/>
  <c r="D74" i="12" s="1"/>
  <c r="F46" i="1"/>
  <c r="S38" i="1" s="1"/>
  <c r="T38" i="1" s="1"/>
  <c r="L34" i="12"/>
  <c r="D86" i="12" s="1"/>
  <c r="E100" i="12"/>
  <c r="F12" i="1"/>
  <c r="S12" i="1" s="1"/>
  <c r="E68" i="12"/>
  <c r="F33" i="1"/>
  <c r="S25" i="1" s="1"/>
  <c r="E78" i="12"/>
  <c r="E90" i="12"/>
  <c r="F50" i="1"/>
  <c r="L38" i="12"/>
  <c r="D90" i="12" s="1"/>
  <c r="J44" i="12"/>
  <c r="J29" i="12"/>
  <c r="J56" i="12"/>
  <c r="J18" i="12"/>
  <c r="J40" i="12"/>
  <c r="E67" i="12"/>
  <c r="F11" i="1"/>
  <c r="S11" i="1" s="1"/>
  <c r="T29" i="34"/>
  <c r="T20" i="34"/>
  <c r="T26" i="34"/>
  <c r="T28" i="34"/>
  <c r="T21" i="34"/>
  <c r="D34" i="34" s="1"/>
  <c r="T27" i="34"/>
  <c r="T24" i="34"/>
  <c r="T19" i="34"/>
  <c r="D32" i="34" s="1"/>
  <c r="G36" i="34"/>
  <c r="E36" i="34"/>
  <c r="O240" i="15" l="1"/>
  <c r="G8" i="20"/>
  <c r="M8" i="20"/>
  <c r="K8" i="20"/>
  <c r="I8" i="20"/>
  <c r="L8" i="20"/>
  <c r="F8" i="20"/>
  <c r="H8" i="20"/>
  <c r="N48" i="20"/>
  <c r="M58" i="20"/>
  <c r="J8" i="20"/>
  <c r="E8" i="20"/>
  <c r="Y4" i="34"/>
  <c r="U3" i="34"/>
  <c r="U9" i="34"/>
  <c r="Y6" i="34"/>
  <c r="W14" i="34"/>
  <c r="U10" i="34"/>
  <c r="V10" i="34"/>
  <c r="C42" i="37"/>
  <c r="D42" i="37"/>
  <c r="E42" i="37"/>
  <c r="B42" i="37"/>
  <c r="U5" i="34"/>
  <c r="U7" i="34"/>
  <c r="V8" i="34"/>
  <c r="G42" i="37"/>
  <c r="H42" i="37"/>
  <c r="I42" i="37"/>
  <c r="F42" i="37"/>
  <c r="U6" i="34"/>
  <c r="Y5" i="34"/>
  <c r="U4" i="34"/>
  <c r="Y3" i="34"/>
  <c r="Y7" i="34"/>
  <c r="J342" i="15"/>
  <c r="J338" i="15"/>
  <c r="W153" i="15"/>
  <c r="W355" i="15"/>
  <c r="W366" i="15"/>
  <c r="R97" i="15"/>
  <c r="K11" i="15"/>
  <c r="I71" i="15"/>
  <c r="E49" i="15"/>
  <c r="F49" i="15" s="1"/>
  <c r="H120" i="15"/>
  <c r="H125" i="15"/>
  <c r="H121" i="15"/>
  <c r="W342" i="15"/>
  <c r="Z363" i="15"/>
  <c r="L139" i="15"/>
  <c r="I73" i="15"/>
  <c r="L137" i="15"/>
  <c r="H279" i="15"/>
  <c r="O275" i="15"/>
  <c r="O276" i="15" s="1"/>
  <c r="H274" i="15"/>
  <c r="H272" i="15"/>
  <c r="H277" i="15"/>
  <c r="H124" i="15"/>
  <c r="W154" i="15"/>
  <c r="W155" i="15" s="1"/>
  <c r="W156" i="15" s="1"/>
  <c r="H117" i="15"/>
  <c r="H118" i="15"/>
  <c r="D161" i="20"/>
  <c r="L135" i="15"/>
  <c r="H278" i="15"/>
  <c r="D122" i="20"/>
  <c r="E35" i="15"/>
  <c r="F35" i="15" s="1"/>
  <c r="L256" i="15"/>
  <c r="L255" i="15"/>
  <c r="H276" i="15"/>
  <c r="K30" i="15"/>
  <c r="BA286" i="15"/>
  <c r="H123" i="15"/>
  <c r="J345" i="15"/>
  <c r="J348" i="15"/>
  <c r="J359" i="15"/>
  <c r="J339" i="15"/>
  <c r="J341" i="15"/>
  <c r="J354" i="15"/>
  <c r="J334" i="15"/>
  <c r="K32" i="15"/>
  <c r="L32" i="15" s="1"/>
  <c r="H385" i="15"/>
  <c r="I385" i="15" s="1"/>
  <c r="Z355" i="15"/>
  <c r="H372" i="15"/>
  <c r="I372" i="15" s="1"/>
  <c r="N15" i="15"/>
  <c r="R15" i="15"/>
  <c r="S14" i="15"/>
  <c r="J40" i="15"/>
  <c r="AC348" i="15"/>
  <c r="Z340" i="15"/>
  <c r="Z366" i="15"/>
  <c r="AV295" i="15"/>
  <c r="P157" i="15"/>
  <c r="P172" i="15"/>
  <c r="P169" i="15"/>
  <c r="O233" i="15"/>
  <c r="O230" i="15"/>
  <c r="D167" i="20"/>
  <c r="F77" i="15"/>
  <c r="AS324" i="15"/>
  <c r="P168" i="15"/>
  <c r="P156" i="15"/>
  <c r="P170" i="15"/>
  <c r="N258" i="15"/>
  <c r="E374" i="15"/>
  <c r="C77" i="15"/>
  <c r="P161" i="15"/>
  <c r="P153" i="15"/>
  <c r="P158" i="15"/>
  <c r="P166" i="15"/>
  <c r="O234" i="15"/>
  <c r="P164" i="15"/>
  <c r="P162" i="15"/>
  <c r="H387" i="15"/>
  <c r="I387" i="15" s="1"/>
  <c r="F10" i="15"/>
  <c r="D175" i="20"/>
  <c r="H383" i="15"/>
  <c r="I383" i="15" s="1"/>
  <c r="E380" i="15"/>
  <c r="H384" i="15"/>
  <c r="I384" i="15" s="1"/>
  <c r="S137" i="15"/>
  <c r="S138" i="15" s="1"/>
  <c r="S139" i="15" s="1"/>
  <c r="E388" i="15"/>
  <c r="H373" i="15"/>
  <c r="I373" i="15" s="1"/>
  <c r="J58" i="15" s="1"/>
  <c r="D179" i="20" s="1"/>
  <c r="H371" i="15"/>
  <c r="I371" i="15" s="1"/>
  <c r="G393" i="15"/>
  <c r="H386" i="15"/>
  <c r="I386" i="15" s="1"/>
  <c r="I68" i="15"/>
  <c r="D164" i="20"/>
  <c r="H11" i="15"/>
  <c r="I69" i="15"/>
  <c r="D159" i="20"/>
  <c r="Q347" i="15"/>
  <c r="I380" i="15"/>
  <c r="J56" i="15"/>
  <c r="E10" i="15"/>
  <c r="I80" i="15"/>
  <c r="D180" i="20"/>
  <c r="Q345" i="15"/>
  <c r="C43" i="37"/>
  <c r="E43" i="37"/>
  <c r="G43" i="37"/>
  <c r="K43" i="37"/>
  <c r="J43" i="37"/>
  <c r="M43" i="37"/>
  <c r="P43" i="37"/>
  <c r="D43" i="37"/>
  <c r="N43" i="37"/>
  <c r="E95" i="12"/>
  <c r="L14" i="12"/>
  <c r="D66" i="12" s="1"/>
  <c r="L52" i="12"/>
  <c r="D104" i="12" s="1"/>
  <c r="E85" i="12"/>
  <c r="B43" i="37"/>
  <c r="R41" i="37"/>
  <c r="S54" i="1"/>
  <c r="T54" i="1" s="1"/>
  <c r="F55" i="1"/>
  <c r="L43" i="37"/>
  <c r="F43" i="37"/>
  <c r="I43" i="37"/>
  <c r="X8" i="34"/>
  <c r="X14" i="34" s="1"/>
  <c r="K32" i="34"/>
  <c r="D40" i="34"/>
  <c r="K33" i="34"/>
  <c r="F42" i="34"/>
  <c r="K39" i="34"/>
  <c r="M37" i="34"/>
  <c r="F35" i="34"/>
  <c r="C39" i="34"/>
  <c r="D39" i="34"/>
  <c r="C34" i="34"/>
  <c r="S36" i="34"/>
  <c r="Q38" i="34"/>
  <c r="C40" i="34"/>
  <c r="E38" i="34"/>
  <c r="F38" i="34"/>
  <c r="S22" i="34"/>
  <c r="R38" i="34"/>
  <c r="E35" i="34"/>
  <c r="D41" i="34"/>
  <c r="O38" i="34"/>
  <c r="E37" i="34"/>
  <c r="H39" i="34"/>
  <c r="D35" i="34"/>
  <c r="S21" i="34"/>
  <c r="C42" i="34"/>
  <c r="S29" i="34"/>
  <c r="S19" i="34"/>
  <c r="C32" i="34"/>
  <c r="H38" i="34"/>
  <c r="C37" i="34"/>
  <c r="S24" i="34"/>
  <c r="S26" i="34"/>
  <c r="S20" i="34"/>
  <c r="C33" i="34"/>
  <c r="C38" i="34"/>
  <c r="S25" i="34"/>
  <c r="C41" i="34"/>
  <c r="S28" i="34"/>
  <c r="S27" i="34"/>
  <c r="S10" i="1"/>
  <c r="T10" i="1" s="1"/>
  <c r="G137" i="20"/>
  <c r="L137" i="20" s="1"/>
  <c r="N25" i="20" s="1"/>
  <c r="M24" i="28" s="1"/>
  <c r="P97" i="15"/>
  <c r="E44" i="15"/>
  <c r="F44" i="15" s="1"/>
  <c r="O231" i="15"/>
  <c r="P96" i="15"/>
  <c r="P103" i="15"/>
  <c r="E30" i="15"/>
  <c r="F30" i="15" s="1"/>
  <c r="O198" i="15"/>
  <c r="O199" i="15" s="1"/>
  <c r="O200" i="15" s="1"/>
  <c r="O201" i="15" s="1"/>
  <c r="O202" i="15" s="1"/>
  <c r="O203" i="15" s="1"/>
  <c r="O204" i="15" s="1"/>
  <c r="P100" i="15"/>
  <c r="O232" i="15"/>
  <c r="O242" i="15"/>
  <c r="P106" i="15"/>
  <c r="P107" i="15"/>
  <c r="P105" i="15"/>
  <c r="P102" i="15"/>
  <c r="S4" i="15"/>
  <c r="O238" i="15"/>
  <c r="O229" i="15"/>
  <c r="P99" i="15"/>
  <c r="P94" i="15"/>
  <c r="AW290" i="15"/>
  <c r="AW288" i="15"/>
  <c r="AW287" i="15"/>
  <c r="AW294" i="15"/>
  <c r="AW291" i="15"/>
  <c r="P98" i="15"/>
  <c r="P95" i="15"/>
  <c r="Q337" i="15"/>
  <c r="Q341" i="15"/>
  <c r="Q349" i="15"/>
  <c r="Q353" i="15"/>
  <c r="Q357" i="15"/>
  <c r="Q361" i="15"/>
  <c r="Q356" i="15"/>
  <c r="Q334" i="15"/>
  <c r="Q338" i="15"/>
  <c r="Q342" i="15"/>
  <c r="Q350" i="15"/>
  <c r="Q354" i="15"/>
  <c r="Q358" i="15"/>
  <c r="Q333" i="15"/>
  <c r="Q335" i="15"/>
  <c r="Q339" i="15"/>
  <c r="Q343" i="15"/>
  <c r="Q351" i="15"/>
  <c r="Q355" i="15"/>
  <c r="Q359" i="15"/>
  <c r="Q336" i="15"/>
  <c r="Q340" i="15"/>
  <c r="Q344" i="15"/>
  <c r="Q348" i="15"/>
  <c r="Q352" i="15"/>
  <c r="Q360" i="15"/>
  <c r="T339" i="15"/>
  <c r="AW292" i="15"/>
  <c r="AW293" i="15"/>
  <c r="AW289" i="15"/>
  <c r="BA287" i="15"/>
  <c r="BA288" i="15" s="1"/>
  <c r="BA289" i="15" s="1"/>
  <c r="BA290" i="15" s="1"/>
  <c r="BA291" i="15" s="1"/>
  <c r="BA292" i="15" s="1"/>
  <c r="BA293" i="15" s="1"/>
  <c r="BA294" i="15" s="1"/>
  <c r="E38" i="15"/>
  <c r="F38" i="15" s="1"/>
  <c r="P152" i="15"/>
  <c r="P163" i="15"/>
  <c r="P159" i="15"/>
  <c r="K35" i="15"/>
  <c r="L35" i="15" s="1"/>
  <c r="L141" i="15"/>
  <c r="L138" i="15"/>
  <c r="AW286" i="15"/>
  <c r="AW285" i="15"/>
  <c r="L136" i="15"/>
  <c r="O236" i="15"/>
  <c r="O239" i="15"/>
  <c r="O235" i="15"/>
  <c r="P160" i="15"/>
  <c r="O243" i="15"/>
  <c r="O237" i="15"/>
  <c r="J30" i="15"/>
  <c r="E8" i="15" s="1"/>
  <c r="D30" i="15"/>
  <c r="D56" i="15" s="1"/>
  <c r="D21" i="15" s="1"/>
  <c r="S256" i="15"/>
  <c r="S257" i="15" s="1"/>
  <c r="S13" i="15"/>
  <c r="F48" i="1"/>
  <c r="S40" i="1" s="1"/>
  <c r="T40" i="1" s="1"/>
  <c r="E88" i="12"/>
  <c r="L36" i="12"/>
  <c r="D88" i="12" s="1"/>
  <c r="F43" i="1"/>
  <c r="L45" i="12"/>
  <c r="D97" i="12" s="1"/>
  <c r="L27" i="12"/>
  <c r="D79" i="12" s="1"/>
  <c r="F30" i="1"/>
  <c r="S24" i="1" s="1"/>
  <c r="S23" i="1" s="1"/>
  <c r="T23" i="1" s="1"/>
  <c r="F57" i="1"/>
  <c r="E99" i="12"/>
  <c r="F40" i="1"/>
  <c r="S55" i="1" s="1"/>
  <c r="T55" i="1" s="1"/>
  <c r="L47" i="12"/>
  <c r="D99" i="12" s="1"/>
  <c r="L20" i="12"/>
  <c r="D72" i="12" s="1"/>
  <c r="E72" i="12"/>
  <c r="F16" i="1"/>
  <c r="S18" i="1" s="1"/>
  <c r="F54" i="1"/>
  <c r="E94" i="12"/>
  <c r="L42" i="12"/>
  <c r="D94" i="12" s="1"/>
  <c r="L41" i="12"/>
  <c r="D93" i="12" s="1"/>
  <c r="E93" i="12"/>
  <c r="F53" i="1"/>
  <c r="L51" i="12"/>
  <c r="D103" i="12" s="1"/>
  <c r="E103" i="12"/>
  <c r="F23" i="1"/>
  <c r="S72" i="1"/>
  <c r="T72" i="1"/>
  <c r="T73" i="1"/>
  <c r="S73" i="1"/>
  <c r="F34" i="1"/>
  <c r="S32" i="1" s="1"/>
  <c r="T32" i="1" s="1"/>
  <c r="L60" i="12"/>
  <c r="D112" i="12" s="1"/>
  <c r="F19" i="1"/>
  <c r="T68" i="1" s="1"/>
  <c r="E75" i="12"/>
  <c r="L35" i="12"/>
  <c r="D87" i="12" s="1"/>
  <c r="E87" i="12"/>
  <c r="F47" i="1"/>
  <c r="S39" i="1" s="1"/>
  <c r="T39" i="1" s="1"/>
  <c r="T337" i="15"/>
  <c r="T352" i="15"/>
  <c r="T350" i="15"/>
  <c r="T346" i="15"/>
  <c r="T348" i="15"/>
  <c r="T344" i="15"/>
  <c r="T341" i="15"/>
  <c r="T355" i="15"/>
  <c r="T342" i="15"/>
  <c r="K15" i="15"/>
  <c r="T340" i="15"/>
  <c r="T334" i="15"/>
  <c r="T358" i="15"/>
  <c r="T335" i="15"/>
  <c r="T336" i="15"/>
  <c r="T359" i="15"/>
  <c r="T338" i="15"/>
  <c r="T345" i="15"/>
  <c r="T349" i="15"/>
  <c r="T343" i="15"/>
  <c r="T360" i="15"/>
  <c r="T333" i="15"/>
  <c r="T353" i="15"/>
  <c r="T357" i="15"/>
  <c r="T361" i="15"/>
  <c r="T356" i="15"/>
  <c r="K45" i="15"/>
  <c r="T354" i="15"/>
  <c r="T347" i="15"/>
  <c r="N83" i="15"/>
  <c r="AT317" i="15"/>
  <c r="AT298" i="15"/>
  <c r="AT299" i="15"/>
  <c r="AT314" i="15"/>
  <c r="AT292" i="15"/>
  <c r="AT302" i="15"/>
  <c r="AT303" i="15"/>
  <c r="AT295" i="15"/>
  <c r="AT315" i="15"/>
  <c r="AT322" i="15"/>
  <c r="AT312" i="15"/>
  <c r="AT307" i="15"/>
  <c r="AT296" i="15"/>
  <c r="AT288" i="15"/>
  <c r="AT309" i="15"/>
  <c r="AT306" i="15"/>
  <c r="AT323" i="15"/>
  <c r="AT310" i="15"/>
  <c r="AT318" i="15"/>
  <c r="AT313" i="15"/>
  <c r="AT319" i="15"/>
  <c r="AT308" i="15"/>
  <c r="AT294" i="15"/>
  <c r="AT293" i="15"/>
  <c r="AT301" i="15"/>
  <c r="E55" i="15"/>
  <c r="K51" i="15"/>
  <c r="L51" i="15" s="1"/>
  <c r="AT305" i="15"/>
  <c r="AT290" i="15"/>
  <c r="AT286" i="15"/>
  <c r="AT311" i="15"/>
  <c r="AT297" i="15"/>
  <c r="AT291" i="15"/>
  <c r="AT287" i="15"/>
  <c r="AT304" i="15"/>
  <c r="AT300" i="15"/>
  <c r="AT321" i="15"/>
  <c r="AT289" i="15"/>
  <c r="AT285" i="15"/>
  <c r="AT316" i="15"/>
  <c r="AT320" i="15"/>
  <c r="J28" i="15"/>
  <c r="U97" i="15"/>
  <c r="V92" i="15" s="1"/>
  <c r="W92" i="15" s="1"/>
  <c r="I72" i="15"/>
  <c r="G8" i="15"/>
  <c r="J41" i="15"/>
  <c r="C15" i="15"/>
  <c r="M25" i="33"/>
  <c r="M25" i="28"/>
  <c r="K137" i="20"/>
  <c r="S23" i="34"/>
  <c r="E70" i="12"/>
  <c r="L18" i="12"/>
  <c r="D70" i="12" s="1"/>
  <c r="F14" i="1"/>
  <c r="S16" i="1" s="1"/>
  <c r="S68" i="1"/>
  <c r="S60" i="1"/>
  <c r="T60" i="1"/>
  <c r="F56" i="1"/>
  <c r="L44" i="12"/>
  <c r="D96" i="12" s="1"/>
  <c r="E96" i="12"/>
  <c r="F20" i="1"/>
  <c r="E108" i="12"/>
  <c r="L56" i="12"/>
  <c r="D108" i="12" s="1"/>
  <c r="F52" i="1"/>
  <c r="L40" i="12"/>
  <c r="D92" i="12" s="1"/>
  <c r="E92" i="12"/>
  <c r="L29" i="12"/>
  <c r="D81" i="12" s="1"/>
  <c r="E81" i="12"/>
  <c r="F36" i="1"/>
  <c r="S30" i="1" s="1"/>
  <c r="S29" i="1" s="1"/>
  <c r="T29" i="1" s="1"/>
  <c r="F39" i="34"/>
  <c r="P39" i="34"/>
  <c r="I40" i="34"/>
  <c r="E39" i="34"/>
  <c r="E41" i="34"/>
  <c r="F32" i="34"/>
  <c r="H32" i="34"/>
  <c r="D33" i="34"/>
  <c r="L33" i="34"/>
  <c r="H41" i="34"/>
  <c r="E42" i="34"/>
  <c r="D42" i="34"/>
  <c r="J32" i="34"/>
  <c r="E32" i="34"/>
  <c r="S15" i="1" l="1"/>
  <c r="T15" i="1" s="1"/>
  <c r="D8" i="20"/>
  <c r="N58" i="20"/>
  <c r="O48" i="20" s="1"/>
  <c r="F7" i="20"/>
  <c r="J65" i="20" s="1"/>
  <c r="O8" i="20"/>
  <c r="E81" i="20"/>
  <c r="F81" i="20" s="1"/>
  <c r="R8" i="20"/>
  <c r="S8" i="20"/>
  <c r="H11" i="33"/>
  <c r="P8" i="20"/>
  <c r="E84" i="20"/>
  <c r="F84" i="20" s="1"/>
  <c r="I7" i="20"/>
  <c r="L11" i="33"/>
  <c r="M7" i="20"/>
  <c r="E88" i="20"/>
  <c r="F88" i="20" s="1"/>
  <c r="E80" i="20"/>
  <c r="F80" i="20" s="1"/>
  <c r="E7" i="20"/>
  <c r="J64" i="20" s="1"/>
  <c r="J7" i="20"/>
  <c r="E85" i="20"/>
  <c r="F85" i="20" s="1"/>
  <c r="I11" i="33"/>
  <c r="G11" i="33"/>
  <c r="E83" i="20"/>
  <c r="F83" i="20" s="1"/>
  <c r="H7" i="20"/>
  <c r="K11" i="33"/>
  <c r="L7" i="20"/>
  <c r="E87" i="20"/>
  <c r="F87" i="20" s="1"/>
  <c r="K7" i="20"/>
  <c r="E86" i="20"/>
  <c r="F86" i="20" s="1"/>
  <c r="J11" i="33"/>
  <c r="F11" i="33"/>
  <c r="G7" i="20"/>
  <c r="E82" i="20"/>
  <c r="F82" i="20" s="1"/>
  <c r="Z7" i="34"/>
  <c r="V14" i="34"/>
  <c r="U14" i="34"/>
  <c r="I137" i="20"/>
  <c r="J362" i="15"/>
  <c r="AC353" i="15"/>
  <c r="AC365" i="15" s="1"/>
  <c r="AA339" i="15"/>
  <c r="AA337" i="15"/>
  <c r="AA333" i="15"/>
  <c r="AA338" i="15"/>
  <c r="F11" i="15"/>
  <c r="I70" i="15"/>
  <c r="D162" i="20"/>
  <c r="AA335" i="15"/>
  <c r="AA334" i="15"/>
  <c r="AA336" i="15"/>
  <c r="M24" i="33"/>
  <c r="E15" i="15"/>
  <c r="H10" i="15"/>
  <c r="I388" i="15"/>
  <c r="I374" i="15"/>
  <c r="J55" i="15"/>
  <c r="J61" i="15" s="1"/>
  <c r="F15" i="15"/>
  <c r="I78" i="15"/>
  <c r="D177" i="20"/>
  <c r="O10" i="15"/>
  <c r="R43" i="37"/>
  <c r="S38" i="34"/>
  <c r="S35" i="34"/>
  <c r="S34" i="34"/>
  <c r="S37" i="34"/>
  <c r="S40" i="34"/>
  <c r="S71" i="1"/>
  <c r="T71" i="1" s="1"/>
  <c r="AW295" i="15"/>
  <c r="Q362" i="15"/>
  <c r="E16" i="15"/>
  <c r="V96" i="15"/>
  <c r="V94" i="15"/>
  <c r="V95" i="15"/>
  <c r="V93" i="15"/>
  <c r="W93" i="15" s="1"/>
  <c r="D160" i="20"/>
  <c r="D11" i="15"/>
  <c r="S11" i="15" s="1"/>
  <c r="G16" i="15"/>
  <c r="G15" i="15"/>
  <c r="D8" i="15"/>
  <c r="I67" i="15"/>
  <c r="L30" i="15"/>
  <c r="F55" i="15"/>
  <c r="E56" i="15"/>
  <c r="L45" i="15"/>
  <c r="N137" i="20"/>
  <c r="N24" i="20"/>
  <c r="T69" i="1"/>
  <c r="T67" i="1" s="1"/>
  <c r="S69" i="1"/>
  <c r="S67" i="1" s="1"/>
  <c r="S33" i="34"/>
  <c r="S39" i="34"/>
  <c r="S41" i="34"/>
  <c r="S42" i="34"/>
  <c r="S32" i="34"/>
  <c r="F10" i="33" l="1"/>
  <c r="F43" i="33" s="1"/>
  <c r="J66" i="20"/>
  <c r="J67" i="20"/>
  <c r="G10" i="33"/>
  <c r="G43" i="33" s="1"/>
  <c r="Q85" i="20"/>
  <c r="R85" i="20"/>
  <c r="J85" i="20"/>
  <c r="M85" i="20" s="1"/>
  <c r="P85" i="20"/>
  <c r="P84" i="20"/>
  <c r="R84" i="20" s="1"/>
  <c r="J84" i="20"/>
  <c r="M84" i="20" s="1"/>
  <c r="Q84" i="20"/>
  <c r="R7" i="20"/>
  <c r="Q10" i="33" s="1"/>
  <c r="Q11" i="33"/>
  <c r="P83" i="20"/>
  <c r="R83" i="20" s="1"/>
  <c r="D147" i="20" s="1"/>
  <c r="G147" i="20" s="1"/>
  <c r="I147" i="20" s="1"/>
  <c r="Q83" i="20"/>
  <c r="J69" i="20"/>
  <c r="I10" i="33"/>
  <c r="I43" i="33" s="1"/>
  <c r="J72" i="20"/>
  <c r="L10" i="33"/>
  <c r="L43" i="33" s="1"/>
  <c r="O11" i="33"/>
  <c r="P7" i="20"/>
  <c r="O10" i="33" s="1"/>
  <c r="K10" i="33"/>
  <c r="K43" i="33" s="1"/>
  <c r="J71" i="20"/>
  <c r="P64" i="20"/>
  <c r="R64" i="20" s="1"/>
  <c r="Q64" i="20"/>
  <c r="D96" i="20"/>
  <c r="N11" i="33"/>
  <c r="O7" i="20"/>
  <c r="N10" i="33" s="1"/>
  <c r="N43" i="33" s="1"/>
  <c r="E79" i="20"/>
  <c r="F79" i="20" s="1"/>
  <c r="C11" i="28"/>
  <c r="Q8" i="20"/>
  <c r="D7" i="20"/>
  <c r="J10" i="33"/>
  <c r="J43" i="33" s="1"/>
  <c r="J70" i="20"/>
  <c r="J88" i="20"/>
  <c r="N59" i="20"/>
  <c r="O49" i="20"/>
  <c r="O58" i="20" s="1"/>
  <c r="O53" i="20"/>
  <c r="O51" i="20"/>
  <c r="O55" i="20"/>
  <c r="O56" i="20"/>
  <c r="O52" i="20"/>
  <c r="O57" i="20"/>
  <c r="O54" i="20"/>
  <c r="O50" i="20"/>
  <c r="J87" i="20"/>
  <c r="J81" i="20"/>
  <c r="P82" i="20"/>
  <c r="R82" i="20"/>
  <c r="Q82" i="20"/>
  <c r="J86" i="20"/>
  <c r="J80" i="20"/>
  <c r="H10" i="33"/>
  <c r="H43" i="33" s="1"/>
  <c r="J68" i="20"/>
  <c r="R11" i="33"/>
  <c r="S7" i="20"/>
  <c r="R10" i="33" s="1"/>
  <c r="R43" i="33" s="1"/>
  <c r="P65" i="20"/>
  <c r="D97" i="20"/>
  <c r="Q65" i="20"/>
  <c r="W94" i="15"/>
  <c r="W95" i="15" s="1"/>
  <c r="W96" i="15" s="1"/>
  <c r="D169" i="20"/>
  <c r="AA340" i="15"/>
  <c r="AB333" i="15"/>
  <c r="AB334" i="15" s="1"/>
  <c r="AB335" i="15" s="1"/>
  <c r="AB336" i="15" s="1"/>
  <c r="AB337" i="15" s="1"/>
  <c r="AB338" i="15" s="1"/>
  <c r="AB339" i="15" s="1"/>
  <c r="I394" i="15"/>
  <c r="J372" i="15" s="1"/>
  <c r="H15" i="15"/>
  <c r="Q10" i="15"/>
  <c r="D176" i="20"/>
  <c r="D182" i="20" s="1"/>
  <c r="I77" i="15"/>
  <c r="I83" i="15" s="1"/>
  <c r="O15" i="15"/>
  <c r="E6" i="37"/>
  <c r="J6" i="37" s="1"/>
  <c r="AB2" i="34"/>
  <c r="D22" i="15"/>
  <c r="S8" i="15"/>
  <c r="D15" i="15"/>
  <c r="D16" i="15"/>
  <c r="S16" i="15" s="1"/>
  <c r="C21" i="15"/>
  <c r="F56" i="15"/>
  <c r="M23" i="33"/>
  <c r="M23" i="28"/>
  <c r="D101" i="20" l="1"/>
  <c r="Q69" i="20"/>
  <c r="P69" i="20"/>
  <c r="R69" i="20" s="1"/>
  <c r="D103" i="20"/>
  <c r="P71" i="20"/>
  <c r="Q71" i="20"/>
  <c r="D98" i="20"/>
  <c r="Q68" i="20"/>
  <c r="D100" i="20"/>
  <c r="P68" i="20"/>
  <c r="R68" i="20"/>
  <c r="D99" i="20"/>
  <c r="P67" i="20"/>
  <c r="Q67" i="20"/>
  <c r="M80" i="20"/>
  <c r="L80" i="20"/>
  <c r="N80" i="20" s="1"/>
  <c r="L81" i="20"/>
  <c r="M81" i="20"/>
  <c r="O81" i="20" s="1"/>
  <c r="J63" i="20"/>
  <c r="C10" i="28"/>
  <c r="P72" i="20"/>
  <c r="D104" i="20"/>
  <c r="Q72" i="20"/>
  <c r="R72" i="20"/>
  <c r="Q43" i="33"/>
  <c r="M87" i="20"/>
  <c r="L87" i="20"/>
  <c r="N87" i="20" s="1"/>
  <c r="Q70" i="20"/>
  <c r="P70" i="20"/>
  <c r="D102" i="20"/>
  <c r="R70" i="20"/>
  <c r="S64" i="20"/>
  <c r="E10" i="20" s="1"/>
  <c r="D129" i="20"/>
  <c r="M86" i="20"/>
  <c r="O86" i="20" s="1"/>
  <c r="L86" i="20"/>
  <c r="J79" i="20"/>
  <c r="F89" i="20"/>
  <c r="R65" i="20"/>
  <c r="S65" i="20" s="1"/>
  <c r="L88" i="20"/>
  <c r="N88" i="20" s="1"/>
  <c r="M88" i="20"/>
  <c r="Q7" i="20"/>
  <c r="P10" i="33" s="1"/>
  <c r="P11" i="33"/>
  <c r="E11" i="20"/>
  <c r="D128" i="20"/>
  <c r="O43" i="33"/>
  <c r="J391" i="15"/>
  <c r="J387" i="15"/>
  <c r="J373" i="15"/>
  <c r="J385" i="15"/>
  <c r="S10" i="15"/>
  <c r="J378" i="15"/>
  <c r="J386" i="15"/>
  <c r="J371" i="15"/>
  <c r="K60" i="15"/>
  <c r="J383" i="15"/>
  <c r="J382" i="15"/>
  <c r="J390" i="15"/>
  <c r="J384" i="15"/>
  <c r="J392" i="15"/>
  <c r="J377" i="15"/>
  <c r="J379" i="15"/>
  <c r="J376" i="15"/>
  <c r="Q15" i="15"/>
  <c r="S15" i="15" s="1"/>
  <c r="Q49" i="34"/>
  <c r="R49" i="34"/>
  <c r="C48" i="34"/>
  <c r="J50" i="34"/>
  <c r="I49" i="34"/>
  <c r="O49" i="34"/>
  <c r="M49" i="34"/>
  <c r="R45" i="34"/>
  <c r="M45" i="34"/>
  <c r="K49" i="34"/>
  <c r="N49" i="34"/>
  <c r="M47" i="34"/>
  <c r="J47" i="34"/>
  <c r="O47" i="34"/>
  <c r="G46" i="34"/>
  <c r="L51" i="34"/>
  <c r="P55" i="34"/>
  <c r="I55" i="34"/>
  <c r="P53" i="34"/>
  <c r="K55" i="34"/>
  <c r="E49" i="34"/>
  <c r="M48" i="34"/>
  <c r="R53" i="34"/>
  <c r="H50" i="34"/>
  <c r="L54" i="34"/>
  <c r="F47" i="34"/>
  <c r="N50" i="34"/>
  <c r="O55" i="34"/>
  <c r="F46" i="34"/>
  <c r="O53" i="34"/>
  <c r="G54" i="34"/>
  <c r="I46" i="34"/>
  <c r="R54" i="34"/>
  <c r="D49" i="34"/>
  <c r="J53" i="34"/>
  <c r="N51" i="34"/>
  <c r="P50" i="34"/>
  <c r="N47" i="34"/>
  <c r="M54" i="34"/>
  <c r="E53" i="34"/>
  <c r="P48" i="34"/>
  <c r="D47" i="34"/>
  <c r="O46" i="34"/>
  <c r="L50" i="34"/>
  <c r="H53" i="34"/>
  <c r="L48" i="34"/>
  <c r="H47" i="34"/>
  <c r="M52" i="34"/>
  <c r="E47" i="34"/>
  <c r="Q46" i="34"/>
  <c r="Q54" i="34"/>
  <c r="G51" i="34"/>
  <c r="L49" i="34"/>
  <c r="O50" i="34"/>
  <c r="H46" i="34"/>
  <c r="I51" i="34"/>
  <c r="M55" i="34"/>
  <c r="G48" i="34"/>
  <c r="L52" i="34"/>
  <c r="Q45" i="34"/>
  <c r="J46" i="34"/>
  <c r="I54" i="34"/>
  <c r="N48" i="34"/>
  <c r="K48" i="34"/>
  <c r="K47" i="34"/>
  <c r="C49" i="34"/>
  <c r="K54" i="34"/>
  <c r="P46" i="34"/>
  <c r="R52" i="34"/>
  <c r="O48" i="34"/>
  <c r="N55" i="34"/>
  <c r="F54" i="34"/>
  <c r="R46" i="34"/>
  <c r="Q48" i="34"/>
  <c r="M51" i="34"/>
  <c r="L45" i="34"/>
  <c r="H49" i="34"/>
  <c r="I48" i="34"/>
  <c r="N53" i="34"/>
  <c r="D50" i="34"/>
  <c r="R47" i="34"/>
  <c r="R55" i="34"/>
  <c r="P49" i="34"/>
  <c r="J49" i="34"/>
  <c r="P51" i="34"/>
  <c r="I47" i="34"/>
  <c r="J52" i="34"/>
  <c r="O45" i="34"/>
  <c r="I50" i="34"/>
  <c r="M53" i="34"/>
  <c r="N46" i="34"/>
  <c r="G49" i="34"/>
  <c r="P47" i="34"/>
  <c r="N52" i="34"/>
  <c r="J55" i="34"/>
  <c r="G47" i="34"/>
  <c r="G50" i="34"/>
  <c r="L55" i="34"/>
  <c r="Q47" i="34"/>
  <c r="G45" i="34"/>
  <c r="Q50" i="34"/>
  <c r="P45" i="34"/>
  <c r="G55" i="34"/>
  <c r="H48" i="34"/>
  <c r="H55" i="34"/>
  <c r="Q55" i="34"/>
  <c r="Q53" i="34"/>
  <c r="F49" i="34"/>
  <c r="K50" i="34"/>
  <c r="O54" i="34"/>
  <c r="G53" i="34"/>
  <c r="O52" i="34"/>
  <c r="J54" i="34"/>
  <c r="G52" i="34"/>
  <c r="L47" i="34"/>
  <c r="Q52" i="34"/>
  <c r="J48" i="34"/>
  <c r="K53" i="34"/>
  <c r="E46" i="34"/>
  <c r="J51" i="34"/>
  <c r="N54" i="34"/>
  <c r="K51" i="34"/>
  <c r="F53" i="34"/>
  <c r="D51" i="34"/>
  <c r="P54" i="34"/>
  <c r="R50" i="34"/>
  <c r="D45" i="34"/>
  <c r="I52" i="34"/>
  <c r="N45" i="34"/>
  <c r="R48" i="34"/>
  <c r="M46" i="34"/>
  <c r="L53" i="34"/>
  <c r="F50" i="34"/>
  <c r="I45" i="34"/>
  <c r="H54" i="34"/>
  <c r="E50" i="34"/>
  <c r="M50" i="34"/>
  <c r="P52" i="34"/>
  <c r="F52" i="34"/>
  <c r="C52" i="34"/>
  <c r="D46" i="34"/>
  <c r="D54" i="34"/>
  <c r="F55" i="34"/>
  <c r="H45" i="34"/>
  <c r="H52" i="34"/>
  <c r="K46" i="34"/>
  <c r="D55" i="34"/>
  <c r="C54" i="34"/>
  <c r="R51" i="34"/>
  <c r="D53" i="34"/>
  <c r="J45" i="34"/>
  <c r="C45" i="34"/>
  <c r="K45" i="34"/>
  <c r="E52" i="34"/>
  <c r="F51" i="34"/>
  <c r="I53" i="34"/>
  <c r="E48" i="34"/>
  <c r="H51" i="34"/>
  <c r="C53" i="34"/>
  <c r="L46" i="34"/>
  <c r="O51" i="34"/>
  <c r="C51" i="34"/>
  <c r="F48" i="34"/>
  <c r="F45" i="34"/>
  <c r="C46" i="34"/>
  <c r="E51" i="34"/>
  <c r="C55" i="34"/>
  <c r="D52" i="34"/>
  <c r="E45" i="34"/>
  <c r="E54" i="34"/>
  <c r="Q51" i="34"/>
  <c r="D48" i="34"/>
  <c r="K52" i="34"/>
  <c r="E55" i="34"/>
  <c r="C50" i="34"/>
  <c r="C47" i="34"/>
  <c r="Q44" i="37"/>
  <c r="H44" i="37"/>
  <c r="O44" i="37"/>
  <c r="L44" i="37"/>
  <c r="I44" i="37"/>
  <c r="G44" i="37"/>
  <c r="M44" i="37"/>
  <c r="J44" i="37"/>
  <c r="D44" i="37"/>
  <c r="E44" i="37"/>
  <c r="C44" i="37"/>
  <c r="P44" i="37"/>
  <c r="F44" i="37"/>
  <c r="K44" i="37"/>
  <c r="N44" i="37"/>
  <c r="B44" i="37"/>
  <c r="R44" i="37"/>
  <c r="E21" i="15"/>
  <c r="D23" i="15"/>
  <c r="M57" i="28"/>
  <c r="M57" i="33"/>
  <c r="Q10" i="20" l="1"/>
  <c r="D12" i="28"/>
  <c r="E12" i="20"/>
  <c r="F10" i="20"/>
  <c r="F11" i="20"/>
  <c r="F90" i="20"/>
  <c r="J82" i="20"/>
  <c r="J83" i="20"/>
  <c r="L14" i="20"/>
  <c r="P87" i="20"/>
  <c r="S72" i="20"/>
  <c r="M11" i="20" s="1"/>
  <c r="F15" i="20"/>
  <c r="Q81" i="20"/>
  <c r="L100" i="20"/>
  <c r="L101" i="20"/>
  <c r="I101" i="20"/>
  <c r="H128" i="20"/>
  <c r="M128" i="20" s="1"/>
  <c r="E26" i="20" s="1"/>
  <c r="G128" i="20"/>
  <c r="L128" i="20" s="1"/>
  <c r="E25" i="20" s="1"/>
  <c r="F128" i="20"/>
  <c r="O88" i="20"/>
  <c r="N86" i="20"/>
  <c r="O87" i="20"/>
  <c r="N81" i="20"/>
  <c r="S68" i="20"/>
  <c r="I10" i="20"/>
  <c r="D135" i="20"/>
  <c r="Q11" i="20"/>
  <c r="D13" i="33"/>
  <c r="D13" i="28"/>
  <c r="M14" i="20"/>
  <c r="P88" i="20"/>
  <c r="L79" i="20"/>
  <c r="M79" i="20"/>
  <c r="K15" i="20"/>
  <c r="Q86" i="20"/>
  <c r="S70" i="20"/>
  <c r="K10" i="20"/>
  <c r="D136" i="20"/>
  <c r="C43" i="28"/>
  <c r="E14" i="20"/>
  <c r="P80" i="20"/>
  <c r="R67" i="20"/>
  <c r="S67" i="20" s="1"/>
  <c r="I100" i="20"/>
  <c r="R71" i="20"/>
  <c r="S71" i="20" s="1"/>
  <c r="S69" i="20"/>
  <c r="J10" i="20" s="1"/>
  <c r="P43" i="33"/>
  <c r="K129" i="20"/>
  <c r="M129" i="20"/>
  <c r="F26" i="20" s="1"/>
  <c r="G129" i="20"/>
  <c r="K11" i="20"/>
  <c r="D134" i="20"/>
  <c r="P63" i="20"/>
  <c r="Q63" i="20"/>
  <c r="R63" i="20" s="1"/>
  <c r="J73" i="20"/>
  <c r="K63" i="20"/>
  <c r="D95" i="20"/>
  <c r="O80" i="20"/>
  <c r="D131" i="20"/>
  <c r="G131" i="20" s="1"/>
  <c r="I131" i="20" s="1"/>
  <c r="D132" i="20"/>
  <c r="I11" i="20"/>
  <c r="D133" i="20"/>
  <c r="J11" i="20"/>
  <c r="L60" i="15"/>
  <c r="K61" i="15"/>
  <c r="C65" i="34"/>
  <c r="S47" i="34"/>
  <c r="D66" i="34"/>
  <c r="D70" i="34"/>
  <c r="F63" i="34"/>
  <c r="F59" i="34"/>
  <c r="L64" i="34"/>
  <c r="L74" i="34" s="1"/>
  <c r="I71" i="34"/>
  <c r="I74" i="34" s="1"/>
  <c r="C59" i="34"/>
  <c r="S45" i="34"/>
  <c r="S54" i="34"/>
  <c r="H59" i="34"/>
  <c r="H63" i="34"/>
  <c r="C70" i="34"/>
  <c r="S52" i="34"/>
  <c r="E68" i="34"/>
  <c r="G59" i="34"/>
  <c r="G67" i="34"/>
  <c r="G74" i="34" s="1"/>
  <c r="O59" i="34"/>
  <c r="L59" i="34"/>
  <c r="N69" i="34"/>
  <c r="N74" i="34" s="1"/>
  <c r="S50" i="34"/>
  <c r="Q59" i="34"/>
  <c r="Q69" i="34"/>
  <c r="Q74" i="34" s="1"/>
  <c r="S55" i="34"/>
  <c r="F66" i="34"/>
  <c r="S53" i="34"/>
  <c r="C71" i="34"/>
  <c r="F69" i="34"/>
  <c r="J59" i="34"/>
  <c r="J63" i="34"/>
  <c r="J74" i="34" s="1"/>
  <c r="D73" i="34"/>
  <c r="F73" i="34"/>
  <c r="F70" i="34"/>
  <c r="H72" i="34"/>
  <c r="D63" i="34"/>
  <c r="D59" i="34"/>
  <c r="S48" i="34"/>
  <c r="E73" i="34"/>
  <c r="E72" i="34"/>
  <c r="E69" i="34"/>
  <c r="S51" i="34"/>
  <c r="H69" i="34"/>
  <c r="E70" i="34"/>
  <c r="D71" i="34"/>
  <c r="K64" i="34"/>
  <c r="D72" i="34"/>
  <c r="P59" i="34"/>
  <c r="P70" i="34"/>
  <c r="P74" i="34" s="1"/>
  <c r="I59" i="34"/>
  <c r="S49" i="34"/>
  <c r="D65" i="34"/>
  <c r="D67" i="34"/>
  <c r="K70" i="34"/>
  <c r="E63" i="34"/>
  <c r="E59" i="34"/>
  <c r="S46" i="34"/>
  <c r="O69" i="34"/>
  <c r="O74" i="34" s="1"/>
  <c r="E66" i="34"/>
  <c r="K63" i="34"/>
  <c r="K59" i="34"/>
  <c r="R59" i="34"/>
  <c r="R69" i="34"/>
  <c r="R74" i="34" s="1"/>
  <c r="H70" i="34"/>
  <c r="D64" i="34"/>
  <c r="M59" i="34"/>
  <c r="M68" i="34"/>
  <c r="M74" i="34" s="1"/>
  <c r="N59" i="34"/>
  <c r="E67" i="34"/>
  <c r="H11" i="20" l="1"/>
  <c r="H10" i="20"/>
  <c r="L13" i="28"/>
  <c r="L13" i="33"/>
  <c r="I12" i="33"/>
  <c r="J12" i="20"/>
  <c r="I12" i="28"/>
  <c r="L10" i="20"/>
  <c r="L11" i="20"/>
  <c r="H13" i="28"/>
  <c r="H13" i="33"/>
  <c r="R11" i="20"/>
  <c r="S11" i="20"/>
  <c r="G134" i="20"/>
  <c r="M134" i="20"/>
  <c r="K26" i="20" s="1"/>
  <c r="K134" i="20"/>
  <c r="K14" i="20"/>
  <c r="P86" i="20"/>
  <c r="R86" i="20" s="1"/>
  <c r="K132" i="20"/>
  <c r="G132" i="20"/>
  <c r="M132" i="20"/>
  <c r="I26" i="20" s="1"/>
  <c r="D105" i="20"/>
  <c r="J13" i="28"/>
  <c r="J13" i="33"/>
  <c r="N79" i="20"/>
  <c r="L89" i="20"/>
  <c r="R10" i="20"/>
  <c r="I12" i="20"/>
  <c r="S10" i="20"/>
  <c r="H12" i="28"/>
  <c r="H12" i="33"/>
  <c r="F14" i="20"/>
  <c r="P81" i="20"/>
  <c r="M15" i="20"/>
  <c r="Q88" i="20"/>
  <c r="R88" i="20" s="1"/>
  <c r="D152" i="20" s="1"/>
  <c r="G152" i="20" s="1"/>
  <c r="I152" i="20" s="1"/>
  <c r="M10" i="20"/>
  <c r="E96" i="20"/>
  <c r="F96" i="20" s="1"/>
  <c r="D14" i="33"/>
  <c r="D12" i="33" s="1"/>
  <c r="D46" i="33" s="1"/>
  <c r="D14" i="28"/>
  <c r="Q12" i="20"/>
  <c r="I13" i="28"/>
  <c r="I13" i="33"/>
  <c r="D127" i="20"/>
  <c r="Q66" i="20"/>
  <c r="J12" i="33"/>
  <c r="J12" i="28"/>
  <c r="K12" i="20"/>
  <c r="D25" i="28"/>
  <c r="Q26" i="20"/>
  <c r="D25" i="33"/>
  <c r="D23" i="33" s="1"/>
  <c r="D57" i="33" s="1"/>
  <c r="E12" i="33"/>
  <c r="F12" i="20"/>
  <c r="E12" i="28"/>
  <c r="M133" i="20"/>
  <c r="J26" i="20" s="1"/>
  <c r="G133" i="20"/>
  <c r="K133" i="20"/>
  <c r="S63" i="20"/>
  <c r="D10" i="20" s="1"/>
  <c r="P66" i="20"/>
  <c r="P73" i="20"/>
  <c r="L129" i="20"/>
  <c r="F25" i="20" s="1"/>
  <c r="I129" i="20"/>
  <c r="K136" i="20"/>
  <c r="M136" i="20"/>
  <c r="M26" i="20" s="1"/>
  <c r="G136" i="20"/>
  <c r="P13" i="33"/>
  <c r="P13" i="28"/>
  <c r="L15" i="20"/>
  <c r="Q87" i="20"/>
  <c r="R87" i="20" s="1"/>
  <c r="D151" i="20" s="1"/>
  <c r="G151" i="20" s="1"/>
  <c r="I151" i="20" s="1"/>
  <c r="K128" i="20"/>
  <c r="I128" i="20"/>
  <c r="R81" i="20"/>
  <c r="D145" i="20" s="1"/>
  <c r="G145" i="20" s="1"/>
  <c r="I145" i="20" s="1"/>
  <c r="D46" i="28"/>
  <c r="E15" i="20"/>
  <c r="Q80" i="20"/>
  <c r="R80" i="20" s="1"/>
  <c r="F24" i="20"/>
  <c r="O79" i="20"/>
  <c r="M89" i="20"/>
  <c r="J74" i="20"/>
  <c r="K65" i="20"/>
  <c r="K64" i="20"/>
  <c r="K73" i="20" s="1"/>
  <c r="K74" i="20" s="1"/>
  <c r="K68" i="20"/>
  <c r="K70" i="20"/>
  <c r="K69" i="20"/>
  <c r="K72" i="20"/>
  <c r="K71" i="20"/>
  <c r="K66" i="20"/>
  <c r="K67" i="20"/>
  <c r="E25" i="33"/>
  <c r="E25" i="28"/>
  <c r="O26" i="20"/>
  <c r="D15" i="33"/>
  <c r="D15" i="28"/>
  <c r="J16" i="33"/>
  <c r="J16" i="28"/>
  <c r="L15" i="33"/>
  <c r="L15" i="28"/>
  <c r="K135" i="20"/>
  <c r="M135" i="20"/>
  <c r="L26" i="20" s="1"/>
  <c r="G135" i="20"/>
  <c r="D24" i="28"/>
  <c r="Q25" i="20"/>
  <c r="O15" i="20"/>
  <c r="E16" i="33"/>
  <c r="E16" i="28"/>
  <c r="K15" i="33"/>
  <c r="K15" i="28"/>
  <c r="E13" i="33"/>
  <c r="E13" i="28"/>
  <c r="P12" i="33"/>
  <c r="P12" i="28"/>
  <c r="C22" i="15"/>
  <c r="L61" i="15"/>
  <c r="E74" i="34"/>
  <c r="S67" i="34"/>
  <c r="S73" i="34"/>
  <c r="S70" i="34"/>
  <c r="F74" i="34"/>
  <c r="S64" i="34"/>
  <c r="T52" i="34"/>
  <c r="S69" i="34"/>
  <c r="T70" i="34" s="1"/>
  <c r="U51" i="34"/>
  <c r="S66" i="34"/>
  <c r="D74" i="34"/>
  <c r="S71" i="34"/>
  <c r="T55" i="34"/>
  <c r="S68" i="34"/>
  <c r="S72" i="34"/>
  <c r="S65" i="34"/>
  <c r="H74" i="34"/>
  <c r="K74" i="34"/>
  <c r="C74" i="34"/>
  <c r="S56" i="34"/>
  <c r="U47" i="34" s="1"/>
  <c r="S63" i="34"/>
  <c r="U45" i="34"/>
  <c r="S59" i="34"/>
  <c r="T50" i="34"/>
  <c r="Y50" i="34" s="1"/>
  <c r="S57" i="34"/>
  <c r="W46" i="34" s="1"/>
  <c r="S60" i="34"/>
  <c r="C12" i="28" l="1"/>
  <c r="D144" i="20"/>
  <c r="K16" i="28"/>
  <c r="K16" i="33"/>
  <c r="E24" i="33"/>
  <c r="O25" i="20"/>
  <c r="E24" i="28"/>
  <c r="D11" i="20"/>
  <c r="D12" i="20" s="1"/>
  <c r="P14" i="28"/>
  <c r="P14" i="33"/>
  <c r="P46" i="33" s="1"/>
  <c r="L16" i="33"/>
  <c r="L49" i="33" s="1"/>
  <c r="L16" i="28"/>
  <c r="L49" i="28" s="1"/>
  <c r="I24" i="20"/>
  <c r="J25" i="33"/>
  <c r="J25" i="28"/>
  <c r="D15" i="20"/>
  <c r="Q79" i="20"/>
  <c r="L25" i="28"/>
  <c r="L25" i="33"/>
  <c r="P74" i="20"/>
  <c r="P25" i="33"/>
  <c r="P25" i="28"/>
  <c r="G127" i="20"/>
  <c r="H127" i="20"/>
  <c r="F127" i="20"/>
  <c r="R12" i="28"/>
  <c r="R12" i="33"/>
  <c r="D14" i="20"/>
  <c r="P79" i="20"/>
  <c r="P89" i="20" s="1"/>
  <c r="L134" i="20"/>
  <c r="K25" i="20" s="1"/>
  <c r="I134" i="20"/>
  <c r="I14" i="33"/>
  <c r="I46" i="33" s="1"/>
  <c r="I14" i="28"/>
  <c r="E101" i="20"/>
  <c r="F101" i="20" s="1"/>
  <c r="K25" i="33"/>
  <c r="K25" i="28"/>
  <c r="I136" i="20"/>
  <c r="L136" i="20"/>
  <c r="M25" i="20" s="1"/>
  <c r="I25" i="33"/>
  <c r="I25" i="28"/>
  <c r="L12" i="33"/>
  <c r="L12" i="28"/>
  <c r="M12" i="20"/>
  <c r="D130" i="20"/>
  <c r="E15" i="28"/>
  <c r="E15" i="33"/>
  <c r="E49" i="33" s="1"/>
  <c r="O14" i="20"/>
  <c r="E100" i="20"/>
  <c r="F100" i="20" s="1"/>
  <c r="H14" i="28"/>
  <c r="H14" i="33"/>
  <c r="R12" i="20"/>
  <c r="S12" i="20"/>
  <c r="J46" i="33"/>
  <c r="H25" i="33"/>
  <c r="H25" i="28"/>
  <c r="R26" i="20"/>
  <c r="S26" i="20"/>
  <c r="J15" i="33"/>
  <c r="J49" i="33" s="1"/>
  <c r="J15" i="28"/>
  <c r="R13" i="28"/>
  <c r="R13" i="33"/>
  <c r="K13" i="28"/>
  <c r="K13" i="33"/>
  <c r="H12" i="20"/>
  <c r="G12" i="33"/>
  <c r="G12" i="28"/>
  <c r="K49" i="33"/>
  <c r="P24" i="28"/>
  <c r="P24" i="33"/>
  <c r="L24" i="20"/>
  <c r="D16" i="33"/>
  <c r="D49" i="33" s="1"/>
  <c r="D16" i="28"/>
  <c r="D49" i="28" s="1"/>
  <c r="N25" i="28"/>
  <c r="N25" i="33"/>
  <c r="N129" i="20"/>
  <c r="N128" i="20"/>
  <c r="E24" i="20"/>
  <c r="M24" i="20"/>
  <c r="N136" i="20"/>
  <c r="R66" i="20"/>
  <c r="R73" i="20" s="1"/>
  <c r="R74" i="20" s="1"/>
  <c r="J24" i="20"/>
  <c r="E97" i="20"/>
  <c r="F97" i="20" s="1"/>
  <c r="E14" i="33"/>
  <c r="E14" i="28"/>
  <c r="P46" i="28"/>
  <c r="K49" i="28"/>
  <c r="N16" i="28"/>
  <c r="N16" i="33"/>
  <c r="L135" i="20"/>
  <c r="L25" i="20" s="1"/>
  <c r="I135" i="20"/>
  <c r="E23" i="33"/>
  <c r="E57" i="33" s="1"/>
  <c r="E23" i="28"/>
  <c r="O24" i="20"/>
  <c r="I133" i="20"/>
  <c r="L133" i="20"/>
  <c r="J25" i="20" s="1"/>
  <c r="E46" i="33"/>
  <c r="E102" i="20"/>
  <c r="F102" i="20" s="1"/>
  <c r="J14" i="28"/>
  <c r="J14" i="33"/>
  <c r="Q73" i="20"/>
  <c r="Q74" i="20" s="1"/>
  <c r="L96" i="20"/>
  <c r="K96" i="20"/>
  <c r="M96" i="20"/>
  <c r="J96" i="20"/>
  <c r="I96" i="20"/>
  <c r="H46" i="33"/>
  <c r="Q12" i="33"/>
  <c r="Q12" i="28"/>
  <c r="I132" i="20"/>
  <c r="L132" i="20"/>
  <c r="I25" i="20" s="1"/>
  <c r="K24" i="20"/>
  <c r="N134" i="20"/>
  <c r="Q13" i="28"/>
  <c r="Q13" i="33"/>
  <c r="K12" i="28"/>
  <c r="L12" i="20"/>
  <c r="K12" i="33"/>
  <c r="G13" i="33"/>
  <c r="G13" i="28"/>
  <c r="U48" i="34"/>
  <c r="U50" i="34"/>
  <c r="E22" i="15"/>
  <c r="C23" i="15"/>
  <c r="E23" i="15" s="1"/>
  <c r="Y47" i="34"/>
  <c r="U49" i="34"/>
  <c r="X55" i="34"/>
  <c r="Y46" i="34"/>
  <c r="T73" i="34"/>
  <c r="X50" i="34"/>
  <c r="W50" i="34"/>
  <c r="W49" i="34"/>
  <c r="W55" i="34"/>
  <c r="W45" i="34"/>
  <c r="W54" i="34"/>
  <c r="W47" i="34"/>
  <c r="W53" i="34"/>
  <c r="W48" i="34"/>
  <c r="T68" i="34"/>
  <c r="S74" i="34"/>
  <c r="U46" i="34"/>
  <c r="U52" i="34"/>
  <c r="Y45" i="34"/>
  <c r="V50" i="34"/>
  <c r="Y48" i="34"/>
  <c r="V52" i="34"/>
  <c r="Y49" i="34"/>
  <c r="C14" i="33" l="1"/>
  <c r="C14" i="28"/>
  <c r="E95" i="20"/>
  <c r="F95" i="20" s="1"/>
  <c r="E103" i="20"/>
  <c r="F103" i="20" s="1"/>
  <c r="K14" i="33"/>
  <c r="K14" i="28"/>
  <c r="L23" i="28"/>
  <c r="L23" i="33"/>
  <c r="G14" i="33"/>
  <c r="G14" i="28"/>
  <c r="G46" i="28" s="1"/>
  <c r="E99" i="20"/>
  <c r="F99" i="20" s="1"/>
  <c r="E49" i="28"/>
  <c r="K127" i="20"/>
  <c r="I127" i="20"/>
  <c r="Q89" i="20"/>
  <c r="Q90" i="20" s="1"/>
  <c r="R79" i="20"/>
  <c r="H46" i="28"/>
  <c r="N24" i="28"/>
  <c r="N24" i="33"/>
  <c r="K46" i="28"/>
  <c r="J23" i="33"/>
  <c r="J23" i="28"/>
  <c r="X96" i="20"/>
  <c r="E22" i="20" s="1"/>
  <c r="I24" i="28"/>
  <c r="I24" i="33"/>
  <c r="I97" i="20"/>
  <c r="L97" i="20" s="1"/>
  <c r="S66" i="20"/>
  <c r="N135" i="20"/>
  <c r="Q25" i="28"/>
  <c r="Q25" i="33"/>
  <c r="R14" i="33"/>
  <c r="R14" i="28"/>
  <c r="R46" i="28" s="1"/>
  <c r="M100" i="20"/>
  <c r="J100" i="20"/>
  <c r="H130" i="20"/>
  <c r="M130" i="20" s="1"/>
  <c r="G26" i="20" s="1"/>
  <c r="F130" i="20"/>
  <c r="L130" i="20"/>
  <c r="G25" i="20" s="1"/>
  <c r="L46" i="33"/>
  <c r="M127" i="20"/>
  <c r="D26" i="20" s="1"/>
  <c r="H138" i="20"/>
  <c r="C16" i="28"/>
  <c r="C16" i="33"/>
  <c r="E57" i="28"/>
  <c r="R46" i="33"/>
  <c r="C15" i="33"/>
  <c r="C49" i="33" s="1"/>
  <c r="C15" i="28"/>
  <c r="H24" i="33"/>
  <c r="H24" i="28"/>
  <c r="R25" i="20"/>
  <c r="S25" i="20"/>
  <c r="I23" i="33"/>
  <c r="I23" i="28"/>
  <c r="Q24" i="20"/>
  <c r="D23" i="28"/>
  <c r="K23" i="33"/>
  <c r="K23" i="28"/>
  <c r="J49" i="28"/>
  <c r="Q14" i="33"/>
  <c r="Q46" i="33" s="1"/>
  <c r="Q14" i="28"/>
  <c r="N15" i="28"/>
  <c r="N15" i="33"/>
  <c r="N49" i="33" s="1"/>
  <c r="L24" i="28"/>
  <c r="L24" i="33"/>
  <c r="M101" i="20"/>
  <c r="J101" i="20"/>
  <c r="J24" i="28"/>
  <c r="J24" i="33"/>
  <c r="L127" i="20"/>
  <c r="D25" i="20" s="1"/>
  <c r="C24" i="28" s="1"/>
  <c r="G138" i="20"/>
  <c r="E46" i="28"/>
  <c r="I46" i="28"/>
  <c r="H23" i="28"/>
  <c r="S24" i="20"/>
  <c r="R24" i="20"/>
  <c r="H23" i="33"/>
  <c r="H57" i="33" s="1"/>
  <c r="C13" i="33"/>
  <c r="C12" i="33" s="1"/>
  <c r="C46" i="33" s="1"/>
  <c r="C13" i="28"/>
  <c r="C46" i="28"/>
  <c r="K24" i="28"/>
  <c r="K24" i="33"/>
  <c r="R25" i="33"/>
  <c r="R25" i="28"/>
  <c r="L144" i="20"/>
  <c r="E28" i="20" s="1"/>
  <c r="N144" i="20"/>
  <c r="E30" i="20" s="1"/>
  <c r="G144" i="20"/>
  <c r="K46" i="33"/>
  <c r="N96" i="20"/>
  <c r="V96" i="20" s="1"/>
  <c r="E20" i="20" s="1"/>
  <c r="T96" i="20"/>
  <c r="E18" i="20" s="1"/>
  <c r="W96" i="20"/>
  <c r="E21" i="20" s="1"/>
  <c r="K102" i="20"/>
  <c r="L102" i="20"/>
  <c r="I102" i="20"/>
  <c r="M102" i="20"/>
  <c r="J102" i="20"/>
  <c r="N23" i="28"/>
  <c r="N23" i="33"/>
  <c r="N57" i="33" s="1"/>
  <c r="N133" i="20"/>
  <c r="G46" i="33"/>
  <c r="L14" i="33"/>
  <c r="L14" i="28"/>
  <c r="E104" i="20"/>
  <c r="F104" i="20" s="1"/>
  <c r="J46" i="28"/>
  <c r="P90" i="20"/>
  <c r="D138" i="20"/>
  <c r="S73" i="20"/>
  <c r="S74" i="20" s="1"/>
  <c r="N132" i="20"/>
  <c r="W56" i="34"/>
  <c r="Z49" i="34"/>
  <c r="U56" i="34"/>
  <c r="D20" i="33" l="1"/>
  <c r="D20" i="28"/>
  <c r="Q20" i="20"/>
  <c r="K57" i="28"/>
  <c r="Q24" i="33"/>
  <c r="Q24" i="28"/>
  <c r="N100" i="20"/>
  <c r="D22" i="28"/>
  <c r="Q22" i="20"/>
  <c r="D22" i="33"/>
  <c r="L57" i="28"/>
  <c r="L104" i="20"/>
  <c r="I104" i="20"/>
  <c r="D150" i="20"/>
  <c r="D21" i="28"/>
  <c r="Q21" i="20"/>
  <c r="D21" i="33"/>
  <c r="I144" i="20"/>
  <c r="M144" i="20"/>
  <c r="E29" i="20" s="1"/>
  <c r="Q23" i="33"/>
  <c r="Q23" i="28"/>
  <c r="D149" i="20"/>
  <c r="N49" i="28"/>
  <c r="K57" i="33"/>
  <c r="L46" i="28"/>
  <c r="F24" i="33"/>
  <c r="F24" i="28"/>
  <c r="D148" i="20"/>
  <c r="R89" i="20"/>
  <c r="N127" i="20"/>
  <c r="D24" i="20"/>
  <c r="C23" i="28" s="1"/>
  <c r="U96" i="20"/>
  <c r="E19" i="20" s="1"/>
  <c r="K95" i="20"/>
  <c r="J95" i="20"/>
  <c r="M95" i="20"/>
  <c r="D143" i="20" s="1"/>
  <c r="I95" i="20"/>
  <c r="L95" i="20"/>
  <c r="N97" i="20"/>
  <c r="T97" i="20"/>
  <c r="F18" i="20" s="1"/>
  <c r="I99" i="20"/>
  <c r="L99" i="20"/>
  <c r="N102" i="20"/>
  <c r="V102" i="20" s="1"/>
  <c r="K20" i="20" s="1"/>
  <c r="D18" i="28"/>
  <c r="Q18" i="20"/>
  <c r="D18" i="33"/>
  <c r="D28" i="28"/>
  <c r="D28" i="33"/>
  <c r="R23" i="33"/>
  <c r="R23" i="28"/>
  <c r="D57" i="28"/>
  <c r="I130" i="20"/>
  <c r="I138" i="20" s="1"/>
  <c r="K130" i="20"/>
  <c r="I57" i="33"/>
  <c r="J57" i="28"/>
  <c r="N101" i="20"/>
  <c r="U101" i="20" s="1"/>
  <c r="J19" i="20" s="1"/>
  <c r="I57" i="28"/>
  <c r="I103" i="20"/>
  <c r="L103" i="20"/>
  <c r="N57" i="28"/>
  <c r="W102" i="20"/>
  <c r="K21" i="20" s="1"/>
  <c r="D26" i="33"/>
  <c r="D26" i="28"/>
  <c r="H57" i="28"/>
  <c r="P23" i="33"/>
  <c r="P57" i="33" s="1"/>
  <c r="P23" i="28"/>
  <c r="R24" i="28"/>
  <c r="R24" i="33"/>
  <c r="R57" i="33" s="1"/>
  <c r="C49" i="28"/>
  <c r="Q46" i="28"/>
  <c r="C25" i="28"/>
  <c r="C25" i="33"/>
  <c r="C23" i="33" s="1"/>
  <c r="C57" i="33" s="1"/>
  <c r="F25" i="28"/>
  <c r="F25" i="33"/>
  <c r="G11" i="20"/>
  <c r="F13" i="28" s="1"/>
  <c r="G10" i="20"/>
  <c r="J57" i="33"/>
  <c r="F138" i="20"/>
  <c r="L57" i="33"/>
  <c r="I19" i="33" l="1"/>
  <c r="I19" i="28"/>
  <c r="N143" i="20"/>
  <c r="D30" i="20" s="1"/>
  <c r="L143" i="20"/>
  <c r="D28" i="20" s="1"/>
  <c r="G143" i="20"/>
  <c r="J20" i="33"/>
  <c r="J20" i="28"/>
  <c r="P21" i="33"/>
  <c r="P21" i="28"/>
  <c r="N104" i="20"/>
  <c r="T104" i="20"/>
  <c r="M18" i="20" s="1"/>
  <c r="V100" i="20"/>
  <c r="I20" i="20" s="1"/>
  <c r="W100" i="20"/>
  <c r="I21" i="20" s="1"/>
  <c r="T100" i="20"/>
  <c r="I18" i="20" s="1"/>
  <c r="W103" i="20"/>
  <c r="L21" i="20" s="1"/>
  <c r="O18" i="20"/>
  <c r="E18" i="33"/>
  <c r="E18" i="28"/>
  <c r="V95" i="20"/>
  <c r="D20" i="20" s="1"/>
  <c r="Q57" i="28"/>
  <c r="Q57" i="33"/>
  <c r="T102" i="20"/>
  <c r="K18" i="20" s="1"/>
  <c r="D19" i="28"/>
  <c r="D54" i="28" s="1"/>
  <c r="D19" i="33"/>
  <c r="D54" i="33" s="1"/>
  <c r="Q19" i="20"/>
  <c r="P57" i="28"/>
  <c r="P18" i="28"/>
  <c r="P18" i="33"/>
  <c r="W99" i="20"/>
  <c r="H21" i="20" s="1"/>
  <c r="G21" i="28" s="1"/>
  <c r="U102" i="20"/>
  <c r="K19" i="20" s="1"/>
  <c r="C57" i="28"/>
  <c r="F148" i="20"/>
  <c r="H148" i="20"/>
  <c r="N148" i="20" s="1"/>
  <c r="I30" i="20" s="1"/>
  <c r="G148" i="20"/>
  <c r="M148" i="20" s="1"/>
  <c r="I29" i="20" s="1"/>
  <c r="J149" i="20"/>
  <c r="G149" i="20"/>
  <c r="M149" i="20" s="1"/>
  <c r="J29" i="20" s="1"/>
  <c r="H149" i="20"/>
  <c r="N149" i="20" s="1"/>
  <c r="J30" i="20" s="1"/>
  <c r="F149" i="20"/>
  <c r="D27" i="33"/>
  <c r="N29" i="20"/>
  <c r="D27" i="28"/>
  <c r="W104" i="20"/>
  <c r="M21" i="20" s="1"/>
  <c r="U100" i="20"/>
  <c r="I19" i="20" s="1"/>
  <c r="J21" i="33"/>
  <c r="J21" i="28"/>
  <c r="V101" i="20"/>
  <c r="J20" i="20" s="1"/>
  <c r="W101" i="20"/>
  <c r="J21" i="20" s="1"/>
  <c r="T101" i="20"/>
  <c r="J18" i="20" s="1"/>
  <c r="N95" i="20"/>
  <c r="T95" i="20"/>
  <c r="D18" i="20" s="1"/>
  <c r="R90" i="20"/>
  <c r="S90" i="20" s="1"/>
  <c r="S89" i="20"/>
  <c r="X102" i="20"/>
  <c r="K22" i="20" s="1"/>
  <c r="P20" i="33"/>
  <c r="P20" i="28"/>
  <c r="T103" i="20"/>
  <c r="L18" i="20" s="1"/>
  <c r="N103" i="20"/>
  <c r="G24" i="20"/>
  <c r="N130" i="20"/>
  <c r="R57" i="28"/>
  <c r="U97" i="20"/>
  <c r="F19" i="20" s="1"/>
  <c r="X97" i="20"/>
  <c r="F22" i="20" s="1"/>
  <c r="V97" i="20"/>
  <c r="F20" i="20" s="1"/>
  <c r="X95" i="20"/>
  <c r="D22" i="20" s="1"/>
  <c r="F12" i="33"/>
  <c r="F12" i="28"/>
  <c r="G12" i="20"/>
  <c r="D60" i="33"/>
  <c r="N99" i="20"/>
  <c r="T99" i="20" s="1"/>
  <c r="H18" i="20" s="1"/>
  <c r="G18" i="28" s="1"/>
  <c r="W95" i="20"/>
  <c r="D21" i="20" s="1"/>
  <c r="U95" i="20"/>
  <c r="D19" i="20" s="1"/>
  <c r="X100" i="20"/>
  <c r="I22" i="20" s="1"/>
  <c r="X101" i="20"/>
  <c r="J22" i="20" s="1"/>
  <c r="G150" i="20"/>
  <c r="L150" i="20"/>
  <c r="K28" i="20" s="1"/>
  <c r="N150" i="20"/>
  <c r="K30" i="20" s="1"/>
  <c r="P22" i="33"/>
  <c r="P22" i="28"/>
  <c r="W97" i="20"/>
  <c r="F21" i="20" s="1"/>
  <c r="J28" i="33" l="1"/>
  <c r="J28" i="28"/>
  <c r="M27" i="28"/>
  <c r="M27" i="33"/>
  <c r="M60" i="33" s="1"/>
  <c r="L148" i="20"/>
  <c r="I28" i="20" s="1"/>
  <c r="I148" i="20"/>
  <c r="J148" i="20"/>
  <c r="L18" i="33"/>
  <c r="L18" i="28"/>
  <c r="E19" i="28"/>
  <c r="O19" i="20"/>
  <c r="E19" i="33"/>
  <c r="I21" i="33"/>
  <c r="I21" i="28"/>
  <c r="H19" i="28"/>
  <c r="R19" i="20"/>
  <c r="H19" i="33"/>
  <c r="S19" i="20"/>
  <c r="H18" i="33"/>
  <c r="H18" i="28"/>
  <c r="S18" i="20"/>
  <c r="R18" i="20"/>
  <c r="U104" i="20"/>
  <c r="M19" i="20" s="1"/>
  <c r="X104" i="20"/>
  <c r="M22" i="20" s="1"/>
  <c r="V104" i="20"/>
  <c r="M20" i="20" s="1"/>
  <c r="C28" i="28"/>
  <c r="C28" i="33"/>
  <c r="O22" i="20"/>
  <c r="E22" i="33"/>
  <c r="E22" i="28"/>
  <c r="I18" i="33"/>
  <c r="I54" i="33" s="1"/>
  <c r="I18" i="28"/>
  <c r="I27" i="33"/>
  <c r="I27" i="28"/>
  <c r="K21" i="28"/>
  <c r="K21" i="33"/>
  <c r="J26" i="33"/>
  <c r="J26" i="28"/>
  <c r="C22" i="33"/>
  <c r="C22" i="28"/>
  <c r="F23" i="33"/>
  <c r="F57" i="33" s="1"/>
  <c r="F23" i="28"/>
  <c r="C18" i="33"/>
  <c r="C18" i="28"/>
  <c r="I150" i="20"/>
  <c r="M150" i="20"/>
  <c r="K29" i="20" s="1"/>
  <c r="C19" i="33"/>
  <c r="C54" i="33" s="1"/>
  <c r="C19" i="28"/>
  <c r="F14" i="33"/>
  <c r="F13" i="33" s="1"/>
  <c r="F46" i="33" s="1"/>
  <c r="F14" i="28"/>
  <c r="E98" i="20"/>
  <c r="F98" i="20" s="1"/>
  <c r="X103" i="20"/>
  <c r="L22" i="20" s="1"/>
  <c r="V103" i="20"/>
  <c r="L20" i="20" s="1"/>
  <c r="U103" i="20"/>
  <c r="L19" i="20" s="1"/>
  <c r="J22" i="28"/>
  <c r="J22" i="33"/>
  <c r="I20" i="33"/>
  <c r="I20" i="28"/>
  <c r="L21" i="28"/>
  <c r="L21" i="33"/>
  <c r="L149" i="20"/>
  <c r="J28" i="20" s="1"/>
  <c r="I26" i="28" s="1"/>
  <c r="I149" i="20"/>
  <c r="H27" i="33"/>
  <c r="S29" i="20"/>
  <c r="H27" i="28"/>
  <c r="R29" i="20"/>
  <c r="J18" i="33"/>
  <c r="J18" i="28"/>
  <c r="H21" i="28"/>
  <c r="R21" i="20"/>
  <c r="S21" i="20"/>
  <c r="H21" i="33"/>
  <c r="M143" i="20"/>
  <c r="D29" i="20" s="1"/>
  <c r="I143" i="20"/>
  <c r="H22" i="28"/>
  <c r="S22" i="20"/>
  <c r="R22" i="20"/>
  <c r="H22" i="33"/>
  <c r="C20" i="33"/>
  <c r="C20" i="28"/>
  <c r="E21" i="28"/>
  <c r="O21" i="20"/>
  <c r="E21" i="33"/>
  <c r="V99" i="20"/>
  <c r="H20" i="20" s="1"/>
  <c r="X99" i="20"/>
  <c r="H22" i="20" s="1"/>
  <c r="U99" i="20"/>
  <c r="H19" i="20" s="1"/>
  <c r="I22" i="33"/>
  <c r="I22" i="28"/>
  <c r="C21" i="33"/>
  <c r="C21" i="28"/>
  <c r="F46" i="28"/>
  <c r="O20" i="20"/>
  <c r="E20" i="33"/>
  <c r="E54" i="33" s="1"/>
  <c r="E20" i="28"/>
  <c r="K18" i="28"/>
  <c r="K18" i="33"/>
  <c r="I28" i="33"/>
  <c r="I28" i="28"/>
  <c r="H28" i="33"/>
  <c r="R30" i="20"/>
  <c r="S30" i="20"/>
  <c r="H28" i="28"/>
  <c r="J19" i="28"/>
  <c r="J19" i="33"/>
  <c r="J54" i="33" s="1"/>
  <c r="D60" i="28"/>
  <c r="P19" i="33"/>
  <c r="P54" i="33" s="1"/>
  <c r="P19" i="28"/>
  <c r="N18" i="33"/>
  <c r="N18" i="28"/>
  <c r="H20" i="33"/>
  <c r="H20" i="28"/>
  <c r="R20" i="20"/>
  <c r="S20" i="20"/>
  <c r="C26" i="28"/>
  <c r="C26" i="33"/>
  <c r="J54" i="28" l="1"/>
  <c r="M98" i="20"/>
  <c r="J98" i="20"/>
  <c r="L98" i="20" s="1"/>
  <c r="K98" i="20"/>
  <c r="I98" i="20"/>
  <c r="F105" i="20"/>
  <c r="C12" i="20" s="1"/>
  <c r="L19" i="33"/>
  <c r="L19" i="28"/>
  <c r="Q28" i="33"/>
  <c r="Q28" i="28"/>
  <c r="N20" i="33"/>
  <c r="N20" i="28"/>
  <c r="G22" i="28"/>
  <c r="G22" i="33"/>
  <c r="Q22" i="28"/>
  <c r="Q22" i="33"/>
  <c r="C27" i="33"/>
  <c r="C60" i="33" s="1"/>
  <c r="C27" i="28"/>
  <c r="Q21" i="33"/>
  <c r="Q21" i="28"/>
  <c r="I60" i="28"/>
  <c r="K19" i="33"/>
  <c r="K54" i="33" s="1"/>
  <c r="K19" i="28"/>
  <c r="J27" i="33"/>
  <c r="J27" i="28"/>
  <c r="F57" i="28"/>
  <c r="J60" i="28"/>
  <c r="Q18" i="33"/>
  <c r="Q18" i="28"/>
  <c r="E54" i="28"/>
  <c r="H54" i="33"/>
  <c r="H26" i="28"/>
  <c r="S28" i="20"/>
  <c r="R28" i="20"/>
  <c r="G19" i="28"/>
  <c r="G19" i="33"/>
  <c r="G54" i="33" s="1"/>
  <c r="N21" i="33"/>
  <c r="N21" i="28"/>
  <c r="R21" i="33"/>
  <c r="R21" i="28"/>
  <c r="Q27" i="33"/>
  <c r="Q27" i="28"/>
  <c r="R19" i="33"/>
  <c r="R19" i="28"/>
  <c r="G20" i="33"/>
  <c r="G20" i="28"/>
  <c r="R22" i="28"/>
  <c r="R22" i="33"/>
  <c r="P54" i="28"/>
  <c r="R27" i="33"/>
  <c r="R27" i="28"/>
  <c r="K20" i="33"/>
  <c r="K20" i="28"/>
  <c r="J60" i="33"/>
  <c r="I26" i="33"/>
  <c r="I60" i="33" s="1"/>
  <c r="L20" i="28"/>
  <c r="L20" i="33"/>
  <c r="R18" i="33"/>
  <c r="R54" i="33" s="1"/>
  <c r="R18" i="28"/>
  <c r="Q19" i="33"/>
  <c r="Q19" i="28"/>
  <c r="R20" i="33"/>
  <c r="R20" i="28"/>
  <c r="R28" i="33"/>
  <c r="R28" i="28"/>
  <c r="Q20" i="28"/>
  <c r="Q20" i="33"/>
  <c r="C60" i="28"/>
  <c r="H26" i="33"/>
  <c r="H60" i="33" s="1"/>
  <c r="K22" i="33"/>
  <c r="K22" i="28"/>
  <c r="C54" i="28"/>
  <c r="I54" i="28"/>
  <c r="N22" i="28"/>
  <c r="N22" i="33"/>
  <c r="L22" i="33"/>
  <c r="L22" i="28"/>
  <c r="H54" i="28"/>
  <c r="N19" i="33"/>
  <c r="N54" i="33" s="1"/>
  <c r="N19" i="28"/>
  <c r="M60" i="28"/>
  <c r="L105" i="20" l="1"/>
  <c r="L54" i="33"/>
  <c r="G54" i="28"/>
  <c r="C11" i="20"/>
  <c r="C10" i="20"/>
  <c r="H60" i="28"/>
  <c r="Q54" i="28"/>
  <c r="K54" i="28"/>
  <c r="Q26" i="33"/>
  <c r="Q26" i="28"/>
  <c r="L54" i="28"/>
  <c r="Q54" i="33"/>
  <c r="N98" i="20"/>
  <c r="N105" i="20" s="1"/>
  <c r="T98" i="20"/>
  <c r="G18" i="20" s="1"/>
  <c r="F18" i="28" s="1"/>
  <c r="I105" i="20"/>
  <c r="X98" i="20"/>
  <c r="G22" i="20" s="1"/>
  <c r="F22" i="28" s="1"/>
  <c r="D146" i="20"/>
  <c r="M105" i="20"/>
  <c r="N54" i="28"/>
  <c r="U98" i="20"/>
  <c r="G19" i="20" s="1"/>
  <c r="F19" i="28" s="1"/>
  <c r="J105" i="20"/>
  <c r="R54" i="28"/>
  <c r="Q60" i="33"/>
  <c r="R26" i="28"/>
  <c r="R26" i="33"/>
  <c r="R60" i="33" s="1"/>
  <c r="V98" i="20"/>
  <c r="G20" i="20" s="1"/>
  <c r="F20" i="28" s="1"/>
  <c r="K105" i="20"/>
  <c r="Q60" i="28" l="1"/>
  <c r="R60" i="28"/>
  <c r="H146" i="20"/>
  <c r="G146" i="20"/>
  <c r="F146" i="20"/>
  <c r="D153" i="20"/>
  <c r="W98" i="20"/>
  <c r="G21" i="20" s="1"/>
  <c r="F21" i="28" s="1"/>
  <c r="M146" i="20" l="1"/>
  <c r="G29" i="20" s="1"/>
  <c r="G153" i="20"/>
  <c r="H153" i="20"/>
  <c r="N146" i="20"/>
  <c r="G30" i="20" s="1"/>
  <c r="F54" i="28"/>
  <c r="L146" i="20"/>
  <c r="G28" i="20" s="1"/>
  <c r="F153" i="20"/>
  <c r="I146" i="20"/>
  <c r="I153" i="20" s="1"/>
  <c r="F26" i="33" l="1"/>
  <c r="F26" i="28"/>
  <c r="F28" i="28"/>
  <c r="F28" i="33"/>
  <c r="F27" i="33"/>
  <c r="F27" i="28"/>
  <c r="F60" i="28" l="1"/>
  <c r="F60"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80" authorId="0" shapeId="0" xr:uid="{200D7DBD-70CA-4D34-930F-721B406C052E}">
      <text>
        <r>
          <rPr>
            <b/>
            <sz val="9"/>
            <color indexed="81"/>
            <rFont val="Tahoma"/>
            <family val="2"/>
          </rPr>
          <t>Author:</t>
        </r>
        <r>
          <rPr>
            <sz val="9"/>
            <color indexed="81"/>
            <rFont val="Tahoma"/>
            <family val="2"/>
          </rPr>
          <t xml:space="preserve">
Fluids not considered in the entire analysis</t>
        </r>
      </text>
    </comment>
    <comment ref="E182" authorId="0" shapeId="0" xr:uid="{4B4373D1-1DD7-49CE-A21F-3807425A6986}">
      <text>
        <r>
          <rPr>
            <b/>
            <sz val="8"/>
            <color indexed="81"/>
            <rFont val="Tahoma"/>
            <family val="2"/>
          </rPr>
          <t>Author:</t>
        </r>
        <r>
          <rPr>
            <sz val="8"/>
            <color indexed="81"/>
            <rFont val="Tahoma"/>
            <family val="2"/>
          </rPr>
          <t xml:space="preserve">
Amount from VW A4.
</t>
        </r>
      </text>
    </comment>
    <comment ref="H202" authorId="0" shapeId="0" xr:uid="{8F30DB0F-A6A1-41AA-913A-0600793EA3AD}">
      <text>
        <r>
          <rPr>
            <b/>
            <sz val="9"/>
            <color indexed="81"/>
            <rFont val="Tahoma"/>
            <family val="2"/>
          </rPr>
          <t>Author:</t>
        </r>
        <r>
          <rPr>
            <sz val="9"/>
            <color indexed="81"/>
            <rFont val="Tahoma"/>
            <family val="2"/>
          </rPr>
          <t xml:space="preserve">
Textiles not considered</t>
        </r>
      </text>
    </comment>
    <comment ref="H205" authorId="0" shapeId="0" xr:uid="{A71BE9AE-E334-4E4D-BC80-74E01538EE28}">
      <text>
        <r>
          <rPr>
            <b/>
            <sz val="9"/>
            <color indexed="81"/>
            <rFont val="Tahoma"/>
            <family val="2"/>
          </rPr>
          <t>Author:</t>
        </r>
        <r>
          <rPr>
            <sz val="9"/>
            <color indexed="81"/>
            <rFont val="Tahoma"/>
            <family val="2"/>
          </rPr>
          <t xml:space="preserve">
Additives not considered</t>
        </r>
      </text>
    </comment>
    <comment ref="E229" authorId="0" shapeId="0" xr:uid="{8F332B02-9A8F-48ED-B902-DAB8E2356215}">
      <text>
        <r>
          <rPr>
            <b/>
            <sz val="8"/>
            <color indexed="81"/>
            <rFont val="Tahoma"/>
            <family val="2"/>
          </rPr>
          <t>Author:</t>
        </r>
        <r>
          <rPr>
            <sz val="8"/>
            <color indexed="81"/>
            <rFont val="Tahoma"/>
            <family val="2"/>
          </rPr>
          <t xml:space="preserve">
Based on GREET, scaled to Mercedes A class assumed DIN weight</t>
        </r>
      </text>
    </comment>
    <comment ref="F229" authorId="0" shapeId="0" xr:uid="{AB475FD5-E254-4C06-99D5-A2A0C6AB8BF7}">
      <text>
        <r>
          <rPr>
            <b/>
            <sz val="8"/>
            <color indexed="81"/>
            <rFont val="Tahoma"/>
            <family val="2"/>
          </rPr>
          <t>Author:</t>
        </r>
        <r>
          <rPr>
            <sz val="8"/>
            <color indexed="81"/>
            <rFont val="Tahoma"/>
            <family val="2"/>
          </rPr>
          <t xml:space="preserve">
Based on GREET, scaled to Mercedes A class assumed DIN weight</t>
        </r>
      </text>
    </comment>
    <comment ref="AL229" authorId="0" shapeId="0" xr:uid="{27893C9A-5518-421C-A339-44826F257751}">
      <text>
        <r>
          <rPr>
            <b/>
            <sz val="8"/>
            <color indexed="81"/>
            <rFont val="Tahoma"/>
            <family val="2"/>
          </rPr>
          <t>Author:</t>
        </r>
        <r>
          <rPr>
            <sz val="8"/>
            <color indexed="81"/>
            <rFont val="Tahoma"/>
            <family val="2"/>
          </rPr>
          <t xml:space="preserve">
Based on GREET, scaled to Mercedes A class assumed DIN weight</t>
        </r>
      </text>
    </comment>
    <comment ref="AM229" authorId="0" shapeId="0" xr:uid="{178947FF-20CD-4A38-9DCE-8F5F5C9C6415}">
      <text>
        <r>
          <rPr>
            <b/>
            <sz val="8"/>
            <color indexed="81"/>
            <rFont val="Tahoma"/>
            <family val="2"/>
          </rPr>
          <t>Author:</t>
        </r>
        <r>
          <rPr>
            <sz val="8"/>
            <color indexed="81"/>
            <rFont val="Tahoma"/>
            <family val="2"/>
          </rPr>
          <t xml:space="preserve">
Based on GREET, scaled to Mercedes A class assumed DIN weight</t>
        </r>
      </text>
    </comment>
    <comment ref="E238" authorId="0" shapeId="0" xr:uid="{C17E2E37-BDBE-4670-B357-90ADEE4201BE}">
      <text>
        <r>
          <rPr>
            <b/>
            <sz val="8"/>
            <color indexed="81"/>
            <rFont val="Tahoma"/>
            <family val="2"/>
          </rPr>
          <t>Author:</t>
        </r>
        <r>
          <rPr>
            <sz val="8"/>
            <color indexed="81"/>
            <rFont val="Tahoma"/>
            <family val="2"/>
          </rPr>
          <t xml:space="preserve">
Based on GREET, scaled to Mercedes A class assumed DIN weight</t>
        </r>
      </text>
    </comment>
    <comment ref="AL238" authorId="0" shapeId="0" xr:uid="{CEEAFFEE-E598-41E6-B0AE-00090CCBA66B}">
      <text>
        <r>
          <rPr>
            <b/>
            <sz val="8"/>
            <color indexed="81"/>
            <rFont val="Tahoma"/>
            <family val="2"/>
          </rPr>
          <t>Author:</t>
        </r>
        <r>
          <rPr>
            <sz val="8"/>
            <color indexed="81"/>
            <rFont val="Tahoma"/>
            <family val="2"/>
          </rPr>
          <t xml:space="preserve">
Based on GREET, scaled to Mercedes A class assumed DIN weight</t>
        </r>
      </text>
    </comment>
    <comment ref="L271" authorId="0" shapeId="0" xr:uid="{8CA9D30A-41B6-4FFF-B0AE-BD3D4651F194}">
      <text>
        <r>
          <rPr>
            <b/>
            <sz val="9"/>
            <color indexed="81"/>
            <rFont val="Tahoma"/>
            <family val="2"/>
          </rPr>
          <t>Author:</t>
        </r>
        <r>
          <rPr>
            <sz val="9"/>
            <color indexed="81"/>
            <rFont val="Tahoma"/>
            <family val="2"/>
          </rPr>
          <t xml:space="preserve">
Vehicle fluids excluded from MFA</t>
        </r>
      </text>
    </comment>
    <comment ref="AH296" authorId="0" shapeId="0" xr:uid="{66D89943-6D90-4E87-8612-50628013BEB6}">
      <text>
        <r>
          <rPr>
            <b/>
            <sz val="8"/>
            <color indexed="81"/>
            <rFont val="Tahoma"/>
            <family val="2"/>
          </rPr>
          <t>Author:</t>
        </r>
        <r>
          <rPr>
            <sz val="8"/>
            <color indexed="81"/>
            <rFont val="Tahoma"/>
            <family val="2"/>
          </rPr>
          <t xml:space="preserve">
Maintained from GREET,no copper in the MUSES estimate.
</t>
        </r>
      </text>
    </comment>
    <comment ref="M319" authorId="0" shapeId="0" xr:uid="{E0FCA9F4-1EF0-418E-8438-502AAC6F37D1}">
      <text>
        <r>
          <rPr>
            <b/>
            <sz val="8"/>
            <color indexed="81"/>
            <rFont val="Tahoma"/>
            <family val="2"/>
          </rPr>
          <t>Author:</t>
        </r>
        <r>
          <rPr>
            <sz val="8"/>
            <color indexed="81"/>
            <rFont val="Tahoma"/>
            <family val="2"/>
          </rPr>
          <t xml:space="preserve">
GREET value removed, assumed to be covered by the other exterior categories.</t>
        </r>
      </text>
    </comment>
    <comment ref="U319" authorId="0" shapeId="0" xr:uid="{7FFAC1DC-E025-4BC7-88A1-059307829115}">
      <text>
        <r>
          <rPr>
            <b/>
            <sz val="8"/>
            <color indexed="81"/>
            <rFont val="Tahoma"/>
            <family val="2"/>
          </rPr>
          <t>Author:</t>
        </r>
        <r>
          <rPr>
            <sz val="8"/>
            <color indexed="81"/>
            <rFont val="Tahoma"/>
            <family val="2"/>
          </rPr>
          <t xml:space="preserve">
Set to zero, these values assumed to be covered by thte other Dash Board components listed in IDIS.</t>
        </r>
      </text>
    </comment>
    <comment ref="Z319" authorId="0" shapeId="0" xr:uid="{3E7516A0-6F6F-42B3-A92F-8B09CBDFFA08}">
      <text>
        <r>
          <rPr>
            <b/>
            <sz val="8"/>
            <color indexed="81"/>
            <rFont val="Tahoma"/>
            <family val="2"/>
          </rPr>
          <t>Author:</t>
        </r>
        <r>
          <rPr>
            <sz val="8"/>
            <color indexed="81"/>
            <rFont val="Tahoma"/>
            <family val="2"/>
          </rPr>
          <t xml:space="preserve">
Reduced by the mass of the A, B, C post and sill finishers.</t>
        </r>
      </text>
    </comment>
    <comment ref="AA319" authorId="0" shapeId="0" xr:uid="{DA51C8C5-BAA4-459E-883C-95F38EB55F03}">
      <text>
        <r>
          <rPr>
            <b/>
            <sz val="8"/>
            <color indexed="81"/>
            <rFont val="Tahoma"/>
            <family val="2"/>
          </rPr>
          <t>Author:</t>
        </r>
        <r>
          <rPr>
            <sz val="8"/>
            <color indexed="81"/>
            <rFont val="Tahoma"/>
            <family val="2"/>
          </rPr>
          <t xml:space="preserve">
Mercedes A class</t>
        </r>
      </text>
    </comment>
    <comment ref="AG319" authorId="0" shapeId="0" xr:uid="{ECAC3DD9-176D-4AAA-9D1B-62A1DB8F146E}">
      <text>
        <r>
          <rPr>
            <b/>
            <sz val="8"/>
            <color indexed="81"/>
            <rFont val="Tahoma"/>
            <family val="2"/>
          </rPr>
          <t>Author:</t>
        </r>
        <r>
          <rPr>
            <sz val="8"/>
            <color indexed="81"/>
            <rFont val="Tahoma"/>
            <family val="2"/>
          </rPr>
          <t xml:space="preserve">
Reduced by the amount of the IDIS seat-related data less the GREET organic contribution which was deleted.</t>
        </r>
      </text>
    </comment>
    <comment ref="N320" authorId="0" shapeId="0" xr:uid="{3F280DC2-6387-4C60-A7DA-129EA0FEB58E}">
      <text>
        <r>
          <rPr>
            <b/>
            <sz val="8"/>
            <color indexed="81"/>
            <rFont val="Tahoma"/>
            <family val="2"/>
          </rPr>
          <t>Author:</t>
        </r>
        <r>
          <rPr>
            <sz val="8"/>
            <color indexed="81"/>
            <rFont val="Tahoma"/>
            <family val="2"/>
          </rPr>
          <t xml:space="preserve">
Half of the GREET value because some of this material is assumed to be included in the under body finisher.</t>
        </r>
      </text>
    </comment>
    <comment ref="G333" authorId="0" shapeId="0" xr:uid="{668356BF-2B8E-4C71-A91A-45F6B0E79B04}">
      <text>
        <r>
          <rPr>
            <b/>
            <sz val="8"/>
            <color indexed="81"/>
            <rFont val="Tahoma"/>
            <family val="2"/>
          </rPr>
          <t>Author:</t>
        </r>
        <r>
          <rPr>
            <sz val="8"/>
            <color indexed="81"/>
            <rFont val="Tahoma"/>
            <family val="2"/>
          </rPr>
          <t xml:space="preserve">
Set equal to the value used for the mercedes transmission, output shaft w/ gears.</t>
        </r>
      </text>
    </comment>
    <comment ref="V336" authorId="0" shapeId="0" xr:uid="{9D37D021-D3E0-4506-A236-F0DC25321671}">
      <text>
        <r>
          <rPr>
            <b/>
            <sz val="9"/>
            <color indexed="81"/>
            <rFont val="Tahoma"/>
            <family val="2"/>
          </rPr>
          <t>Author:</t>
        </r>
        <r>
          <rPr>
            <sz val="9"/>
            <color indexed="81"/>
            <rFont val="Tahoma"/>
            <family val="2"/>
          </rPr>
          <t xml:space="preserve">
Wood taken out</t>
        </r>
      </text>
    </comment>
    <comment ref="B346" authorId="0" shapeId="0" xr:uid="{07D4DB36-5BDC-4662-9DC3-85A4DF5ECFE9}">
      <text>
        <r>
          <rPr>
            <b/>
            <sz val="8"/>
            <color indexed="81"/>
            <rFont val="Tahoma"/>
            <family val="2"/>
          </rPr>
          <t>Author:</t>
        </r>
        <r>
          <rPr>
            <sz val="8"/>
            <color indexed="81"/>
            <rFont val="Tahoma"/>
            <family val="2"/>
          </rPr>
          <t xml:space="preserve">
Adjustment for the sintering process.</t>
        </r>
      </text>
    </comment>
    <comment ref="Y348" authorId="0" shapeId="0" xr:uid="{197CF6E9-49FD-4DE4-B374-CB2CFA00D616}">
      <text>
        <r>
          <rPr>
            <b/>
            <sz val="9"/>
            <color indexed="81"/>
            <rFont val="Tahoma"/>
            <family val="2"/>
          </rPr>
          <t>Author:</t>
        </r>
        <r>
          <rPr>
            <sz val="9"/>
            <color indexed="81"/>
            <rFont val="Tahoma"/>
            <family val="2"/>
          </rPr>
          <t xml:space="preserve">
Wood excluded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4" authorId="0" shapeId="0" xr:uid="{BAF7C134-8AC1-48C1-BEC0-4672A28D47B2}">
      <text>
        <r>
          <rPr>
            <b/>
            <sz val="9"/>
            <color indexed="81"/>
            <rFont val="Tahoma"/>
            <family val="2"/>
          </rPr>
          <t>Author:</t>
        </r>
        <r>
          <rPr>
            <sz val="9"/>
            <color indexed="81"/>
            <rFont val="Tahoma"/>
            <family val="2"/>
          </rPr>
          <t xml:space="preserve">
Input of ELVs not sensitive on transfercoefficients, which are derived, as long as model is mass balance and consistency is taken into account</t>
        </r>
      </text>
    </comment>
    <comment ref="E16" authorId="0" shapeId="0" xr:uid="{FC47D6AB-9621-49C7-8EC8-57E76C408826}">
      <text>
        <r>
          <rPr>
            <b/>
            <sz val="9"/>
            <color indexed="81"/>
            <rFont val="Tahoma"/>
            <family val="2"/>
          </rPr>
          <t>Author:</t>
        </r>
        <r>
          <rPr>
            <sz val="9"/>
            <color indexed="81"/>
            <rFont val="Tahoma"/>
            <family val="2"/>
          </rPr>
          <t xml:space="preserve">
Copper components, cables, oil filters, etc. are excluded see table S3.
</t>
        </r>
      </text>
    </comment>
    <comment ref="F23" authorId="0" shapeId="0" xr:uid="{8AB8CEB1-FEA5-44A8-9577-0D9EE3093028}">
      <text>
        <r>
          <rPr>
            <b/>
            <sz val="9"/>
            <color indexed="81"/>
            <rFont val="Tahoma"/>
            <family val="2"/>
          </rPr>
          <t>Author:</t>
        </r>
        <r>
          <rPr>
            <sz val="9"/>
            <color indexed="81"/>
            <rFont val="Tahoma"/>
            <family val="2"/>
          </rPr>
          <t xml:space="preserve">
Temporal effect is assumed to be medium, as existing infrastructure and international prices determine how much of the scrap is exported.</t>
        </r>
      </text>
    </comment>
    <comment ref="D29" authorId="0" shapeId="0" xr:uid="{0E4C4FE0-E1C4-4690-A798-56AC51B17620}">
      <text>
        <r>
          <rPr>
            <b/>
            <sz val="9"/>
            <color indexed="81"/>
            <rFont val="Tahoma"/>
            <family val="2"/>
          </rPr>
          <t>Author:</t>
        </r>
        <r>
          <rPr>
            <sz val="9"/>
            <color indexed="81"/>
            <rFont val="Tahoma"/>
            <family val="2"/>
          </rPr>
          <t xml:space="preserve">
Data not directly reported, but derived from other flows, see S16</t>
        </r>
      </text>
    </comment>
    <comment ref="F29" authorId="0" shapeId="0" xr:uid="{8678A421-1137-4B7A-AB33-EA9F403ECEB3}">
      <text>
        <r>
          <rPr>
            <b/>
            <sz val="9"/>
            <color indexed="81"/>
            <rFont val="Tahoma"/>
            <family val="2"/>
          </rPr>
          <t>Author:</t>
        </r>
        <r>
          <rPr>
            <sz val="9"/>
            <color indexed="81"/>
            <rFont val="Tahoma"/>
            <family val="2"/>
          </rPr>
          <t xml:space="preserve">
based on data from 2007  and older.</t>
        </r>
      </text>
    </comment>
    <comment ref="D59" authorId="0" shapeId="0" xr:uid="{7601691D-8C88-4CFD-8454-B7D9A231475F}">
      <text>
        <r>
          <rPr>
            <b/>
            <sz val="9"/>
            <color indexed="81"/>
            <rFont val="Tahoma"/>
            <family val="2"/>
          </rPr>
          <t>Author:</t>
        </r>
        <r>
          <rPr>
            <sz val="9"/>
            <color indexed="81"/>
            <rFont val="Tahoma"/>
            <family val="2"/>
          </rPr>
          <t xml:space="preserve">
not fully clear, how transfer coefficients were calculated for table S4</t>
        </r>
      </text>
    </comment>
    <comment ref="F59" authorId="0" shapeId="0" xr:uid="{79021E8B-1B47-487E-AD46-66758F1FE332}">
      <text>
        <r>
          <rPr>
            <b/>
            <sz val="9"/>
            <color indexed="81"/>
            <rFont val="Tahoma"/>
            <family val="2"/>
          </rPr>
          <t>Author:</t>
        </r>
        <r>
          <rPr>
            <sz val="9"/>
            <color indexed="81"/>
            <rFont val="Tahoma"/>
            <family val="2"/>
          </rPr>
          <t xml:space="preserve">
Based on data, which is based on sources from 2008.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0" authorId="0" shapeId="0" xr:uid="{5AB0BC47-DAFE-4149-B034-061674C59BED}">
      <text>
        <r>
          <rPr>
            <b/>
            <sz val="9"/>
            <color indexed="81"/>
            <rFont val="Tahoma"/>
            <family val="2"/>
          </rPr>
          <t>Author:</t>
        </r>
        <r>
          <rPr>
            <sz val="9"/>
            <color indexed="81"/>
            <rFont val="Tahoma"/>
            <family val="2"/>
          </rPr>
          <t xml:space="preserve">
For establishing the mass balance (the inputs of ELVs were kept constant at 230.000 units of ELVs)</t>
        </r>
      </text>
    </comment>
    <comment ref="M43" authorId="0" shapeId="0" xr:uid="{8A6C5A87-DA98-48DB-943B-84850B654556}">
      <text>
        <r>
          <rPr>
            <b/>
            <sz val="9"/>
            <color indexed="81"/>
            <rFont val="Tahoma"/>
            <family val="2"/>
          </rPr>
          <t>Author:</t>
        </r>
        <r>
          <rPr>
            <sz val="9"/>
            <color indexed="81"/>
            <rFont val="Tahoma"/>
            <family val="2"/>
          </rPr>
          <t xml:space="preserve">
Incineration and related processes, are outside of the system boundary.</t>
        </r>
      </text>
    </comment>
    <comment ref="M47" authorId="0" shapeId="0" xr:uid="{6DEECE47-626E-48EA-B2A6-B0F03CFD98F8}">
      <text>
        <r>
          <rPr>
            <b/>
            <sz val="9"/>
            <color indexed="81"/>
            <rFont val="Tahoma"/>
            <family val="2"/>
          </rPr>
          <t>Author:</t>
        </r>
        <r>
          <rPr>
            <sz val="9"/>
            <color indexed="81"/>
            <rFont val="Tahoma"/>
            <family val="2"/>
          </rPr>
          <t xml:space="preserve">
Incineration and related processes, are outside of the system boundary.
</t>
        </r>
      </text>
    </comment>
    <comment ref="Q53" authorId="0" shapeId="0" xr:uid="{682DB23C-9479-4B98-BDE9-5B972266370D}">
      <text>
        <r>
          <rPr>
            <b/>
            <sz val="9"/>
            <color indexed="81"/>
            <rFont val="Tahoma"/>
            <family val="2"/>
          </rPr>
          <t>Author:</t>
        </r>
        <r>
          <rPr>
            <sz val="9"/>
            <color indexed="81"/>
            <rFont val="Tahoma"/>
            <family val="2"/>
          </rPr>
          <t xml:space="preserve">
Due to the size of the steel industry, steel from ELV represents only a limited input, which also means that closed-loop recycling is limited, e.g. for Sweden the steel from ELV represents only 5% of total steel produced (Andersson et al., 2017).</t>
        </r>
      </text>
    </comment>
    <comment ref="Q54" authorId="0" shapeId="0" xr:uid="{7FF3ED28-97FA-4FE8-9E40-D3A2C9A9C489}">
      <text>
        <r>
          <rPr>
            <b/>
            <sz val="9"/>
            <color indexed="81"/>
            <rFont val="Tahoma"/>
            <family val="2"/>
          </rPr>
          <t>Author:</t>
        </r>
        <r>
          <rPr>
            <sz val="9"/>
            <color indexed="81"/>
            <rFont val="Tahoma"/>
            <family val="2"/>
          </rPr>
          <t xml:space="preserve">
Closed loop recycling is assumed to be 50%. As the flow was divided into closed loop recycled steel and recycled steel to other sectors, the TCs and the mass flows are divided by 2.</t>
        </r>
      </text>
    </comment>
    <comment ref="Q58" authorId="0" shapeId="0" xr:uid="{03917A65-A05B-401E-A8F7-7A8924D60E6E}">
      <text>
        <r>
          <rPr>
            <b/>
            <sz val="9"/>
            <color indexed="81"/>
            <rFont val="Tahoma"/>
            <family val="2"/>
          </rPr>
          <t>Author:</t>
        </r>
        <r>
          <rPr>
            <sz val="9"/>
            <color indexed="81"/>
            <rFont val="Tahoma"/>
            <family val="2"/>
          </rPr>
          <t xml:space="preserve">
Modaresi et al., (2012) report that the recycled cast aluminum is mainly employed in the automotive industry. With Løvik et al., (2014) reporting that 70% of all cast aluminum is secondary, the closed loop recycling rate is set to 70%, but will be also determined by the potential (based on the ICEV production in a year) to take up the recycled cast aluminum. 
</t>
        </r>
      </text>
    </comment>
    <comment ref="Q59" authorId="0" shapeId="0" xr:uid="{A3E9C5ED-23D6-4C55-A7A8-C8B2EEDB81B1}">
      <text>
        <r>
          <rPr>
            <b/>
            <sz val="9"/>
            <color indexed="81"/>
            <rFont val="Tahoma"/>
            <family val="2"/>
          </rPr>
          <t>Author:</t>
        </r>
        <r>
          <rPr>
            <sz val="9"/>
            <color indexed="81"/>
            <rFont val="Tahoma"/>
            <family val="2"/>
          </rPr>
          <t xml:space="preserve">
Modaresi et al., (2012) report that the recycled cast aluminum is mainly employed in the automotive industry. With Løvik et al., (2014) reporting that 70% of all cast aluminum is secondary, the closed loop recycling rate is set to 70%, but will be also determined by the potential (based on the ICEV production in a year) to take up the recycled cast aluminum. </t>
        </r>
      </text>
    </comment>
    <comment ref="N71" authorId="0" shapeId="0" xr:uid="{99DBCFEC-9A11-4259-88F7-D9DA8E1B6795}">
      <text>
        <r>
          <rPr>
            <b/>
            <sz val="9"/>
            <color indexed="81"/>
            <rFont val="Tahoma"/>
            <family val="2"/>
          </rPr>
          <t>Author:</t>
        </r>
        <r>
          <rPr>
            <sz val="9"/>
            <color indexed="81"/>
            <rFont val="Tahoma"/>
            <family val="2"/>
          </rPr>
          <t xml:space="preserve">
PGM not assessed specificallly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6" authorId="0" shapeId="0" xr:uid="{80DC9D16-6300-4763-B8FC-45BBCF3A4870}">
      <text>
        <r>
          <rPr>
            <b/>
            <sz val="9"/>
            <color indexed="81"/>
            <rFont val="Tahoma"/>
            <family val="2"/>
          </rPr>
          <t>Author:</t>
        </r>
        <r>
          <rPr>
            <sz val="9"/>
            <color indexed="81"/>
            <rFont val="Tahoma"/>
            <family val="2"/>
          </rPr>
          <t xml:space="preserve">
Recycling rate EU: 0%, Levedeva, N., Di Persio, F., Boon-Brett, L., 2017. Lithium ion battery value chain and related opportunities for Europe. Luxembourg. https://doi.org/10.2760/6060</t>
        </r>
      </text>
    </comment>
    <comment ref="N8" authorId="0" shapeId="0" xr:uid="{12352089-ADE0-41E3-B3D7-EA9C52F9858E}">
      <text>
        <r>
          <rPr>
            <b/>
            <sz val="9"/>
            <color indexed="81"/>
            <rFont val="Tahoma"/>
            <family val="2"/>
          </rPr>
          <t>Author:</t>
        </r>
        <r>
          <rPr>
            <sz val="9"/>
            <color indexed="81"/>
            <rFont val="Tahoma"/>
            <family val="2"/>
          </rPr>
          <t xml:space="preserve">
Assumption that 95% of Pb is directed to the heavy fraction</t>
        </r>
      </text>
    </comment>
    <comment ref="O8" authorId="0" shapeId="0" xr:uid="{E9EF3506-FAE2-4ECE-9AB8-D7667A64933F}">
      <text>
        <r>
          <rPr>
            <b/>
            <sz val="9"/>
            <color indexed="81"/>
            <rFont val="Tahoma"/>
            <family val="2"/>
          </rPr>
          <t>Author:</t>
        </r>
        <r>
          <rPr>
            <sz val="9"/>
            <color indexed="81"/>
            <rFont val="Tahoma"/>
            <family val="2"/>
          </rPr>
          <t xml:space="preserve">
assumption of diverion similar to Plastic</t>
        </r>
      </text>
    </comment>
    <comment ref="P8" authorId="0" shapeId="0" xr:uid="{A33A0C4D-59CC-4BD4-A8CA-FFC1FF4F1D3A}">
      <text>
        <r>
          <rPr>
            <b/>
            <sz val="9"/>
            <color indexed="81"/>
            <rFont val="Tahoma"/>
            <family val="2"/>
          </rPr>
          <t>Author:</t>
        </r>
        <r>
          <rPr>
            <sz val="9"/>
            <color indexed="81"/>
            <rFont val="Tahoma"/>
            <family val="2"/>
          </rPr>
          <t xml:space="preserve">
assumption that diversion is similar to Al</t>
        </r>
      </text>
    </comment>
    <comment ref="Q8" authorId="0" shapeId="0" xr:uid="{98CA074A-6A28-4637-978B-97CDB7103633}">
      <text>
        <r>
          <rPr>
            <b/>
            <sz val="9"/>
            <color indexed="81"/>
            <rFont val="Tahoma"/>
            <family val="2"/>
          </rPr>
          <t>Author:</t>
        </r>
        <r>
          <rPr>
            <sz val="9"/>
            <color indexed="81"/>
            <rFont val="Tahoma"/>
            <family val="2"/>
          </rPr>
          <t xml:space="preserve">
assumption that diversion similar to Fe</t>
        </r>
      </text>
    </comment>
    <comment ref="R8" authorId="0" shapeId="0" xr:uid="{4BC93DB2-9490-4F10-B894-9BD855C8AB26}">
      <text>
        <r>
          <rPr>
            <b/>
            <sz val="9"/>
            <color indexed="81"/>
            <rFont val="Tahoma"/>
            <family val="2"/>
          </rPr>
          <t>Author:</t>
        </r>
        <r>
          <rPr>
            <sz val="9"/>
            <color indexed="81"/>
            <rFont val="Tahoma"/>
            <family val="2"/>
          </rPr>
          <t xml:space="preserve">
assumption that diversion is similar to Al</t>
        </r>
      </text>
    </comment>
    <comment ref="S8" authorId="0" shapeId="0" xr:uid="{EC40FC5B-B51A-4776-8B74-663999A5E7A8}">
      <text>
        <r>
          <rPr>
            <b/>
            <sz val="9"/>
            <color indexed="81"/>
            <rFont val="Tahoma"/>
            <family val="2"/>
          </rPr>
          <t>Author:</t>
        </r>
        <r>
          <rPr>
            <sz val="9"/>
            <color indexed="81"/>
            <rFont val="Tahoma"/>
            <family val="2"/>
          </rPr>
          <t xml:space="preserve">
assumption that diversion is similar to Al</t>
        </r>
      </text>
    </comment>
    <comment ref="C10" authorId="0" shapeId="0" xr:uid="{3AC10850-D196-47FF-AD39-758965A297CC}">
      <text>
        <r>
          <rPr>
            <b/>
            <sz val="9"/>
            <color indexed="81"/>
            <rFont val="Tahoma"/>
            <family val="2"/>
          </rPr>
          <t>Author:</t>
        </r>
        <r>
          <rPr>
            <sz val="9"/>
            <color indexed="81"/>
            <rFont val="Tahoma"/>
            <family val="2"/>
          </rPr>
          <t xml:space="preserve">
Bureau of International Recycling [4]</t>
        </r>
      </text>
    </comment>
    <comment ref="Q10" authorId="0" shapeId="0" xr:uid="{62449585-83DB-4A11-A843-A1B913323428}">
      <text>
        <r>
          <rPr>
            <b/>
            <sz val="9"/>
            <color indexed="81"/>
            <rFont val="Tahoma"/>
            <family val="2"/>
          </rPr>
          <t>Author:</t>
        </r>
        <r>
          <rPr>
            <sz val="9"/>
            <color indexed="81"/>
            <rFont val="Tahoma"/>
            <family val="2"/>
          </rPr>
          <t xml:space="preserve">
assumption that Nd is mixed equally between the three fractions, considering the mass distribution of the flows, the diversion follows a similar pattern than Fe/Steel flows.
</t>
        </r>
      </text>
    </comment>
    <comment ref="R10" authorId="0" shapeId="0" xr:uid="{8CED78DC-BE10-419D-8D12-51C950DF3364}">
      <text>
        <r>
          <rPr>
            <b/>
            <sz val="9"/>
            <color indexed="81"/>
            <rFont val="Tahoma"/>
            <family val="2"/>
          </rPr>
          <t>Author:</t>
        </r>
        <r>
          <rPr>
            <sz val="9"/>
            <color indexed="81"/>
            <rFont val="Tahoma"/>
            <family val="2"/>
          </rPr>
          <t xml:space="preserve">
assumption that diversion similar to Al</t>
        </r>
      </text>
    </comment>
    <comment ref="S10" authorId="0" shapeId="0" xr:uid="{7BDD8267-2FCC-44C3-BB44-63295A2E1E08}">
      <text>
        <r>
          <rPr>
            <b/>
            <sz val="9"/>
            <color indexed="81"/>
            <rFont val="Tahoma"/>
            <family val="2"/>
          </rPr>
          <t>Author:</t>
        </r>
        <r>
          <rPr>
            <sz val="9"/>
            <color indexed="81"/>
            <rFont val="Tahoma"/>
            <family val="2"/>
          </rPr>
          <t xml:space="preserve">
assumption that diversion similar to Al</t>
        </r>
      </text>
    </comment>
    <comment ref="C11" authorId="0" shapeId="0" xr:uid="{2E33298D-72CB-4AA5-97A5-C5EA90283F0A}">
      <text>
        <r>
          <rPr>
            <b/>
            <sz val="9"/>
            <color indexed="81"/>
            <rFont val="Tahoma"/>
            <family val="2"/>
          </rPr>
          <t>Author:</t>
        </r>
        <r>
          <rPr>
            <sz val="9"/>
            <color indexed="81"/>
            <rFont val="Tahoma"/>
            <family val="2"/>
          </rPr>
          <t xml:space="preserve">
Bureau of International Recycling [4]</t>
        </r>
      </text>
    </comment>
    <comment ref="Q11" authorId="0" shapeId="0" xr:uid="{3135C659-5E54-4B36-8D76-B283AE066C5E}">
      <text>
        <r>
          <rPr>
            <b/>
            <sz val="9"/>
            <color indexed="81"/>
            <rFont val="Tahoma"/>
            <family val="2"/>
          </rPr>
          <t>Author:</t>
        </r>
        <r>
          <rPr>
            <sz val="9"/>
            <color indexed="81"/>
            <rFont val="Tahoma"/>
            <family val="2"/>
          </rPr>
          <t xml:space="preserve">
Assumption that Nd is diluted equally between the three fractions, considering the mass distribution of the flows, the diversion follows a similar pattern than Fe/Steel flows.</t>
        </r>
      </text>
    </comment>
    <comment ref="Q12" authorId="0" shapeId="0" xr:uid="{5398C164-26D5-4625-8271-BC52D58FEC7E}">
      <text>
        <r>
          <rPr>
            <b/>
            <sz val="9"/>
            <color indexed="81"/>
            <rFont val="Tahoma"/>
            <family val="2"/>
          </rPr>
          <t>Author:</t>
        </r>
        <r>
          <rPr>
            <sz val="9"/>
            <color indexed="81"/>
            <rFont val="Tahoma"/>
            <family val="2"/>
          </rPr>
          <t xml:space="preserve">
Assumption that Nd is diluted equally between the three fractions, considering the mass distribution of the flows, the diversion follows a similar pattern than Fe/Steel flows.</t>
        </r>
      </text>
    </comment>
    <comment ref="B14" authorId="0" shapeId="0" xr:uid="{4EF01424-A8DC-4C0C-95B3-38C7541B0FB5}">
      <text>
        <r>
          <rPr>
            <b/>
            <sz val="9"/>
            <color indexed="81"/>
            <rFont val="Tahoma"/>
            <family val="2"/>
          </rPr>
          <t>Author:</t>
        </r>
        <r>
          <rPr>
            <sz val="9"/>
            <color indexed="81"/>
            <rFont val="Tahoma"/>
            <family val="2"/>
          </rPr>
          <t xml:space="preserve">
in some publications also referred to as light fluff</t>
        </r>
      </text>
    </comment>
    <comment ref="P14" authorId="0" shapeId="0" xr:uid="{2BCB780B-50D3-4224-88F6-69CD541B219C}">
      <text>
        <r>
          <rPr>
            <b/>
            <sz val="9"/>
            <color indexed="81"/>
            <rFont val="Tahoma"/>
            <family val="2"/>
          </rPr>
          <t>Author:</t>
        </r>
        <r>
          <rPr>
            <sz val="9"/>
            <color indexed="81"/>
            <rFont val="Tahoma"/>
            <family val="2"/>
          </rPr>
          <t xml:space="preserve">
after shredding, it is assumed that the fraction is maximally mixed</t>
        </r>
      </text>
    </comment>
    <comment ref="Q14" authorId="0" shapeId="0" xr:uid="{17E0C0EF-4AF4-4574-A264-C488011290EA}">
      <text>
        <r>
          <rPr>
            <b/>
            <sz val="9"/>
            <color indexed="81"/>
            <rFont val="Tahoma"/>
            <family val="2"/>
          </rPr>
          <t>Author:</t>
        </r>
        <r>
          <rPr>
            <sz val="9"/>
            <color indexed="81"/>
            <rFont val="Tahoma"/>
            <family val="2"/>
          </rPr>
          <t xml:space="preserve">
after shredding, it is assumed that the fraction is maximally mixed</t>
        </r>
      </text>
    </comment>
    <comment ref="R14" authorId="0" shapeId="0" xr:uid="{95A6CABE-D8A9-47DF-BA7D-E885B37A0001}">
      <text>
        <r>
          <rPr>
            <b/>
            <sz val="9"/>
            <color indexed="81"/>
            <rFont val="Tahoma"/>
            <family val="2"/>
          </rPr>
          <t>Author:</t>
        </r>
        <r>
          <rPr>
            <sz val="9"/>
            <color indexed="81"/>
            <rFont val="Tahoma"/>
            <family val="2"/>
          </rPr>
          <t xml:space="preserve">
after shredding, it is assumed that the fraction is maximally mixed</t>
        </r>
      </text>
    </comment>
    <comment ref="S14" authorId="0" shapeId="0" xr:uid="{1E6A0CD5-8A59-4BE0-BEE3-FF1D7F8383BC}">
      <text>
        <r>
          <rPr>
            <b/>
            <sz val="9"/>
            <color indexed="81"/>
            <rFont val="Tahoma"/>
            <family val="2"/>
          </rPr>
          <t>Author:</t>
        </r>
        <r>
          <rPr>
            <sz val="9"/>
            <color indexed="81"/>
            <rFont val="Tahoma"/>
            <family val="2"/>
          </rPr>
          <t xml:space="preserve">
after shredding, it is assumed that the fraction is maximally mixed</t>
        </r>
      </text>
    </comment>
    <comment ref="B15" authorId="0" shapeId="0" xr:uid="{C6DD383D-710A-4B0C-8A40-2FB6004F16E4}">
      <text>
        <r>
          <rPr>
            <b/>
            <sz val="9"/>
            <color indexed="81"/>
            <rFont val="Tahoma"/>
            <family val="2"/>
          </rPr>
          <t>Author:</t>
        </r>
        <r>
          <rPr>
            <sz val="9"/>
            <color indexed="81"/>
            <rFont val="Tahoma"/>
            <family val="2"/>
          </rPr>
          <t xml:space="preserve">
in some publications also referred to as heavy fluff</t>
        </r>
      </text>
    </comment>
    <comment ref="N15" authorId="0" shapeId="0" xr:uid="{4E3C7E06-8D27-4207-9266-524AED83621A}">
      <text>
        <r>
          <rPr>
            <b/>
            <sz val="9"/>
            <color indexed="81"/>
            <rFont val="Tahoma"/>
            <family val="2"/>
          </rPr>
          <t>Author:</t>
        </r>
        <r>
          <rPr>
            <sz val="9"/>
            <color indexed="81"/>
            <rFont val="Tahoma"/>
            <family val="2"/>
          </rPr>
          <t xml:space="preserve">
assumption that Pb is diverted to the heaviest fluff fraction
</t>
        </r>
      </text>
    </comment>
    <comment ref="O15" authorId="0" shapeId="0" xr:uid="{B2FFACFB-7271-4671-9F93-BC5221216650}">
      <text>
        <r>
          <rPr>
            <b/>
            <sz val="9"/>
            <color indexed="81"/>
            <rFont val="Tahoma"/>
            <family val="2"/>
          </rPr>
          <t>Author:</t>
        </r>
        <r>
          <rPr>
            <sz val="9"/>
            <color indexed="81"/>
            <rFont val="Tahoma"/>
            <family val="2"/>
          </rPr>
          <t xml:space="preserve">
assumption that Ethylencarbonate behaves like the overall plastics fraction</t>
        </r>
      </text>
    </comment>
    <comment ref="N18" authorId="0" shapeId="0" xr:uid="{75016155-1416-400D-A1B7-0DC6AFBA2169}">
      <text>
        <r>
          <rPr>
            <b/>
            <sz val="9"/>
            <color indexed="81"/>
            <rFont val="Tahoma"/>
            <family val="2"/>
          </rPr>
          <t>Author:</t>
        </r>
        <r>
          <rPr>
            <sz val="9"/>
            <color indexed="81"/>
            <rFont val="Tahoma"/>
            <family val="2"/>
          </rPr>
          <t xml:space="preserve">
assumption that Pb is diverted to the heaviest fluff fraction</t>
        </r>
      </text>
    </comment>
    <comment ref="O18" authorId="0" shapeId="0" xr:uid="{D30E58CB-AEA6-4D2B-97A7-507ADEEB9262}">
      <text>
        <r>
          <rPr>
            <b/>
            <sz val="9"/>
            <color indexed="81"/>
            <rFont val="Tahoma"/>
            <family val="2"/>
          </rPr>
          <t>Author:</t>
        </r>
        <r>
          <rPr>
            <sz val="9"/>
            <color indexed="81"/>
            <rFont val="Tahoma"/>
            <family val="2"/>
          </rPr>
          <t xml:space="preserve">
assumption that Ethylencarbonate behaves like the overall plastics fraction</t>
        </r>
      </text>
    </comment>
    <comment ref="P18" authorId="0" shapeId="0" xr:uid="{BD5B8C3E-23AB-4DFF-947F-C92EE3FADA5D}">
      <text>
        <r>
          <rPr>
            <b/>
            <sz val="9"/>
            <color indexed="81"/>
            <rFont val="Tahoma"/>
            <family val="2"/>
          </rPr>
          <t>Author:</t>
        </r>
        <r>
          <rPr>
            <sz val="9"/>
            <color indexed="81"/>
            <rFont val="Tahoma"/>
            <family val="2"/>
          </rPr>
          <t xml:space="preserve">
assumption that it is diverted to residues and to exported mixed fraction in equal proportions</t>
        </r>
      </text>
    </comment>
    <comment ref="R19" authorId="0" shapeId="0" xr:uid="{20A92C77-2CD6-4292-A8F3-A0178E4EA6D3}">
      <text>
        <r>
          <rPr>
            <b/>
            <sz val="9"/>
            <color indexed="81"/>
            <rFont val="Tahoma"/>
            <family val="2"/>
          </rPr>
          <t>Author:</t>
        </r>
        <r>
          <rPr>
            <sz val="9"/>
            <color indexed="81"/>
            <rFont val="Tahoma"/>
            <family val="2"/>
          </rPr>
          <t xml:space="preserve">
assumption that diversion similar to Al</t>
        </r>
      </text>
    </comment>
    <comment ref="S19" authorId="0" shapeId="0" xr:uid="{D368D332-B37E-4143-9CA6-6C303E605F37}">
      <text>
        <r>
          <rPr>
            <b/>
            <sz val="9"/>
            <color indexed="81"/>
            <rFont val="Tahoma"/>
            <family val="2"/>
          </rPr>
          <t>Author:</t>
        </r>
        <r>
          <rPr>
            <sz val="9"/>
            <color indexed="81"/>
            <rFont val="Tahoma"/>
            <family val="2"/>
          </rPr>
          <t xml:space="preserve">
assumption that diversion is similar to Al</t>
        </r>
      </text>
    </comment>
    <comment ref="Q20" authorId="0" shapeId="0" xr:uid="{1E3085DB-1AFD-46F7-BDEA-B877C376288D}">
      <text>
        <r>
          <rPr>
            <b/>
            <sz val="9"/>
            <color indexed="81"/>
            <rFont val="Tahoma"/>
            <family val="2"/>
          </rPr>
          <t>Author:</t>
        </r>
        <r>
          <rPr>
            <sz val="9"/>
            <color indexed="81"/>
            <rFont val="Tahoma"/>
            <family val="2"/>
          </rPr>
          <t xml:space="preserve">
assumption that diversion is similar to Fe</t>
        </r>
      </text>
    </comment>
    <comment ref="O21" authorId="0" shapeId="0" xr:uid="{E4E083F7-8E3D-4F26-86CF-8E5BA93521E5}">
      <text>
        <r>
          <rPr>
            <b/>
            <sz val="9"/>
            <color indexed="81"/>
            <rFont val="Tahoma"/>
            <family val="2"/>
          </rPr>
          <t>Author:</t>
        </r>
        <r>
          <rPr>
            <sz val="9"/>
            <color indexed="81"/>
            <rFont val="Tahoma"/>
            <family val="2"/>
          </rPr>
          <t xml:space="preserve">
assumption that Ethylencarbonate behaves like the overall plastics fraction</t>
        </r>
      </text>
    </comment>
    <comment ref="R22" authorId="0" shapeId="0" xr:uid="{484F35D5-E55F-4FF7-981D-C3B99E1BCF29}">
      <text>
        <r>
          <rPr>
            <b/>
            <sz val="9"/>
            <color indexed="81"/>
            <rFont val="Tahoma"/>
            <family val="2"/>
          </rPr>
          <t>Author:</t>
        </r>
        <r>
          <rPr>
            <sz val="9"/>
            <color indexed="81"/>
            <rFont val="Tahoma"/>
            <family val="2"/>
          </rPr>
          <t xml:space="preserve">
assumption that diversion is similar to Al</t>
        </r>
      </text>
    </comment>
    <comment ref="S22" authorId="0" shapeId="0" xr:uid="{A3AE08AA-0508-46E7-A6E0-C94F3923610C}">
      <text>
        <r>
          <rPr>
            <b/>
            <sz val="9"/>
            <color indexed="81"/>
            <rFont val="Tahoma"/>
            <family val="2"/>
          </rPr>
          <t>Author:</t>
        </r>
        <r>
          <rPr>
            <sz val="9"/>
            <color indexed="81"/>
            <rFont val="Tahoma"/>
            <family val="2"/>
          </rPr>
          <t xml:space="preserve">
assumption that diversion is similar to Al</t>
        </r>
      </text>
    </comment>
    <comment ref="O24" authorId="0" shapeId="0" xr:uid="{F789791A-D810-4DCF-A246-AA90E007014A}">
      <text>
        <r>
          <rPr>
            <b/>
            <sz val="9"/>
            <color indexed="81"/>
            <rFont val="Tahoma"/>
            <family val="2"/>
          </rPr>
          <t>Author:</t>
        </r>
        <r>
          <rPr>
            <sz val="9"/>
            <color indexed="81"/>
            <rFont val="Tahoma"/>
            <family val="2"/>
          </rPr>
          <t xml:space="preserve">
assumption that Ethylencarbonate behaves like the overall plastics fraction</t>
        </r>
      </text>
    </comment>
    <comment ref="Q24" authorId="0" shapeId="0" xr:uid="{3C7D6E47-9C94-433F-A556-965D8C99BE55}">
      <text>
        <r>
          <rPr>
            <b/>
            <sz val="9"/>
            <color indexed="81"/>
            <rFont val="Tahoma"/>
            <family val="2"/>
          </rPr>
          <t>Author:</t>
        </r>
        <r>
          <rPr>
            <sz val="9"/>
            <color indexed="81"/>
            <rFont val="Tahoma"/>
            <family val="2"/>
          </rPr>
          <t xml:space="preserve">
assumption that Nd is following the route of Fe, proportionately to the Fe fractions</t>
        </r>
      </text>
    </comment>
    <comment ref="R24" authorId="0" shapeId="0" xr:uid="{9A99EA74-39AB-477A-A679-67194CB12593}">
      <text>
        <r>
          <rPr>
            <b/>
            <sz val="9"/>
            <color indexed="81"/>
            <rFont val="Tahoma"/>
            <family val="2"/>
          </rPr>
          <t>Author:</t>
        </r>
        <r>
          <rPr>
            <sz val="9"/>
            <color indexed="81"/>
            <rFont val="Tahoma"/>
            <family val="2"/>
          </rPr>
          <t xml:space="preserve">
assumption that LiMnO4 is diverted similar to Al</t>
        </r>
      </text>
    </comment>
    <comment ref="S24" authorId="0" shapeId="0" xr:uid="{BB66AB21-097D-4278-A652-C3B7BA17180B}">
      <text>
        <r>
          <rPr>
            <b/>
            <sz val="9"/>
            <color indexed="81"/>
            <rFont val="Tahoma"/>
            <family val="2"/>
          </rPr>
          <t>Author:</t>
        </r>
        <r>
          <rPr>
            <sz val="9"/>
            <color indexed="81"/>
            <rFont val="Tahoma"/>
            <family val="2"/>
          </rPr>
          <t xml:space="preserve">
assumption that LiPF6 is diverted similar to Al</t>
        </r>
      </text>
    </comment>
    <comment ref="P25" authorId="0" shapeId="0" xr:uid="{50AB128F-C075-4490-8D6F-9E33F3E3EB59}">
      <text>
        <r>
          <rPr>
            <b/>
            <sz val="9"/>
            <color indexed="81"/>
            <rFont val="Tahoma"/>
            <family val="2"/>
          </rPr>
          <t>Author:</t>
        </r>
        <r>
          <rPr>
            <sz val="9"/>
            <color indexed="81"/>
            <rFont val="Tahoma"/>
            <family val="2"/>
          </rPr>
          <t xml:space="preserve">
carbon would be oxidized, as it is used to reduce iron oxides to metal, here it is modelled by leaving the steel production process through dusts, even though it would leave the process as CO2, which is not modelled. </t>
        </r>
      </text>
    </comment>
    <comment ref="O28" authorId="0" shapeId="0" xr:uid="{31AFBF49-F726-4159-8288-F74B56C938C3}">
      <text>
        <r>
          <rPr>
            <b/>
            <sz val="9"/>
            <color indexed="81"/>
            <rFont val="Tahoma"/>
            <family val="2"/>
          </rPr>
          <t>Author:</t>
        </r>
        <r>
          <rPr>
            <sz val="9"/>
            <color indexed="81"/>
            <rFont val="Tahoma"/>
            <family val="2"/>
          </rPr>
          <t xml:space="preserve">
assumption that Ethylencarbonate behaves like the overall plastics fraction</t>
        </r>
      </text>
    </comment>
    <comment ref="R28" authorId="0" shapeId="0" xr:uid="{13411DBB-74B4-4EE2-BBB2-5B4FCB08F56C}">
      <text>
        <r>
          <rPr>
            <b/>
            <sz val="9"/>
            <color indexed="81"/>
            <rFont val="Tahoma"/>
            <family val="2"/>
          </rPr>
          <t>Author:</t>
        </r>
        <r>
          <rPr>
            <sz val="9"/>
            <color indexed="81"/>
            <rFont val="Tahoma"/>
            <family val="2"/>
          </rPr>
          <t xml:space="preserve">
assumed to follow Al fractions</t>
        </r>
      </text>
    </comment>
    <comment ref="S28" authorId="0" shapeId="0" xr:uid="{784F3C7D-BBAA-4501-8BCD-AC21D79B2EE5}">
      <text>
        <r>
          <rPr>
            <b/>
            <sz val="9"/>
            <color indexed="81"/>
            <rFont val="Tahoma"/>
            <family val="2"/>
          </rPr>
          <t>Author:</t>
        </r>
        <r>
          <rPr>
            <sz val="9"/>
            <color indexed="81"/>
            <rFont val="Tahoma"/>
            <family val="2"/>
          </rPr>
          <t xml:space="preserve">
assumed to follow Al fractions</t>
        </r>
      </text>
    </comment>
    <comment ref="P29" authorId="0" shapeId="0" xr:uid="{70C8FF20-FB10-486F-ADC2-663AE4F4099C}">
      <text>
        <r>
          <rPr>
            <b/>
            <sz val="9"/>
            <color indexed="81"/>
            <rFont val="Tahoma"/>
            <family val="2"/>
          </rPr>
          <t>Author:</t>
        </r>
        <r>
          <rPr>
            <sz val="9"/>
            <color indexed="81"/>
            <rFont val="Tahoma"/>
            <family val="2"/>
          </rPr>
          <t xml:space="preserve">
modelled in the same way as for steel, as slags fraction represents the flow that combines all waste materials, others than Al</t>
        </r>
      </text>
    </comment>
    <comment ref="Q29" authorId="0" shapeId="0" xr:uid="{1ACFEE50-23C3-49B6-A7B7-E7D047FB312A}">
      <text>
        <r>
          <rPr>
            <b/>
            <sz val="9"/>
            <color indexed="81"/>
            <rFont val="Tahoma"/>
            <family val="2"/>
          </rPr>
          <t>Author:</t>
        </r>
        <r>
          <rPr>
            <sz val="9"/>
            <color indexed="81"/>
            <rFont val="Tahoma"/>
            <family val="2"/>
          </rPr>
          <t xml:space="preserve">
assumed to follow Fe fractions</t>
        </r>
      </text>
    </comment>
    <comment ref="O32" authorId="0" shapeId="0" xr:uid="{C6F371EE-8BF9-429F-B358-F90928BF93BD}">
      <text>
        <r>
          <rPr>
            <b/>
            <sz val="9"/>
            <color indexed="81"/>
            <rFont val="Tahoma"/>
            <family val="2"/>
          </rPr>
          <t>Author:</t>
        </r>
        <r>
          <rPr>
            <sz val="9"/>
            <color indexed="81"/>
            <rFont val="Tahoma"/>
            <family val="2"/>
          </rPr>
          <t xml:space="preserve">
assumption that Ethylencarbonate behaves like the overall plastics fraction</t>
        </r>
      </text>
    </comment>
    <comment ref="P32" authorId="0" shapeId="0" xr:uid="{69978435-5274-4CA5-ABE8-9F365FF31C06}">
      <text>
        <r>
          <rPr>
            <b/>
            <sz val="9"/>
            <color indexed="81"/>
            <rFont val="Tahoma"/>
            <family val="2"/>
          </rPr>
          <t>Author:</t>
        </r>
        <r>
          <rPr>
            <sz val="9"/>
            <color indexed="81"/>
            <rFont val="Tahoma"/>
            <family val="2"/>
          </rPr>
          <t xml:space="preserve">
assumption that graphite that is present in batteries, would not be diverted to residues</t>
        </r>
      </text>
    </comment>
    <comment ref="Q32" authorId="0" shapeId="0" xr:uid="{7FD77CF3-61C1-47BD-9107-1B3F66E59336}">
      <text>
        <r>
          <rPr>
            <b/>
            <sz val="9"/>
            <color indexed="81"/>
            <rFont val="Tahoma"/>
            <family val="2"/>
          </rPr>
          <t>Author:</t>
        </r>
        <r>
          <rPr>
            <sz val="9"/>
            <color indexed="81"/>
            <rFont val="Tahoma"/>
            <family val="2"/>
          </rPr>
          <t xml:space="preserve">
assumed to follow Fe fractions</t>
        </r>
      </text>
    </comment>
    <comment ref="R32" authorId="0" shapeId="0" xr:uid="{FC0C805B-1383-4015-8152-DE0363F23571}">
      <text>
        <r>
          <rPr>
            <b/>
            <sz val="9"/>
            <color indexed="81"/>
            <rFont val="Tahoma"/>
            <family val="2"/>
          </rPr>
          <t>Author:</t>
        </r>
        <r>
          <rPr>
            <sz val="9"/>
            <color indexed="81"/>
            <rFont val="Tahoma"/>
            <family val="2"/>
          </rPr>
          <t xml:space="preserve">
assumed to follow Al fractions</t>
        </r>
      </text>
    </comment>
    <comment ref="S32" authorId="0" shapeId="0" xr:uid="{C4E8668E-D969-4F5F-9A54-B3ED43D19046}">
      <text>
        <r>
          <rPr>
            <b/>
            <sz val="9"/>
            <color indexed="81"/>
            <rFont val="Tahoma"/>
            <family val="2"/>
          </rPr>
          <t>Author:</t>
        </r>
        <r>
          <rPr>
            <sz val="9"/>
            <color indexed="81"/>
            <rFont val="Tahoma"/>
            <family val="2"/>
          </rPr>
          <t xml:space="preserve">
assumed to follow Al fractions</t>
        </r>
      </text>
    </comment>
    <comment ref="K36" authorId="0" shapeId="0" xr:uid="{2EB9A511-1F6D-4638-8511-5A8AC5FC6377}">
      <text>
        <r>
          <rPr>
            <b/>
            <sz val="9"/>
            <color indexed="81"/>
            <rFont val="Tahoma"/>
            <family val="2"/>
          </rPr>
          <t>Author:</t>
        </r>
        <r>
          <rPr>
            <sz val="9"/>
            <color indexed="81"/>
            <rFont val="Tahoma"/>
            <family val="2"/>
          </rPr>
          <t xml:space="preserve">
assumption that paint is removed if present during remanufacturing/reuse and is not recycled</t>
        </r>
      </text>
    </comment>
    <comment ref="N36" authorId="0" shapeId="0" xr:uid="{CF346B35-CA53-47FD-A830-C583D19D9E9B}">
      <text>
        <r>
          <rPr>
            <b/>
            <sz val="9"/>
            <color indexed="81"/>
            <rFont val="Tahoma"/>
            <family val="2"/>
          </rPr>
          <t>Author:</t>
        </r>
        <r>
          <rPr>
            <sz val="9"/>
            <color indexed="81"/>
            <rFont val="Tahoma"/>
            <family val="2"/>
          </rPr>
          <t xml:space="preserve">
if at some point Pb should be present, it is assumed that it is diverted with the flow out of the system</t>
        </r>
      </text>
    </comment>
    <comment ref="O36" authorId="0" shapeId="0" xr:uid="{0E914CF8-1177-4A81-ABD7-1303C50C34F9}">
      <text>
        <r>
          <rPr>
            <b/>
            <sz val="9"/>
            <color indexed="81"/>
            <rFont val="Tahoma"/>
            <family val="2"/>
          </rPr>
          <t>Author:</t>
        </r>
        <r>
          <rPr>
            <sz val="9"/>
            <color indexed="81"/>
            <rFont val="Tahoma"/>
            <family val="2"/>
          </rPr>
          <t xml:space="preserve">
assumption that Ethylencarbonate behaves like the overall plastics fraction</t>
        </r>
      </text>
    </comment>
    <comment ref="P36" authorId="0" shapeId="0" xr:uid="{86CDE1EF-1F6A-4F43-888C-24E90DF67448}">
      <text>
        <r>
          <rPr>
            <b/>
            <sz val="9"/>
            <color indexed="81"/>
            <rFont val="Tahoma"/>
            <family val="2"/>
          </rPr>
          <t>Author:</t>
        </r>
        <r>
          <rPr>
            <sz val="9"/>
            <color indexed="81"/>
            <rFont val="Tahoma"/>
            <family val="2"/>
          </rPr>
          <t xml:space="preserve">
assumption that graphite that if it should be present in EV motor flow, would be diverted to the material fraction that leaves the system to be treated through a more dedicated process.</t>
        </r>
      </text>
    </comment>
    <comment ref="Q36" authorId="0" shapeId="0" xr:uid="{97C8CBDA-E27F-45E0-8BA3-627D9DC86BD5}">
      <text>
        <r>
          <rPr>
            <b/>
            <sz val="9"/>
            <color indexed="81"/>
            <rFont val="Tahoma"/>
            <family val="2"/>
          </rPr>
          <t>Author:</t>
        </r>
        <r>
          <rPr>
            <sz val="9"/>
            <color indexed="81"/>
            <rFont val="Tahoma"/>
            <family val="2"/>
          </rPr>
          <t xml:space="preserve">
assumed to follow Fe fractions</t>
        </r>
      </text>
    </comment>
    <comment ref="R36" authorId="0" shapeId="0" xr:uid="{7690614B-1302-452D-9B6F-EDD09F54A2B3}">
      <text>
        <r>
          <rPr>
            <b/>
            <sz val="9"/>
            <color indexed="81"/>
            <rFont val="Tahoma"/>
            <family val="2"/>
          </rPr>
          <t>Author:</t>
        </r>
        <r>
          <rPr>
            <sz val="9"/>
            <color indexed="81"/>
            <rFont val="Tahoma"/>
            <family val="2"/>
          </rPr>
          <t xml:space="preserve">
assumed to follow Al fractions</t>
        </r>
      </text>
    </comment>
    <comment ref="S36" authorId="0" shapeId="0" xr:uid="{E4F6AF53-B75E-440D-B788-1BE0978DAC56}">
      <text>
        <r>
          <rPr>
            <b/>
            <sz val="9"/>
            <color indexed="81"/>
            <rFont val="Tahoma"/>
            <family val="2"/>
          </rPr>
          <t>Author:</t>
        </r>
        <r>
          <rPr>
            <sz val="9"/>
            <color indexed="81"/>
            <rFont val="Tahoma"/>
            <family val="2"/>
          </rPr>
          <t xml:space="preserve">
assumed to follow Al fractions</t>
        </r>
      </text>
    </comment>
    <comment ref="G41" authorId="0" shapeId="0" xr:uid="{A7B73930-45BC-4B80-B466-50A9F21EBA95}">
      <text>
        <r>
          <rPr>
            <b/>
            <sz val="9"/>
            <color indexed="81"/>
            <rFont val="Tahoma"/>
            <family val="2"/>
          </rPr>
          <t>Author:</t>
        </r>
        <r>
          <rPr>
            <sz val="9"/>
            <color indexed="81"/>
            <rFont val="Tahoma"/>
            <family val="2"/>
          </rPr>
          <t xml:space="preserve">
Cu reuse/recycling is set according to the remanufacturing rate of batteries, for other materials that do not belong to battery materials, for those the TCs are set identical to the TCs of regulated components.</t>
        </r>
      </text>
    </comment>
    <comment ref="Q41" authorId="0" shapeId="0" xr:uid="{70E90702-E12C-45D2-8678-6BA669729F9D}">
      <text>
        <r>
          <rPr>
            <b/>
            <sz val="9"/>
            <color indexed="81"/>
            <rFont val="Tahoma"/>
            <family val="2"/>
          </rPr>
          <t>Author:</t>
        </r>
        <r>
          <rPr>
            <sz val="9"/>
            <color indexed="81"/>
            <rFont val="Tahoma"/>
            <family val="2"/>
          </rPr>
          <t xml:space="preserve">
assumed that diversion is similar to steel or Fe</t>
        </r>
      </text>
    </comment>
    <comment ref="B42" authorId="0" shapeId="0" xr:uid="{B076E54D-1F50-4954-8CCA-FA64C71E4ADD}">
      <text>
        <r>
          <rPr>
            <b/>
            <sz val="9"/>
            <color indexed="81"/>
            <rFont val="Tahoma"/>
            <family val="2"/>
          </rPr>
          <t>Author:</t>
        </r>
        <r>
          <rPr>
            <sz val="9"/>
            <color indexed="81"/>
            <rFont val="Tahoma"/>
            <family val="2"/>
          </rPr>
          <t xml:space="preserve">
for materials that do not belong to battery materials, the TCs are set identical to the TCs of regulated components.</t>
        </r>
      </text>
    </comment>
    <comment ref="G42" authorId="0" shapeId="0" xr:uid="{BA6DF91D-2199-4E78-9C6F-E66686F0A351}">
      <text>
        <r>
          <rPr>
            <b/>
            <sz val="9"/>
            <color indexed="81"/>
            <rFont val="Tahoma"/>
            <family val="2"/>
          </rPr>
          <t>Author:</t>
        </r>
        <r>
          <rPr>
            <sz val="9"/>
            <color indexed="81"/>
            <rFont val="Tahoma"/>
            <family val="2"/>
          </rPr>
          <t xml:space="preserve">
Cu reuse/recycling is set according to the remanufacturing rate of batteries, for other materials that do not belong to battery materials, for those the TCs are set identical to the TCs of regulated components.</t>
        </r>
      </text>
    </comment>
    <comment ref="Q42" authorId="0" shapeId="0" xr:uid="{3A9A266E-271E-481D-9DA6-B0C25C878E23}">
      <text>
        <r>
          <rPr>
            <b/>
            <sz val="9"/>
            <color indexed="81"/>
            <rFont val="Tahoma"/>
            <family val="2"/>
          </rPr>
          <t>Author:</t>
        </r>
        <r>
          <rPr>
            <sz val="9"/>
            <color indexed="81"/>
            <rFont val="Tahoma"/>
            <family val="2"/>
          </rPr>
          <t xml:space="preserve">
assumed that diversion is similar to steel or Fe</t>
        </r>
      </text>
    </comment>
    <comment ref="G43" authorId="0" shapeId="0" xr:uid="{60DA8B10-AC60-41F0-8791-D906D2191DBA}">
      <text>
        <r>
          <rPr>
            <b/>
            <sz val="9"/>
            <color indexed="81"/>
            <rFont val="Tahoma"/>
            <family val="2"/>
          </rPr>
          <t>Author:</t>
        </r>
        <r>
          <rPr>
            <sz val="9"/>
            <color indexed="81"/>
            <rFont val="Tahoma"/>
            <family val="2"/>
          </rPr>
          <t xml:space="preserve">
Cu reuse/recycling is set according to the remanufacturing rate of batteries, for other materials that do not belong to battery materials, for those the TCs are set identical to the TCs of regulated components.</t>
        </r>
      </text>
    </comment>
    <comment ref="Q43" authorId="0" shapeId="0" xr:uid="{A3BF8EC2-FC1C-4810-B67F-40ADE2480317}">
      <text>
        <r>
          <rPr>
            <b/>
            <sz val="9"/>
            <color indexed="81"/>
            <rFont val="Tahoma"/>
            <family val="2"/>
          </rPr>
          <t>Author:</t>
        </r>
        <r>
          <rPr>
            <sz val="9"/>
            <color indexed="81"/>
            <rFont val="Tahoma"/>
            <family val="2"/>
          </rPr>
          <t xml:space="preserve">
assumed that diversion is similar to steel or Fe</t>
        </r>
      </text>
    </comment>
    <comment ref="N51" authorId="0" shapeId="0" xr:uid="{0E9905CB-7CAB-4F1A-80D8-BD8E866B188D}">
      <text>
        <r>
          <rPr>
            <b/>
            <sz val="9"/>
            <color indexed="81"/>
            <rFont val="Tahoma"/>
            <family val="2"/>
          </rPr>
          <t>Author:</t>
        </r>
        <r>
          <rPr>
            <sz val="9"/>
            <color indexed="81"/>
            <rFont val="Tahoma"/>
            <family val="2"/>
          </rPr>
          <t xml:space="preserve">
Copper is considered as heavy material by Gradin et al., (2013), but as it often appears in combination with rubber and plastic (cables, electronics), it is assumed that 50% of Cu is directed to the light fraction with the other 50% directed to the heavy fraction</t>
        </r>
      </text>
    </comment>
    <comment ref="N53" authorId="0" shapeId="0" xr:uid="{1C14A44C-27F6-44EB-88F0-111D981FDBAC}">
      <text>
        <r>
          <rPr>
            <b/>
            <sz val="9"/>
            <color indexed="81"/>
            <rFont val="Tahoma"/>
            <family val="2"/>
          </rPr>
          <t>Author:</t>
        </r>
        <r>
          <rPr>
            <sz val="9"/>
            <color indexed="81"/>
            <rFont val="Tahoma"/>
            <family val="2"/>
          </rPr>
          <t xml:space="preserve">
assumption that Al is diverted to 50% to each fraction</t>
        </r>
      </text>
    </comment>
    <comment ref="N54" authorId="0" shapeId="0" xr:uid="{A96EDBB5-8FED-43E7-8B5D-21298CB3B26A}">
      <text>
        <r>
          <rPr>
            <b/>
            <sz val="9"/>
            <color indexed="81"/>
            <rFont val="Tahoma"/>
            <family val="2"/>
          </rPr>
          <t>Author:</t>
        </r>
        <r>
          <rPr>
            <sz val="9"/>
            <color indexed="81"/>
            <rFont val="Tahoma"/>
            <family val="2"/>
          </rPr>
          <t xml:space="preserve">
assumption that Al is divided to 50% to each fraction</t>
        </r>
      </text>
    </comment>
    <comment ref="R63" authorId="0" shapeId="0" xr:uid="{7BCE90CB-2741-449A-B957-DF052D357907}">
      <text>
        <r>
          <rPr>
            <b/>
            <sz val="9"/>
            <color indexed="81"/>
            <rFont val="Tahoma"/>
            <family val="2"/>
          </rPr>
          <t>Author:</t>
        </r>
        <r>
          <rPr>
            <sz val="9"/>
            <color indexed="81"/>
            <rFont val="Tahoma"/>
            <family val="2"/>
          </rPr>
          <t xml:space="preserve">
calculated based on difference between exported, domestic and total flow.</t>
        </r>
      </text>
    </comment>
    <comment ref="R64" authorId="0" shapeId="0" xr:uid="{F018DDCE-0884-4394-B5BB-B9542825780E}">
      <text>
        <r>
          <rPr>
            <b/>
            <sz val="9"/>
            <color indexed="81"/>
            <rFont val="Tahoma"/>
            <family val="2"/>
          </rPr>
          <t>Author:</t>
        </r>
        <r>
          <rPr>
            <sz val="9"/>
            <color indexed="81"/>
            <rFont val="Tahoma"/>
            <family val="2"/>
          </rPr>
          <t xml:space="preserve">
calculated based on difference between exported, domestic and total flow.</t>
        </r>
      </text>
    </comment>
    <comment ref="P66" authorId="0" shapeId="0" xr:uid="{6A2DC2B1-C1EB-408E-B88F-9BA6F33A9CAA}">
      <text>
        <r>
          <rPr>
            <b/>
            <sz val="9"/>
            <color indexed="81"/>
            <rFont val="Tahoma"/>
            <family val="2"/>
          </rPr>
          <t>Author:</t>
        </r>
        <r>
          <rPr>
            <sz val="9"/>
            <color indexed="81"/>
            <rFont val="Tahoma"/>
            <family val="2"/>
          </rPr>
          <t xml:space="preserve">
Cu is calculated based on Cu content of recycled steel scrap [2], calculated by multiplication with steel mass.</t>
        </r>
      </text>
    </comment>
    <comment ref="Q66" authorId="0" shapeId="0" xr:uid="{83718336-81B0-4374-BBB7-259E62BEE404}">
      <text>
        <r>
          <rPr>
            <b/>
            <sz val="9"/>
            <color indexed="81"/>
            <rFont val="Tahoma"/>
            <family val="2"/>
          </rPr>
          <t>Author:</t>
        </r>
        <r>
          <rPr>
            <sz val="9"/>
            <color indexed="81"/>
            <rFont val="Tahoma"/>
            <family val="2"/>
          </rPr>
          <t xml:space="preserve">
Cu is calculated based on Cu content of recycled steel scrap [2], calculated by multiplication with steel mass.</t>
        </r>
      </text>
    </comment>
    <comment ref="M70" authorId="0" shapeId="0" xr:uid="{46E55481-443D-466A-8709-59D0F01607F3}">
      <text>
        <r>
          <rPr>
            <b/>
            <sz val="9"/>
            <color indexed="81"/>
            <rFont val="Tahoma"/>
            <family val="2"/>
          </rPr>
          <t>Author:</t>
        </r>
        <r>
          <rPr>
            <sz val="9"/>
            <color indexed="81"/>
            <rFont val="Tahoma"/>
            <family val="2"/>
          </rPr>
          <t xml:space="preserve">
assumption that 10% of the paint remains on iron and steel components after shredding</t>
        </r>
      </text>
    </comment>
    <comment ref="E71" authorId="0" shapeId="0" xr:uid="{FAA95291-EA6C-448F-8C99-D1FABEFC97E9}">
      <text>
        <r>
          <rPr>
            <b/>
            <sz val="9"/>
            <color indexed="81"/>
            <rFont val="Tahoma"/>
            <family val="2"/>
          </rPr>
          <t>Author:</t>
        </r>
        <r>
          <rPr>
            <sz val="9"/>
            <color indexed="81"/>
            <rFont val="Tahoma"/>
            <family val="2"/>
          </rPr>
          <t xml:space="preserve">
Bureau of International Recycling [4]
</t>
        </r>
      </text>
    </comment>
    <comment ref="T78" authorId="0" shapeId="0" xr:uid="{6F6FB4E5-6DBC-4E7E-8B35-143EBBE39C1B}">
      <text>
        <r>
          <rPr>
            <b/>
            <sz val="9"/>
            <color indexed="81"/>
            <rFont val="Tahoma"/>
            <family val="2"/>
          </rPr>
          <t>Author:</t>
        </r>
        <r>
          <rPr>
            <sz val="9"/>
            <color indexed="81"/>
            <rFont val="Tahoma"/>
            <family val="2"/>
          </rPr>
          <t xml:space="preserve">
only European data used from the year 2000 onwards</t>
        </r>
      </text>
    </comment>
    <comment ref="I95" authorId="0" shapeId="0" xr:uid="{C12C75F7-1D9E-4C5B-9530-585C215B75C0}">
      <text>
        <r>
          <rPr>
            <b/>
            <sz val="9"/>
            <color indexed="81"/>
            <rFont val="Tahoma"/>
            <family val="2"/>
          </rPr>
          <t>Author:</t>
        </r>
        <r>
          <rPr>
            <sz val="9"/>
            <color indexed="81"/>
            <rFont val="Tahoma"/>
            <family val="2"/>
          </rPr>
          <t xml:space="preserve">
assumption of 1% cross-contamination to other material flows</t>
        </r>
      </text>
    </comment>
    <comment ref="J95" authorId="0" shapeId="0" xr:uid="{569D907A-6904-4EFC-A232-91408490F9CC}">
      <text>
        <r>
          <rPr>
            <b/>
            <sz val="9"/>
            <color indexed="81"/>
            <rFont val="Tahoma"/>
            <family val="2"/>
          </rPr>
          <t>Author:</t>
        </r>
        <r>
          <rPr>
            <sz val="9"/>
            <color indexed="81"/>
            <rFont val="Tahoma"/>
            <family val="2"/>
          </rPr>
          <t xml:space="preserve">
assumption of 1% cross-contamination to other material flows</t>
        </r>
      </text>
    </comment>
    <comment ref="L95" authorId="0" shapeId="0" xr:uid="{C99E770C-0243-4AFB-9F1A-3881500478DC}">
      <text>
        <r>
          <rPr>
            <b/>
            <sz val="9"/>
            <color indexed="81"/>
            <rFont val="Tahoma"/>
            <family val="2"/>
          </rPr>
          <t>Author:</t>
        </r>
        <r>
          <rPr>
            <sz val="9"/>
            <color indexed="81"/>
            <rFont val="Tahoma"/>
            <family val="2"/>
          </rPr>
          <t xml:space="preserve">
assumption of 1% cross-contamination to other material flows</t>
        </r>
      </text>
    </comment>
    <comment ref="M95" authorId="0" shapeId="0" xr:uid="{214FABC3-7998-4EA1-AA4B-6638960E9126}">
      <text>
        <r>
          <rPr>
            <b/>
            <sz val="9"/>
            <color indexed="81"/>
            <rFont val="Tahoma"/>
            <family val="2"/>
          </rPr>
          <t>Author:</t>
        </r>
        <r>
          <rPr>
            <sz val="9"/>
            <color indexed="81"/>
            <rFont val="Tahoma"/>
            <family val="2"/>
          </rPr>
          <t xml:space="preserve">
assumption of 1% cross-contamination to other material flows</t>
        </r>
      </text>
    </comment>
    <comment ref="Q95" authorId="0" shapeId="0" xr:uid="{3B8B961F-3D10-40EA-B216-D0D84CB422A6}">
      <text>
        <r>
          <rPr>
            <b/>
            <sz val="9"/>
            <color indexed="81"/>
            <rFont val="Tahoma"/>
            <family val="2"/>
          </rPr>
          <t>Author:</t>
        </r>
        <r>
          <rPr>
            <sz val="9"/>
            <color indexed="81"/>
            <rFont val="Tahoma"/>
            <family val="2"/>
          </rPr>
          <t xml:space="preserve">
Al heavy media processing and eddy current separation combined in one process, as model [6] represents more disaggregated flows, therefore recycling efficiencies adapted to include both processes.</t>
        </r>
      </text>
    </comment>
    <comment ref="I96" authorId="0" shapeId="0" xr:uid="{A3481D2E-301D-4D63-9D5E-262EEF6788AE}">
      <text>
        <r>
          <rPr>
            <b/>
            <sz val="9"/>
            <color indexed="81"/>
            <rFont val="Tahoma"/>
            <family val="2"/>
          </rPr>
          <t>Author:</t>
        </r>
        <r>
          <rPr>
            <sz val="9"/>
            <color indexed="81"/>
            <rFont val="Tahoma"/>
            <family val="2"/>
          </rPr>
          <t xml:space="preserve">
assumption of 1% cross-contamination to other material flows</t>
        </r>
      </text>
    </comment>
    <comment ref="J96" authorId="0" shapeId="0" xr:uid="{B5925730-D56C-48EE-B57F-1B6A98F561B4}">
      <text>
        <r>
          <rPr>
            <b/>
            <sz val="9"/>
            <color indexed="81"/>
            <rFont val="Tahoma"/>
            <family val="2"/>
          </rPr>
          <t>Author:</t>
        </r>
        <r>
          <rPr>
            <sz val="9"/>
            <color indexed="81"/>
            <rFont val="Tahoma"/>
            <family val="2"/>
          </rPr>
          <t xml:space="preserve">
assumption of 1% cross-contamination to other material flows</t>
        </r>
      </text>
    </comment>
    <comment ref="L96" authorId="0" shapeId="0" xr:uid="{9C35D385-D4A7-4BC1-9A3B-BB01EEF82794}">
      <text>
        <r>
          <rPr>
            <b/>
            <sz val="9"/>
            <color indexed="81"/>
            <rFont val="Tahoma"/>
            <family val="2"/>
          </rPr>
          <t>Author:</t>
        </r>
        <r>
          <rPr>
            <sz val="9"/>
            <color indexed="81"/>
            <rFont val="Tahoma"/>
            <family val="2"/>
          </rPr>
          <t xml:space="preserve">
assumption of 1% cross-contamination to other material flows</t>
        </r>
      </text>
    </comment>
    <comment ref="M96" authorId="0" shapeId="0" xr:uid="{4286EA52-D33E-4A91-9ECE-D9A6CCDAEBEF}">
      <text>
        <r>
          <rPr>
            <b/>
            <sz val="9"/>
            <color indexed="81"/>
            <rFont val="Tahoma"/>
            <family val="2"/>
          </rPr>
          <t>Author:</t>
        </r>
        <r>
          <rPr>
            <sz val="9"/>
            <color indexed="81"/>
            <rFont val="Tahoma"/>
            <family val="2"/>
          </rPr>
          <t xml:space="preserve">
assumption of 1% cross-contamination to other material flows</t>
        </r>
      </text>
    </comment>
    <comment ref="I97" authorId="0" shapeId="0" xr:uid="{6379486E-26F4-4579-89BB-7B14EF60E72C}">
      <text>
        <r>
          <rPr>
            <b/>
            <sz val="9"/>
            <color indexed="81"/>
            <rFont val="Tahoma"/>
            <family val="2"/>
          </rPr>
          <t>Author:</t>
        </r>
        <r>
          <rPr>
            <sz val="9"/>
            <color indexed="81"/>
            <rFont val="Tahoma"/>
            <family val="2"/>
          </rPr>
          <t xml:space="preserve">
Based on recycling efficiency reported [6]</t>
        </r>
      </text>
    </comment>
    <comment ref="L97" authorId="0" shapeId="0" xr:uid="{029D1ECA-6A74-4922-A471-391DFCAAECBA}">
      <text>
        <r>
          <rPr>
            <b/>
            <sz val="9"/>
            <color indexed="81"/>
            <rFont val="Tahoma"/>
            <family val="2"/>
          </rPr>
          <t>Author:</t>
        </r>
        <r>
          <rPr>
            <sz val="9"/>
            <color indexed="81"/>
            <rFont val="Tahoma"/>
            <family val="2"/>
          </rPr>
          <t xml:space="preserve">
mass balanced through the residues flow</t>
        </r>
      </text>
    </comment>
    <comment ref="I98" authorId="0" shapeId="0" xr:uid="{78E511D3-34C2-4776-BFEA-CE995A236000}">
      <text>
        <r>
          <rPr>
            <b/>
            <sz val="9"/>
            <color indexed="81"/>
            <rFont val="Tahoma"/>
            <family val="2"/>
          </rPr>
          <t>Author:</t>
        </r>
        <r>
          <rPr>
            <sz val="9"/>
            <color indexed="81"/>
            <rFont val="Tahoma"/>
            <family val="2"/>
          </rPr>
          <t xml:space="preserve">
Based on recycling efficiency reported [6]</t>
        </r>
      </text>
    </comment>
    <comment ref="J98" authorId="0" shapeId="0" xr:uid="{5B73CE05-F06E-4156-A5AB-447AD63E881B}">
      <text>
        <r>
          <rPr>
            <b/>
            <sz val="9"/>
            <color indexed="81"/>
            <rFont val="Tahoma"/>
            <family val="2"/>
          </rPr>
          <t>Author:</t>
        </r>
        <r>
          <rPr>
            <sz val="9"/>
            <color indexed="81"/>
            <rFont val="Tahoma"/>
            <family val="2"/>
          </rPr>
          <t xml:space="preserve">
assumption that 1% of Cu from Non-Fe fraction is lost to each flow</t>
        </r>
      </text>
    </comment>
    <comment ref="K98" authorId="0" shapeId="0" xr:uid="{7602DC4F-6E8E-41A4-81AA-CAC9125A4F68}">
      <text>
        <r>
          <rPr>
            <b/>
            <sz val="9"/>
            <color indexed="81"/>
            <rFont val="Tahoma"/>
            <family val="2"/>
          </rPr>
          <t>Author:</t>
        </r>
        <r>
          <rPr>
            <sz val="9"/>
            <color indexed="81"/>
            <rFont val="Tahoma"/>
            <family val="2"/>
          </rPr>
          <t xml:space="preserve">
assumption that 1% of copper from Non-Fe fraction is lost to each flow</t>
        </r>
      </text>
    </comment>
    <comment ref="L98" authorId="0" shapeId="0" xr:uid="{AACA0737-783F-4720-BAAB-F17D0766685A}">
      <text>
        <r>
          <rPr>
            <b/>
            <sz val="9"/>
            <color indexed="81"/>
            <rFont val="Tahoma"/>
            <family val="2"/>
          </rPr>
          <t>Author:</t>
        </r>
        <r>
          <rPr>
            <sz val="9"/>
            <color indexed="81"/>
            <rFont val="Tahoma"/>
            <family val="2"/>
          </rPr>
          <t xml:space="preserve">
mass balanced through the residues flow</t>
        </r>
      </text>
    </comment>
    <comment ref="M98" authorId="0" shapeId="0" xr:uid="{8A6A5DE4-B09E-4C61-8C40-3A2750198321}">
      <text>
        <r>
          <rPr>
            <b/>
            <sz val="9"/>
            <color indexed="81"/>
            <rFont val="Tahoma"/>
            <family val="2"/>
          </rPr>
          <t>Author:</t>
        </r>
        <r>
          <rPr>
            <sz val="9"/>
            <color indexed="81"/>
            <rFont val="Tahoma"/>
            <family val="2"/>
          </rPr>
          <t xml:space="preserve">
assumption that 1% of copper from Non-Fe fraction is lost to each flow</t>
        </r>
      </text>
    </comment>
    <comment ref="I99" authorId="0" shapeId="0" xr:uid="{F8B79AD1-2B34-423E-A85F-6D159385703B}">
      <text>
        <r>
          <rPr>
            <b/>
            <sz val="9"/>
            <color indexed="81"/>
            <rFont val="Tahoma"/>
            <family val="2"/>
          </rPr>
          <t>Author:</t>
        </r>
        <r>
          <rPr>
            <sz val="9"/>
            <color indexed="81"/>
            <rFont val="Tahoma"/>
            <family val="2"/>
          </rPr>
          <t xml:space="preserve">
assumption that half of the glass is directed to residues and the exported mixed fraction</t>
        </r>
      </text>
    </comment>
    <comment ref="L99" authorId="0" shapeId="0" xr:uid="{808DCAC2-4387-4EE8-B4FB-21A0FB8A873C}">
      <text>
        <r>
          <rPr>
            <b/>
            <sz val="9"/>
            <color indexed="81"/>
            <rFont val="Tahoma"/>
            <family val="2"/>
          </rPr>
          <t>Author:</t>
        </r>
        <r>
          <rPr>
            <sz val="9"/>
            <color indexed="81"/>
            <rFont val="Tahoma"/>
            <family val="2"/>
          </rPr>
          <t xml:space="preserve">
assumption that half of the glass is directed to residues and the exported mixed fraction</t>
        </r>
      </text>
    </comment>
    <comment ref="I100" authorId="0" shapeId="0" xr:uid="{7FE4C417-1BF8-4CB5-BCB8-27F06E5BD607}">
      <text>
        <r>
          <rPr>
            <b/>
            <sz val="9"/>
            <color indexed="81"/>
            <rFont val="Tahoma"/>
            <family val="2"/>
          </rPr>
          <t>Author:</t>
        </r>
        <r>
          <rPr>
            <sz val="9"/>
            <color indexed="81"/>
            <rFont val="Tahoma"/>
            <family val="2"/>
          </rPr>
          <t xml:space="preserve">
Based on the Al content in light fraction reported by Passarini et al., (2014) [5]</t>
        </r>
      </text>
    </comment>
    <comment ref="L100" authorId="0" shapeId="0" xr:uid="{AC0EDD15-F0D9-49ED-9411-4E9D86D7A3B8}">
      <text>
        <r>
          <rPr>
            <b/>
            <sz val="9"/>
            <color indexed="81"/>
            <rFont val="Tahoma"/>
            <family val="2"/>
          </rPr>
          <t>Author:</t>
        </r>
        <r>
          <rPr>
            <sz val="9"/>
            <color indexed="81"/>
            <rFont val="Tahoma"/>
            <family val="2"/>
          </rPr>
          <t xml:space="preserve">
based on [5], who estimate that 1000kg of light fluff contain 6.5 kg of aluminum
</t>
        </r>
      </text>
    </comment>
    <comment ref="M100" authorId="0" shapeId="0" xr:uid="{1826B0A0-447F-4F02-8BCE-083163FB68F1}">
      <text>
        <r>
          <rPr>
            <b/>
            <sz val="9"/>
            <color indexed="81"/>
            <rFont val="Tahoma"/>
            <family val="2"/>
          </rPr>
          <t>Author:</t>
        </r>
        <r>
          <rPr>
            <sz val="9"/>
            <color indexed="81"/>
            <rFont val="Tahoma"/>
            <family val="2"/>
          </rPr>
          <t xml:space="preserve">
Based on fraction of Al scrap exported, as reported by Passarini et al., (2018) [5]</t>
        </r>
      </text>
    </comment>
    <comment ref="I101" authorId="0" shapeId="0" xr:uid="{BF443195-AD87-457A-94A8-1F474C9F11AC}">
      <text>
        <r>
          <rPr>
            <b/>
            <sz val="9"/>
            <color indexed="81"/>
            <rFont val="Tahoma"/>
            <family val="2"/>
          </rPr>
          <t>Author:</t>
        </r>
        <r>
          <rPr>
            <sz val="9"/>
            <color indexed="81"/>
            <rFont val="Tahoma"/>
            <family val="2"/>
          </rPr>
          <t xml:space="preserve">
Based on the Al content in light fraction reported by Passarini et al., (2014) [5]
</t>
        </r>
      </text>
    </comment>
    <comment ref="L101" authorId="0" shapeId="0" xr:uid="{8EB957BB-5AF2-4A2F-A8AD-E9005ADDD0C1}">
      <text>
        <r>
          <rPr>
            <b/>
            <sz val="9"/>
            <color indexed="81"/>
            <rFont val="Tahoma"/>
            <family val="2"/>
          </rPr>
          <t>Author:</t>
        </r>
        <r>
          <rPr>
            <sz val="9"/>
            <color indexed="81"/>
            <rFont val="Tahoma"/>
            <family val="2"/>
          </rPr>
          <t xml:space="preserve">
based on [5], who estimate that 1000kg of light fluff contain 6.5 kg of aluminum</t>
        </r>
      </text>
    </comment>
    <comment ref="M101" authorId="0" shapeId="0" xr:uid="{39849BA1-9221-4E87-AD6C-904397DDEDD1}">
      <text>
        <r>
          <rPr>
            <b/>
            <sz val="9"/>
            <color indexed="81"/>
            <rFont val="Tahoma"/>
            <family val="2"/>
          </rPr>
          <t>Author:</t>
        </r>
        <r>
          <rPr>
            <sz val="9"/>
            <color indexed="81"/>
            <rFont val="Tahoma"/>
            <family val="2"/>
          </rPr>
          <t xml:space="preserve">
Based on fraction of Al scrap exported, as reported by Passarini et al., (2018) [5]</t>
        </r>
      </text>
    </comment>
    <comment ref="I102" authorId="0" shapeId="0" xr:uid="{8B752B9B-3690-4548-92B4-0D3BED3EF86F}">
      <text>
        <r>
          <rPr>
            <b/>
            <sz val="9"/>
            <color indexed="81"/>
            <rFont val="Tahoma"/>
            <family val="2"/>
          </rPr>
          <t>Author:</t>
        </r>
        <r>
          <rPr>
            <sz val="9"/>
            <color indexed="81"/>
            <rFont val="Tahoma"/>
            <family val="2"/>
          </rPr>
          <t xml:space="preserve">
assumed to remain on Fe and Al parts to some degree, assumption that 10% of the paint are distributed to each metal fraction, with the remaining 70% being equally distributed between residues and the exported mixed fraction</t>
        </r>
      </text>
    </comment>
    <comment ref="J102" authorId="0" shapeId="0" xr:uid="{0B09329A-7DDD-41BC-9FC1-60ACCDC8B730}">
      <text>
        <r>
          <rPr>
            <b/>
            <sz val="9"/>
            <color indexed="81"/>
            <rFont val="Tahoma"/>
            <family val="2"/>
          </rPr>
          <t>Author:</t>
        </r>
        <r>
          <rPr>
            <sz val="9"/>
            <color indexed="81"/>
            <rFont val="Tahoma"/>
            <family val="2"/>
          </rPr>
          <t xml:space="preserve">
assumed that some paint remains on Fe and Al parts to some degree, assumption that 10% of the paint is distributed to each metal fraction, with the remaining 70% being equally distributed between residues and the exported mixed fraction</t>
        </r>
      </text>
    </comment>
    <comment ref="K102" authorId="0" shapeId="0" xr:uid="{0B34939A-B696-40B8-A283-FB69F669A4FF}">
      <text>
        <r>
          <rPr>
            <b/>
            <sz val="9"/>
            <color indexed="81"/>
            <rFont val="Tahoma"/>
            <family val="2"/>
          </rPr>
          <t>Author:</t>
        </r>
        <r>
          <rPr>
            <sz val="9"/>
            <color indexed="81"/>
            <rFont val="Tahoma"/>
            <family val="2"/>
          </rPr>
          <t xml:space="preserve">
assumed that some paint remains on Fe and Al parts to some degree, assumption that 10% of the paint is distributed to each metal fraction, with the remaining 70% being equally distributed between residues and the exported mixed fraction</t>
        </r>
      </text>
    </comment>
    <comment ref="L102" authorId="0" shapeId="0" xr:uid="{E7CF94F7-9CE0-471A-8084-B10F12588346}">
      <text>
        <r>
          <rPr>
            <b/>
            <sz val="9"/>
            <color indexed="81"/>
            <rFont val="Tahoma"/>
            <family val="2"/>
          </rPr>
          <t>Author:</t>
        </r>
        <r>
          <rPr>
            <sz val="9"/>
            <color indexed="81"/>
            <rFont val="Tahoma"/>
            <family val="2"/>
          </rPr>
          <t xml:space="preserve">
assumed that some paint remains on Fe and Al parts to some degree, assumption that 10% of the paint is distributed to each metal fraction, with the remaining 70% being equally distributed between residues and the exported mixed fraction</t>
        </r>
      </text>
    </comment>
    <comment ref="M102" authorId="0" shapeId="0" xr:uid="{B7931D1C-F4C0-4DF3-9D05-4D01C8AFE4C6}">
      <text>
        <r>
          <rPr>
            <b/>
            <sz val="9"/>
            <color indexed="81"/>
            <rFont val="Tahoma"/>
            <family val="2"/>
          </rPr>
          <t>Author:</t>
        </r>
        <r>
          <rPr>
            <sz val="9"/>
            <color indexed="81"/>
            <rFont val="Tahoma"/>
            <family val="2"/>
          </rPr>
          <t xml:space="preserve">
assumed that some paint remains on Fe and Al parts to some degree, assumption that 10% of the paint is distributed to each metal fraction, with the remaining 70% being equally distributed between residues and the exported mixed fraction</t>
        </r>
      </text>
    </comment>
    <comment ref="P102" authorId="0" shapeId="0" xr:uid="{2D5C8145-2B15-40B4-AE58-EB9D4A9504A9}">
      <text>
        <r>
          <rPr>
            <b/>
            <sz val="9"/>
            <color indexed="81"/>
            <rFont val="Tahoma"/>
            <family val="2"/>
          </rPr>
          <t>Author:</t>
        </r>
        <r>
          <rPr>
            <sz val="9"/>
            <color indexed="81"/>
            <rFont val="Tahoma"/>
            <family val="2"/>
          </rPr>
          <t xml:space="preserve">
Bureau of International Recycling [4]
</t>
        </r>
      </text>
    </comment>
    <comment ref="I103" authorId="0" shapeId="0" xr:uid="{AB17F614-BC85-47A8-A1D3-71346295D2CE}">
      <text>
        <r>
          <rPr>
            <b/>
            <sz val="9"/>
            <color indexed="81"/>
            <rFont val="Tahoma"/>
            <family val="2"/>
          </rPr>
          <t>Author:</t>
        </r>
        <r>
          <rPr>
            <sz val="9"/>
            <color indexed="81"/>
            <rFont val="Tahoma"/>
            <family val="2"/>
          </rPr>
          <t xml:space="preserve">
Based on recycling efficiency reported [6]</t>
        </r>
      </text>
    </comment>
    <comment ref="J105" authorId="0" shapeId="0" xr:uid="{20023DAF-D9C1-4F11-AFC2-7B4C9865CC31}">
      <text>
        <r>
          <rPr>
            <b/>
            <sz val="9"/>
            <color indexed="81"/>
            <rFont val="Tahoma"/>
            <family val="2"/>
          </rPr>
          <t>Author:</t>
        </r>
        <r>
          <rPr>
            <sz val="9"/>
            <color indexed="81"/>
            <rFont val="Tahoma"/>
            <family val="2"/>
          </rPr>
          <t xml:space="preserve">
larger fraction of Al scrap is treated within the system, as the system represents a larger system (EU), compared to Swedish system by Andersson et al, (2017) (see previous sheet)</t>
        </r>
      </text>
    </comment>
    <comment ref="M105" authorId="0" shapeId="0" xr:uid="{CC340A61-D371-4240-BCA1-84FD82B4A87C}">
      <text>
        <r>
          <rPr>
            <b/>
            <sz val="9"/>
            <color indexed="81"/>
            <rFont val="Tahoma"/>
            <family val="2"/>
          </rPr>
          <t>Author:</t>
        </r>
        <r>
          <rPr>
            <sz val="9"/>
            <color indexed="81"/>
            <rFont val="Tahoma"/>
            <family val="2"/>
          </rPr>
          <t xml:space="preserve">
larger fraction of Al scrap is treated within the system, as the system represents a larger system (EU), compared to Swedish system by Andersson et al, (2017) (see previous sheet)</t>
        </r>
      </text>
    </comment>
    <comment ref="F111" authorId="0" shapeId="0" xr:uid="{EBE4CA33-2A7D-4995-A0A6-01BC19AD7C84}">
      <text>
        <r>
          <rPr>
            <b/>
            <sz val="9"/>
            <color indexed="81"/>
            <rFont val="Tahoma"/>
            <family val="2"/>
          </rPr>
          <t>Author:</t>
        </r>
        <r>
          <rPr>
            <sz val="9"/>
            <color indexed="81"/>
            <rFont val="Tahoma"/>
            <family val="2"/>
          </rPr>
          <t xml:space="preserve">
based on data from [8], with loss accounted with 1% (no mass balance); to ensure mass balance, 2% of materials are distributed equally to recycled materials and residues.</t>
        </r>
      </text>
    </comment>
    <comment ref="G111" authorId="0" shapeId="0" xr:uid="{01FF352B-6251-4698-9959-03C39E2D4F84}">
      <text>
        <r>
          <rPr>
            <b/>
            <sz val="9"/>
            <color indexed="81"/>
            <rFont val="Tahoma"/>
            <family val="2"/>
          </rPr>
          <t>Author:</t>
        </r>
        <r>
          <rPr>
            <sz val="9"/>
            <color indexed="81"/>
            <rFont val="Tahoma"/>
            <family val="2"/>
          </rPr>
          <t xml:space="preserve">
based on data from [8], with loss accounted with 1% (no mass balance); to ensure mass balance, 2% of materials are distributed equally to recycled materials and residues.</t>
        </r>
      </text>
    </comment>
    <comment ref="H111" authorId="0" shapeId="0" xr:uid="{A772F267-6474-47C2-ABB2-43C71A6CCBBF}">
      <text>
        <r>
          <rPr>
            <b/>
            <sz val="9"/>
            <color indexed="81"/>
            <rFont val="Tahoma"/>
            <family val="2"/>
          </rPr>
          <t>Author:</t>
        </r>
        <r>
          <rPr>
            <sz val="9"/>
            <color indexed="81"/>
            <rFont val="Tahoma"/>
            <family val="2"/>
          </rPr>
          <t xml:space="preserve">
based on data from [8]</t>
        </r>
      </text>
    </comment>
    <comment ref="F112" authorId="0" shapeId="0" xr:uid="{BAD1DD38-2556-40DC-9183-8E32ED795322}">
      <text>
        <r>
          <rPr>
            <b/>
            <sz val="9"/>
            <color indexed="81"/>
            <rFont val="Tahoma"/>
            <family val="2"/>
          </rPr>
          <t>Author:</t>
        </r>
        <r>
          <rPr>
            <sz val="9"/>
            <color indexed="81"/>
            <rFont val="Tahoma"/>
            <family val="2"/>
          </rPr>
          <t xml:space="preserve">
based on data from [8], with loss accounted with 1% (no mass balance); to ensure mass balance, 2% of materials are distributed equally to recycled materials and residues.</t>
        </r>
      </text>
    </comment>
    <comment ref="G112" authorId="0" shapeId="0" xr:uid="{C9E1A161-D04D-41CA-9873-28BE7164E4EB}">
      <text>
        <r>
          <rPr>
            <b/>
            <sz val="9"/>
            <color indexed="81"/>
            <rFont val="Tahoma"/>
            <family val="2"/>
          </rPr>
          <t>Author:</t>
        </r>
        <r>
          <rPr>
            <sz val="9"/>
            <color indexed="81"/>
            <rFont val="Tahoma"/>
            <family val="2"/>
          </rPr>
          <t xml:space="preserve">
based on data from [8], with loss accounted with 1% (no mass balance); to ensure mass balance, 2% of materials are distributed equally to recycled materials and residues.</t>
        </r>
      </text>
    </comment>
    <comment ref="H112" authorId="0" shapeId="0" xr:uid="{316F2478-1081-4236-9542-48841C99770C}">
      <text>
        <r>
          <rPr>
            <b/>
            <sz val="9"/>
            <color indexed="81"/>
            <rFont val="Tahoma"/>
            <family val="2"/>
          </rPr>
          <t>Author:</t>
        </r>
        <r>
          <rPr>
            <sz val="9"/>
            <color indexed="81"/>
            <rFont val="Tahoma"/>
            <family val="2"/>
          </rPr>
          <t xml:space="preserve">
based on data from [8]</t>
        </r>
      </text>
    </comment>
    <comment ref="F113" authorId="0" shapeId="0" xr:uid="{8CD91CEE-AA31-4F7D-976E-97F78001C637}">
      <text>
        <r>
          <rPr>
            <b/>
            <sz val="9"/>
            <color indexed="81"/>
            <rFont val="Tahoma"/>
            <family val="2"/>
          </rPr>
          <t>Author:</t>
        </r>
        <r>
          <rPr>
            <sz val="9"/>
            <color indexed="81"/>
            <rFont val="Tahoma"/>
            <family val="2"/>
          </rPr>
          <t xml:space="preserve">
assumption that 50% of plastics are sorted and sent to recycling</t>
        </r>
      </text>
    </comment>
    <comment ref="G113" authorId="0" shapeId="0" xr:uid="{9665E92D-D600-452F-B02F-7E61C79FE50E}">
      <text>
        <r>
          <rPr>
            <b/>
            <sz val="9"/>
            <color indexed="81"/>
            <rFont val="Tahoma"/>
            <family val="2"/>
          </rPr>
          <t>Author:</t>
        </r>
        <r>
          <rPr>
            <sz val="9"/>
            <color indexed="81"/>
            <rFont val="Tahoma"/>
            <family val="2"/>
          </rPr>
          <t xml:space="preserve">
assumption that 50% of plastics are sorted and sent to recycling</t>
        </r>
      </text>
    </comment>
    <comment ref="F114" authorId="0" shapeId="0" xr:uid="{EDF15AF4-B41E-4726-BF3B-477B4643A9D1}">
      <text>
        <r>
          <rPr>
            <b/>
            <sz val="9"/>
            <color indexed="81"/>
            <rFont val="Tahoma"/>
            <family val="2"/>
          </rPr>
          <t>Author:</t>
        </r>
        <r>
          <rPr>
            <sz val="9"/>
            <color indexed="81"/>
            <rFont val="Tahoma"/>
            <family val="2"/>
          </rPr>
          <t xml:space="preserve">
assumption that almost all Cu is sorted and sent to recycling</t>
        </r>
      </text>
    </comment>
    <comment ref="F115" authorId="0" shapeId="0" xr:uid="{2EEB4223-A8EE-40DB-843A-AA28D144C127}">
      <text>
        <r>
          <rPr>
            <b/>
            <sz val="9"/>
            <color indexed="81"/>
            <rFont val="Tahoma"/>
            <family val="2"/>
          </rPr>
          <t>Author:</t>
        </r>
        <r>
          <rPr>
            <sz val="9"/>
            <color indexed="81"/>
            <rFont val="Tahoma"/>
            <family val="2"/>
          </rPr>
          <t xml:space="preserve">
assumption that glass is sorted and collected separately to be sent to recycling if it is diverted to regulated component flows.</t>
        </r>
      </text>
    </comment>
    <comment ref="F116" authorId="0" shapeId="0" xr:uid="{0A7F94D6-6DFD-4A91-96AA-D68B8BAAB57D}">
      <text>
        <r>
          <rPr>
            <b/>
            <sz val="9"/>
            <color indexed="81"/>
            <rFont val="Tahoma"/>
            <family val="2"/>
          </rPr>
          <t>Author:</t>
        </r>
        <r>
          <rPr>
            <sz val="9"/>
            <color indexed="81"/>
            <rFont val="Tahoma"/>
            <family val="2"/>
          </rPr>
          <t xml:space="preserve">
assumption that Al is diverted to a dedicated Al flow</t>
        </r>
      </text>
    </comment>
    <comment ref="F117" authorId="0" shapeId="0" xr:uid="{D01DE8B3-C07B-46F2-A161-34EB9E2A1643}">
      <text>
        <r>
          <rPr>
            <b/>
            <sz val="9"/>
            <color indexed="81"/>
            <rFont val="Tahoma"/>
            <family val="2"/>
          </rPr>
          <t>Author:</t>
        </r>
        <r>
          <rPr>
            <sz val="9"/>
            <color indexed="81"/>
            <rFont val="Tahoma"/>
            <family val="2"/>
          </rPr>
          <t xml:space="preserve">
assumption that Al is diverted to a dedicated Al flow</t>
        </r>
      </text>
    </comment>
    <comment ref="F118" authorId="0" shapeId="0" xr:uid="{D086A5CC-A6D1-448C-A6B2-AB526CE0AD46}">
      <text>
        <r>
          <rPr>
            <b/>
            <sz val="9"/>
            <color indexed="81"/>
            <rFont val="Tahoma"/>
            <family val="2"/>
          </rPr>
          <t>Author:</t>
        </r>
        <r>
          <rPr>
            <sz val="9"/>
            <color indexed="81"/>
            <rFont val="Tahoma"/>
            <family val="2"/>
          </rPr>
          <t xml:space="preserve">
assumption that 10% of paint remains on the component surface</t>
        </r>
      </text>
    </comment>
    <comment ref="F119" authorId="0" shapeId="0" xr:uid="{470BF051-696D-4CC4-8B7B-7A1C1D281EB2}">
      <text>
        <r>
          <rPr>
            <b/>
            <sz val="9"/>
            <color indexed="81"/>
            <rFont val="Tahoma"/>
            <family val="2"/>
          </rPr>
          <t>Author:</t>
        </r>
        <r>
          <rPr>
            <sz val="9"/>
            <color indexed="81"/>
            <rFont val="Tahoma"/>
            <family val="2"/>
          </rPr>
          <t xml:space="preserve">
assumption that most rubber is not recycled</t>
        </r>
      </text>
    </comment>
    <comment ref="F120" authorId="0" shapeId="0" xr:uid="{A21DC441-DBFF-435B-9F24-C3584DDE8FF5}">
      <text>
        <r>
          <rPr>
            <b/>
            <sz val="9"/>
            <color indexed="81"/>
            <rFont val="Tahoma"/>
            <family val="2"/>
          </rPr>
          <t>Author:</t>
        </r>
        <r>
          <rPr>
            <sz val="9"/>
            <color indexed="81"/>
            <rFont val="Tahoma"/>
            <family val="2"/>
          </rPr>
          <t xml:space="preserve">
assumption that carbon black has a similar diversion path as rubber</t>
        </r>
      </text>
    </comment>
    <comment ref="F121" authorId="0" shapeId="0" xr:uid="{2DDA2EBF-6AF0-4833-AE9B-24D1FC41C057}">
      <text>
        <r>
          <rPr>
            <b/>
            <sz val="9"/>
            <color indexed="81"/>
            <rFont val="Tahoma"/>
            <family val="2"/>
          </rPr>
          <t>Author:</t>
        </r>
        <r>
          <rPr>
            <sz val="9"/>
            <color indexed="81"/>
            <rFont val="Tahoma"/>
            <family val="2"/>
          </rPr>
          <t xml:space="preserve">
assumption that Pb is diverted to further recycling</t>
        </r>
      </text>
    </comment>
    <comment ref="F127" authorId="0" shapeId="0" xr:uid="{EBCE8039-D427-4A3F-B044-71977158CBB9}">
      <text>
        <r>
          <rPr>
            <b/>
            <sz val="9"/>
            <color indexed="81"/>
            <rFont val="Tahoma"/>
            <family val="2"/>
          </rPr>
          <t>Author:</t>
        </r>
        <r>
          <rPr>
            <sz val="9"/>
            <color indexed="81"/>
            <rFont val="Tahoma"/>
            <family val="2"/>
          </rPr>
          <t xml:space="preserve">
based on Cullen et al., (2013) [7], and reported closed-loop recycling of automotive steel [8].</t>
        </r>
      </text>
    </comment>
    <comment ref="G127" authorId="0" shapeId="0" xr:uid="{C4CF61AC-7A00-449D-A35D-9545DC743AD6}">
      <text>
        <r>
          <rPr>
            <b/>
            <sz val="9"/>
            <color indexed="81"/>
            <rFont val="Tahoma"/>
            <family val="2"/>
          </rPr>
          <t>Author:</t>
        </r>
        <r>
          <rPr>
            <sz val="9"/>
            <color indexed="81"/>
            <rFont val="Tahoma"/>
            <family val="2"/>
          </rPr>
          <t xml:space="preserve">
based on Cullen et al., (2013) [7], and reported closed-loop recycling of automotive steel [8].</t>
        </r>
      </text>
    </comment>
    <comment ref="H127" authorId="0" shapeId="0" xr:uid="{80457448-ACC6-4266-BC19-26CE0EDC4F09}">
      <text>
        <r>
          <rPr>
            <b/>
            <sz val="9"/>
            <color indexed="81"/>
            <rFont val="Tahoma"/>
            <family val="2"/>
          </rPr>
          <t>Author:</t>
        </r>
        <r>
          <rPr>
            <sz val="9"/>
            <color indexed="81"/>
            <rFont val="Tahoma"/>
            <family val="2"/>
          </rPr>
          <t xml:space="preserve">
based on Cullen et al., (2013) [7], and reported closed-loop recycling of automotive steel [8].</t>
        </r>
      </text>
    </comment>
    <comment ref="F128" authorId="0" shapeId="0" xr:uid="{D7A535F3-FA30-485E-AF3C-0875F7828593}">
      <text>
        <r>
          <rPr>
            <b/>
            <sz val="9"/>
            <color indexed="81"/>
            <rFont val="Tahoma"/>
            <family val="2"/>
          </rPr>
          <t>Author:</t>
        </r>
        <r>
          <rPr>
            <sz val="9"/>
            <color indexed="81"/>
            <rFont val="Tahoma"/>
            <family val="2"/>
          </rPr>
          <t xml:space="preserve">
based on Cullen et al., (2013) [7], and reported closed-loop recycling of automotive steel [8].</t>
        </r>
      </text>
    </comment>
    <comment ref="G128" authorId="0" shapeId="0" xr:uid="{1092DA33-16B2-4808-8768-3B23F266423E}">
      <text>
        <r>
          <rPr>
            <b/>
            <sz val="9"/>
            <color indexed="81"/>
            <rFont val="Tahoma"/>
            <family val="2"/>
          </rPr>
          <t>Author:</t>
        </r>
        <r>
          <rPr>
            <sz val="9"/>
            <color indexed="81"/>
            <rFont val="Tahoma"/>
            <family val="2"/>
          </rPr>
          <t xml:space="preserve">
based on Cullen et al., (2013) [7], and reported closed-loop recycling of automotive steel [8].</t>
        </r>
      </text>
    </comment>
    <comment ref="H128" authorId="0" shapeId="0" xr:uid="{0D68A27E-68F0-40B7-A912-C32767CBFA80}">
      <text>
        <r>
          <rPr>
            <b/>
            <sz val="9"/>
            <color indexed="81"/>
            <rFont val="Tahoma"/>
            <family val="2"/>
          </rPr>
          <t>Author:</t>
        </r>
        <r>
          <rPr>
            <sz val="9"/>
            <color indexed="81"/>
            <rFont val="Tahoma"/>
            <family val="2"/>
          </rPr>
          <t xml:space="preserve">
based on Cullen et al., (2013) [7], and reported closed-loop recycling of automotive steel [8].</t>
        </r>
      </text>
    </comment>
    <comment ref="R129" authorId="0" shapeId="0" xr:uid="{E5EAA5B6-11A9-4BC9-8CE9-4E9E48506BE6}">
      <text>
        <r>
          <rPr>
            <b/>
            <sz val="9"/>
            <color indexed="81"/>
            <rFont val="Tahoma"/>
            <family val="2"/>
          </rPr>
          <t>Author:</t>
        </r>
        <r>
          <rPr>
            <sz val="9"/>
            <color indexed="81"/>
            <rFont val="Tahoma"/>
            <family val="2"/>
          </rPr>
          <t xml:space="preserve">
based on [9]</t>
        </r>
      </text>
    </comment>
    <comment ref="S129" authorId="0" shapeId="0" xr:uid="{CCD514B3-1F81-460C-B8F2-BF81C43C5652}">
      <text>
        <r>
          <rPr>
            <b/>
            <sz val="9"/>
            <color indexed="81"/>
            <rFont val="Tahoma"/>
            <family val="2"/>
          </rPr>
          <t>Author:</t>
        </r>
        <r>
          <rPr>
            <sz val="9"/>
            <color indexed="81"/>
            <rFont val="Tahoma"/>
            <family val="2"/>
          </rPr>
          <t xml:space="preserve">
based on [9]</t>
        </r>
      </text>
    </comment>
    <comment ref="F130" authorId="0" shapeId="0" xr:uid="{12DE2FE5-2358-469F-9C5A-448A4486E25E}">
      <text>
        <r>
          <rPr>
            <b/>
            <sz val="9"/>
            <color indexed="81"/>
            <rFont val="Tahoma"/>
            <family val="2"/>
          </rPr>
          <t>Author:</t>
        </r>
        <r>
          <rPr>
            <sz val="9"/>
            <color indexed="81"/>
            <rFont val="Tahoma"/>
            <family val="2"/>
          </rPr>
          <t xml:space="preserve">
based on Björkman and Samuelsson (2014) [9], reported closed-loop recycling of automotive steel [8].</t>
        </r>
      </text>
    </comment>
    <comment ref="G130" authorId="0" shapeId="0" xr:uid="{78613107-38C0-42B0-A781-1B0C3DAD4EBD}">
      <text>
        <r>
          <rPr>
            <b/>
            <sz val="9"/>
            <color indexed="81"/>
            <rFont val="Tahoma"/>
            <family val="2"/>
          </rPr>
          <t>Author:</t>
        </r>
        <r>
          <rPr>
            <sz val="9"/>
            <color indexed="81"/>
            <rFont val="Tahoma"/>
            <family val="2"/>
          </rPr>
          <t xml:space="preserve">
based on Björkman and Samuelsson (2014) [9], reported closed-loop recycling of automotive steel [8].</t>
        </r>
      </text>
    </comment>
    <comment ref="H130" authorId="0" shapeId="0" xr:uid="{42144FE5-710B-4063-8FFB-0809688F3EEF}">
      <text>
        <r>
          <rPr>
            <b/>
            <sz val="9"/>
            <color indexed="81"/>
            <rFont val="Tahoma"/>
            <family val="2"/>
          </rPr>
          <t>Author:</t>
        </r>
        <r>
          <rPr>
            <sz val="9"/>
            <color indexed="81"/>
            <rFont val="Tahoma"/>
            <family val="2"/>
          </rPr>
          <t xml:space="preserve">
based on Björkman and Samuelsson (2014) [9], reported closed-loop recycling of automotive steel [8].</t>
        </r>
      </text>
    </comment>
    <comment ref="G131" authorId="0" shapeId="0" xr:uid="{B7BD3D54-B3DB-42FC-85EB-3F16B253D04F}">
      <text>
        <r>
          <rPr>
            <b/>
            <sz val="9"/>
            <color indexed="81"/>
            <rFont val="Tahoma"/>
            <family val="2"/>
          </rPr>
          <t>Author:</t>
        </r>
        <r>
          <rPr>
            <sz val="9"/>
            <color indexed="81"/>
            <rFont val="Tahoma"/>
            <family val="2"/>
          </rPr>
          <t xml:space="preserve">
based on Björkman and Samuelsson (2014) [9], assumed that glass behaves similar to Si</t>
        </r>
      </text>
    </comment>
    <comment ref="G132" authorId="0" shapeId="0" xr:uid="{53896A85-6F9D-4764-8852-A7218229487E}">
      <text>
        <r>
          <rPr>
            <b/>
            <sz val="9"/>
            <color indexed="81"/>
            <rFont val="Tahoma"/>
            <family val="2"/>
          </rPr>
          <t>Author:</t>
        </r>
        <r>
          <rPr>
            <sz val="9"/>
            <color indexed="81"/>
            <rFont val="Tahoma"/>
            <family val="2"/>
          </rPr>
          <t xml:space="preserve">
based on Björkman and Samuelsson (2014) [9]</t>
        </r>
      </text>
    </comment>
    <comment ref="G133" authorId="0" shapeId="0" xr:uid="{1A7B81CB-B4C9-4A8F-87CD-217D35FF7F22}">
      <text>
        <r>
          <rPr>
            <b/>
            <sz val="9"/>
            <color indexed="81"/>
            <rFont val="Tahoma"/>
            <family val="2"/>
          </rPr>
          <t>Author:</t>
        </r>
        <r>
          <rPr>
            <sz val="9"/>
            <color indexed="81"/>
            <rFont val="Tahoma"/>
            <family val="2"/>
          </rPr>
          <t xml:space="preserve">
based on Björkman and Samuelsson (2014) [9]</t>
        </r>
      </text>
    </comment>
    <comment ref="G134" authorId="0" shapeId="0" xr:uid="{BA932087-48B1-4D45-ADD0-F75F45C7F066}">
      <text>
        <r>
          <rPr>
            <b/>
            <sz val="9"/>
            <color indexed="81"/>
            <rFont val="Tahoma"/>
            <family val="2"/>
          </rPr>
          <t>Author:</t>
        </r>
        <r>
          <rPr>
            <sz val="9"/>
            <color indexed="81"/>
            <rFont val="Tahoma"/>
            <family val="2"/>
          </rPr>
          <t xml:space="preserve">
assumed that it is oxidized</t>
        </r>
      </text>
    </comment>
    <comment ref="G135" authorId="0" shapeId="0" xr:uid="{2CDC114A-214D-4F2D-BB06-F1ACD898A7FF}">
      <text>
        <r>
          <rPr>
            <b/>
            <sz val="9"/>
            <color indexed="81"/>
            <rFont val="Tahoma"/>
            <family val="2"/>
          </rPr>
          <t>Author:</t>
        </r>
        <r>
          <rPr>
            <sz val="9"/>
            <color indexed="81"/>
            <rFont val="Tahoma"/>
            <family val="2"/>
          </rPr>
          <t xml:space="preserve">
assumed that it is oxidized</t>
        </r>
      </text>
    </comment>
    <comment ref="G136" authorId="0" shapeId="0" xr:uid="{78573933-78C8-43D8-8FCB-279DA8434984}">
      <text>
        <r>
          <rPr>
            <b/>
            <sz val="9"/>
            <color indexed="81"/>
            <rFont val="Tahoma"/>
            <family val="2"/>
          </rPr>
          <t>Author:</t>
        </r>
        <r>
          <rPr>
            <sz val="9"/>
            <color indexed="81"/>
            <rFont val="Tahoma"/>
            <family val="2"/>
          </rPr>
          <t xml:space="preserve">
assumed that it is oxidized</t>
        </r>
      </text>
    </comment>
    <comment ref="F137" authorId="0" shapeId="0" xr:uid="{347F9121-7598-4EEA-A12F-E16DB896C130}">
      <text>
        <r>
          <rPr>
            <b/>
            <sz val="9"/>
            <color indexed="81"/>
            <rFont val="Tahoma"/>
            <family val="2"/>
          </rPr>
          <t>Author:</t>
        </r>
        <r>
          <rPr>
            <sz val="9"/>
            <color indexed="81"/>
            <rFont val="Tahoma"/>
            <family val="2"/>
          </rPr>
          <t xml:space="preserve">
estimated, based on Björkman and Samuelsson (2014) [9], who report that Pb mostly goes to the bath during steel recycling
</t>
        </r>
      </text>
    </comment>
    <comment ref="G137" authorId="0" shapeId="0" xr:uid="{7F09E637-AA14-4225-8188-A03608C752A1}">
      <text>
        <r>
          <rPr>
            <b/>
            <sz val="9"/>
            <color indexed="81"/>
            <rFont val="Tahoma"/>
            <family val="2"/>
          </rPr>
          <t>Author:</t>
        </r>
        <r>
          <rPr>
            <sz val="9"/>
            <color indexed="81"/>
            <rFont val="Tahoma"/>
            <family val="2"/>
          </rPr>
          <t xml:space="preserve">
estimated, based on Björkman and Samuelsson (2014) [9], who report that Pb mostly goes to the bath during steel recycling</t>
        </r>
      </text>
    </comment>
    <comment ref="G143" authorId="0" shapeId="0" xr:uid="{4BA17257-142D-44E4-93FF-B883F6737540}">
      <text>
        <r>
          <rPr>
            <b/>
            <sz val="9"/>
            <color indexed="81"/>
            <rFont val="Tahoma"/>
            <family val="2"/>
          </rPr>
          <t>Author:</t>
        </r>
        <r>
          <rPr>
            <sz val="9"/>
            <color indexed="81"/>
            <rFont val="Tahoma"/>
            <family val="2"/>
          </rPr>
          <t xml:space="preserve">
assumption</t>
        </r>
      </text>
    </comment>
    <comment ref="G144" authorId="0" shapeId="0" xr:uid="{4C5A8B65-954E-4CCC-82C8-3FE942E22F04}">
      <text>
        <r>
          <rPr>
            <b/>
            <sz val="9"/>
            <color indexed="81"/>
            <rFont val="Tahoma"/>
            <family val="2"/>
          </rPr>
          <t>Author:</t>
        </r>
        <r>
          <rPr>
            <sz val="9"/>
            <color indexed="81"/>
            <rFont val="Tahoma"/>
            <family val="2"/>
          </rPr>
          <t xml:space="preserve">
assumption</t>
        </r>
      </text>
    </comment>
    <comment ref="R144" authorId="0" shapeId="0" xr:uid="{1DB88C01-412C-45EA-94F2-893D22A017FD}">
      <text>
        <r>
          <rPr>
            <b/>
            <sz val="9"/>
            <color indexed="81"/>
            <rFont val="Tahoma"/>
            <family val="2"/>
          </rPr>
          <t>Author:</t>
        </r>
        <r>
          <rPr>
            <sz val="9"/>
            <color indexed="81"/>
            <rFont val="Tahoma"/>
            <family val="2"/>
          </rPr>
          <t xml:space="preserve">
based on [13]</t>
        </r>
      </text>
    </comment>
    <comment ref="S144" authorId="0" shapeId="0" xr:uid="{317DC5DF-142E-4E18-AD62-B17A884FD347}">
      <text>
        <r>
          <rPr>
            <b/>
            <sz val="9"/>
            <color indexed="81"/>
            <rFont val="Tahoma"/>
            <family val="2"/>
          </rPr>
          <t>Author:</t>
        </r>
        <r>
          <rPr>
            <sz val="9"/>
            <color indexed="81"/>
            <rFont val="Tahoma"/>
            <family val="2"/>
          </rPr>
          <t xml:space="preserve">
based on [13]</t>
        </r>
      </text>
    </comment>
    <comment ref="G145" authorId="0" shapeId="0" xr:uid="{5212033E-3DFD-4B48-ADD7-888F16A9DB76}">
      <text>
        <r>
          <rPr>
            <b/>
            <sz val="9"/>
            <color indexed="81"/>
            <rFont val="Tahoma"/>
            <family val="2"/>
          </rPr>
          <t>Author:</t>
        </r>
        <r>
          <rPr>
            <sz val="9"/>
            <color indexed="81"/>
            <rFont val="Tahoma"/>
            <family val="2"/>
          </rPr>
          <t xml:space="preserve">
assumption</t>
        </r>
      </text>
    </comment>
    <comment ref="G146" authorId="0" shapeId="0" xr:uid="{F77D74BB-8D78-46D1-9449-B66722E703B8}">
      <text>
        <r>
          <rPr>
            <b/>
            <sz val="9"/>
            <color indexed="81"/>
            <rFont val="Tahoma"/>
            <family val="2"/>
          </rPr>
          <t>Author:</t>
        </r>
        <r>
          <rPr>
            <sz val="9"/>
            <color indexed="81"/>
            <rFont val="Tahoma"/>
            <family val="2"/>
          </rPr>
          <t xml:space="preserve">
assumption</t>
        </r>
      </text>
    </comment>
    <comment ref="U146" authorId="0" shapeId="0" xr:uid="{8905DAFD-859C-4490-8EDB-36B6EE5EBD2F}">
      <text>
        <r>
          <rPr>
            <b/>
            <sz val="9"/>
            <color indexed="81"/>
            <rFont val="Tahoma"/>
            <family val="2"/>
          </rPr>
          <t>Author:</t>
        </r>
        <r>
          <rPr>
            <sz val="9"/>
            <color indexed="81"/>
            <rFont val="Tahoma"/>
            <family val="2"/>
          </rPr>
          <t xml:space="preserve">
estimated by assuming that up to 56% of the mass of cast alloys is scrap (70% of cast alloys are secondary, and they contain up to 80% old scrap) as reported by [12], with around 6% representing losses during the processinig of aluminum [13].</t>
        </r>
      </text>
    </comment>
    <comment ref="G147" authorId="0" shapeId="0" xr:uid="{8C03B065-A79C-4095-A00A-C4DADF178018}">
      <text>
        <r>
          <rPr>
            <b/>
            <sz val="9"/>
            <color indexed="81"/>
            <rFont val="Tahoma"/>
            <family val="2"/>
          </rPr>
          <t>Author:</t>
        </r>
        <r>
          <rPr>
            <sz val="9"/>
            <color indexed="81"/>
            <rFont val="Tahoma"/>
            <family val="2"/>
          </rPr>
          <t xml:space="preserve">
assumption</t>
        </r>
      </text>
    </comment>
    <comment ref="U147" authorId="0" shapeId="0" xr:uid="{F631061E-F7C8-4215-A26C-74EB1CD2EDB1}">
      <text>
        <r>
          <rPr>
            <b/>
            <sz val="9"/>
            <color indexed="81"/>
            <rFont val="Tahoma"/>
            <family val="2"/>
          </rPr>
          <t>Author:</t>
        </r>
        <r>
          <rPr>
            <sz val="9"/>
            <color indexed="81"/>
            <rFont val="Tahoma"/>
            <family val="2"/>
          </rPr>
          <t xml:space="preserve">
estimated by assuming that up to 56% of the mass of cast alloys is scrap (70% of cast alloys are secondary, and they contain up to 80% old scrap) (Løvik et al., (2014) [10], with around 6% representing losses during the processinig of aluminum (Boin and Bertram, (2005).</t>
        </r>
      </text>
    </comment>
    <comment ref="H148" authorId="0" shapeId="0" xr:uid="{F6E2087D-3EEC-47D1-B3D2-20C4523AED4A}">
      <text>
        <r>
          <rPr>
            <b/>
            <sz val="9"/>
            <color indexed="81"/>
            <rFont val="Tahoma"/>
            <family val="2"/>
          </rPr>
          <t>Author:</t>
        </r>
        <r>
          <rPr>
            <sz val="9"/>
            <color indexed="81"/>
            <rFont val="Tahoma"/>
            <family val="2"/>
          </rPr>
          <t xml:space="preserve">
Even though recycled aluminum is attributed to the general Al fraction, when including recycled Al, it is considered that recycled aluminum results in cast Al, as reported by various sources, e.g. [12]</t>
        </r>
      </text>
    </comment>
    <comment ref="G150" authorId="0" shapeId="0" xr:uid="{6B49D95A-6B14-478A-8773-3094558E8BA0}">
      <text>
        <r>
          <rPr>
            <b/>
            <sz val="9"/>
            <color indexed="81"/>
            <rFont val="Tahoma"/>
            <family val="2"/>
          </rPr>
          <t>Author:</t>
        </r>
        <r>
          <rPr>
            <sz val="9"/>
            <color indexed="81"/>
            <rFont val="Tahoma"/>
            <family val="2"/>
          </rPr>
          <t xml:space="preserve">
assumption</t>
        </r>
      </text>
    </comment>
    <comment ref="G151" authorId="0" shapeId="0" xr:uid="{A43D0BD9-67E6-41DF-918C-7889FF299357}">
      <text>
        <r>
          <rPr>
            <b/>
            <sz val="9"/>
            <color indexed="81"/>
            <rFont val="Tahoma"/>
            <family val="2"/>
          </rPr>
          <t>Author:</t>
        </r>
        <r>
          <rPr>
            <sz val="9"/>
            <color indexed="81"/>
            <rFont val="Tahoma"/>
            <family val="2"/>
          </rPr>
          <t xml:space="preserve">
assumption</t>
        </r>
      </text>
    </comment>
    <comment ref="G152" authorId="0" shapeId="0" xr:uid="{A26237AE-F987-4131-B09C-0436FBF92166}">
      <text>
        <r>
          <rPr>
            <b/>
            <sz val="9"/>
            <color indexed="81"/>
            <rFont val="Tahoma"/>
            <family val="2"/>
          </rPr>
          <t>Author:</t>
        </r>
        <r>
          <rPr>
            <sz val="9"/>
            <color indexed="81"/>
            <rFont val="Tahoma"/>
            <family val="2"/>
          </rPr>
          <t xml:space="preserve">
assumption</t>
        </r>
      </text>
    </comment>
    <comment ref="F163" authorId="0" shapeId="0" xr:uid="{1B1A033F-2673-4116-A198-6DAF1A89A57B}">
      <text>
        <r>
          <rPr>
            <b/>
            <sz val="9"/>
            <color indexed="81"/>
            <rFont val="Tahoma"/>
            <family val="2"/>
          </rPr>
          <t>Author:</t>
        </r>
        <r>
          <rPr>
            <sz val="9"/>
            <color indexed="81"/>
            <rFont val="Tahoma"/>
            <family val="2"/>
          </rPr>
          <t xml:space="preserve">
assumption, that glass is not reused.</t>
        </r>
      </text>
    </comment>
    <comment ref="F166" authorId="0" shapeId="0" xr:uid="{B0F53EA9-DBF2-4020-94D9-CE5E9C330716}">
      <text>
        <r>
          <rPr>
            <b/>
            <sz val="9"/>
            <color indexed="81"/>
            <rFont val="Tahoma"/>
            <family val="2"/>
          </rPr>
          <t>Author:</t>
        </r>
        <r>
          <rPr>
            <sz val="9"/>
            <color indexed="81"/>
            <rFont val="Tahoma"/>
            <family val="2"/>
          </rPr>
          <t xml:space="preserve">
assumption that Nd follows steel reuse rate</t>
        </r>
      </text>
    </comment>
    <comment ref="F167" authorId="0" shapeId="0" xr:uid="{26A34412-EFB5-4B98-BC2E-60038E36D3A8}">
      <text>
        <r>
          <rPr>
            <b/>
            <sz val="9"/>
            <color indexed="81"/>
            <rFont val="Tahoma"/>
            <family val="2"/>
          </rPr>
          <t>Author:</t>
        </r>
        <r>
          <rPr>
            <sz val="9"/>
            <color indexed="81"/>
            <rFont val="Tahoma"/>
            <family val="2"/>
          </rPr>
          <t xml:space="preserve">
assumption, that rubber is fully replaced</t>
        </r>
      </text>
    </comment>
    <comment ref="F168" authorId="0" shapeId="0" xr:uid="{2BC85BC6-109D-4571-B246-8DCBFDBE302B}">
      <text>
        <r>
          <rPr>
            <b/>
            <sz val="9"/>
            <color indexed="81"/>
            <rFont val="Tahoma"/>
            <family val="2"/>
          </rPr>
          <t>Author:</t>
        </r>
        <r>
          <rPr>
            <sz val="9"/>
            <color indexed="81"/>
            <rFont val="Tahoma"/>
            <family val="2"/>
          </rPr>
          <t xml:space="preserve">
assumption that carbon black follows plastic and rubber replacement 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X212" authorId="0" shapeId="0" xr:uid="{3D137070-A548-4A9C-9222-92BEE08A8427}">
      <text>
        <r>
          <rPr>
            <b/>
            <sz val="9"/>
            <color indexed="81"/>
            <rFont val="Tahoma"/>
            <family val="2"/>
          </rPr>
          <t>Author:</t>
        </r>
        <r>
          <rPr>
            <sz val="9"/>
            <color indexed="81"/>
            <rFont val="Tahoma"/>
            <family val="2"/>
          </rPr>
          <t xml:space="preserve">
Excluded for better visibility of the other lables in the plot</t>
        </r>
      </text>
    </comment>
  </commentList>
</comments>
</file>

<file path=xl/sharedStrings.xml><?xml version="1.0" encoding="utf-8"?>
<sst xmlns="http://schemas.openxmlformats.org/spreadsheetml/2006/main" count="2641" uniqueCount="833">
  <si>
    <t>Code</t>
  </si>
  <si>
    <t>Flow</t>
  </si>
  <si>
    <t>Reliability [%]</t>
  </si>
  <si>
    <t>Completeness [%]</t>
  </si>
  <si>
    <t>Temporal [%]</t>
  </si>
  <si>
    <t>Geographical [%]</t>
  </si>
  <si>
    <t>Other [%]</t>
  </si>
  <si>
    <t>Expert Estimate [%]</t>
  </si>
  <si>
    <t>ELVs</t>
  </si>
  <si>
    <t>Dismantled ELVs</t>
  </si>
  <si>
    <t>Catalytic converters</t>
  </si>
  <si>
    <t>Tyres, batteries, fluids, windows</t>
  </si>
  <si>
    <t>Spare parts</t>
  </si>
  <si>
    <t>Cast Al</t>
  </si>
  <si>
    <t>Slags</t>
  </si>
  <si>
    <t>Flue gas residues</t>
  </si>
  <si>
    <t>To flue gas</t>
  </si>
  <si>
    <t>Exported Fe fraction</t>
  </si>
  <si>
    <t>Bottom ash</t>
  </si>
  <si>
    <t>Heavy fraction</t>
  </si>
  <si>
    <t>Light fraction</t>
  </si>
  <si>
    <t>Domestic steel from decannning</t>
  </si>
  <si>
    <t>EAF and PGM refining slags</t>
  </si>
  <si>
    <t>Slags (regulated components)</t>
  </si>
  <si>
    <t>Recycled materials</t>
  </si>
  <si>
    <t>Output from energy recovery</t>
  </si>
  <si>
    <t>Non Fe fraction</t>
  </si>
  <si>
    <t>Shredder fluff 2</t>
  </si>
  <si>
    <t>Shredder fluff 1</t>
  </si>
  <si>
    <t>Fines (LFP)</t>
  </si>
  <si>
    <t>Domestic Al fractions</t>
  </si>
  <si>
    <t>Exported Fe fractions</t>
  </si>
  <si>
    <t>Exported Al fractions</t>
  </si>
  <si>
    <t>Exported mixed fractions</t>
  </si>
  <si>
    <t>Crude steel (domestic steel production)</t>
  </si>
  <si>
    <t>Slags (domestic steel production)</t>
  </si>
  <si>
    <t>Dusts/Sludge</t>
  </si>
  <si>
    <t>Units discrete [kg]</t>
  </si>
  <si>
    <t>E0.01</t>
  </si>
  <si>
    <t>E1.01</t>
  </si>
  <si>
    <t>E1.02</t>
  </si>
  <si>
    <t>E1.03</t>
  </si>
  <si>
    <t>E1.04</t>
  </si>
  <si>
    <t>E2.01</t>
  </si>
  <si>
    <t>E2.02</t>
  </si>
  <si>
    <t>E3.01</t>
  </si>
  <si>
    <t>E3.02</t>
  </si>
  <si>
    <t>E4.01</t>
  </si>
  <si>
    <t>E4.02</t>
  </si>
  <si>
    <t>E4.03</t>
  </si>
  <si>
    <t>E6.01</t>
  </si>
  <si>
    <t>E6.02</t>
  </si>
  <si>
    <t>E6.03</t>
  </si>
  <si>
    <t>E7.01</t>
  </si>
  <si>
    <t>E7.02</t>
  </si>
  <si>
    <t>E7.03</t>
  </si>
  <si>
    <t>E7.04</t>
  </si>
  <si>
    <t>E8.01</t>
  </si>
  <si>
    <t>E8.02</t>
  </si>
  <si>
    <t>E8.03</t>
  </si>
  <si>
    <t>E9.01</t>
  </si>
  <si>
    <t>E9.02</t>
  </si>
  <si>
    <t>E11.01</t>
  </si>
  <si>
    <t>E11.02</t>
  </si>
  <si>
    <t>E11.03</t>
  </si>
  <si>
    <t>E12.01</t>
  </si>
  <si>
    <t>E12.02</t>
  </si>
  <si>
    <t>Andersson et al., (2017), SI, Table S8</t>
  </si>
  <si>
    <t>Andersson et al., (2017), SI, Table S11</t>
  </si>
  <si>
    <t>Andersson et al., (2017), SI, Table S12</t>
  </si>
  <si>
    <t>Andersson et al., (2017), SI, Table S13</t>
  </si>
  <si>
    <t>Andersson et al., (2017), SI, Table S10</t>
  </si>
  <si>
    <t>Andersson et al., (2017), SI, Table S5</t>
  </si>
  <si>
    <t>Andersson et al., (2017), SI, Table S7</t>
  </si>
  <si>
    <t>Andersson et al., (2017), SI, Table S7; Exported Al fraction excluded</t>
  </si>
  <si>
    <t>Andersson et al., (2017), SI, Table S4</t>
  </si>
  <si>
    <t>Andersson et al., (2017), SI, Table S3</t>
  </si>
  <si>
    <t>Fluids</t>
  </si>
  <si>
    <t>Other metals</t>
  </si>
  <si>
    <t>Tks</t>
  </si>
  <si>
    <t>How to read the colors?</t>
  </si>
  <si>
    <t>Value 1</t>
  </si>
  <si>
    <t>Value 2</t>
  </si>
  <si>
    <t>Value 3</t>
  </si>
  <si>
    <t xml:space="preserve"> </t>
  </si>
  <si>
    <t>Goods</t>
  </si>
  <si>
    <t>Steel</t>
  </si>
  <si>
    <t>Aluminum</t>
  </si>
  <si>
    <t>Cu</t>
  </si>
  <si>
    <t>Glass</t>
  </si>
  <si>
    <t>Fe</t>
  </si>
  <si>
    <t>Paint</t>
  </si>
  <si>
    <t>Pb</t>
  </si>
  <si>
    <t>Plastic</t>
  </si>
  <si>
    <t>Rubber</t>
  </si>
  <si>
    <t>Carbon black</t>
  </si>
  <si>
    <t>Nd</t>
  </si>
  <si>
    <t>Graphite</t>
  </si>
  <si>
    <t>LiPF6</t>
  </si>
  <si>
    <t>Ethylencarbonate</t>
  </si>
  <si>
    <t>F2.011</t>
  </si>
  <si>
    <t>F2.012</t>
  </si>
  <si>
    <t>Copper</t>
  </si>
  <si>
    <t>Aluminium</t>
  </si>
  <si>
    <t>Iron</t>
  </si>
  <si>
    <t>Neodymium</t>
  </si>
  <si>
    <t>Lead</t>
  </si>
  <si>
    <t>Brakes</t>
  </si>
  <si>
    <t>Chassis</t>
  </si>
  <si>
    <t>Transmission</t>
  </si>
  <si>
    <t>Engine</t>
  </si>
  <si>
    <t>F4.031</t>
  </si>
  <si>
    <t>F4.041</t>
  </si>
  <si>
    <t>F4.061</t>
  </si>
  <si>
    <t>F4.071</t>
  </si>
  <si>
    <t>F4.081</t>
  </si>
  <si>
    <t>F4.091</t>
  </si>
  <si>
    <t>Domestic Fe</t>
  </si>
  <si>
    <t>F4.092</t>
  </si>
  <si>
    <t>Domestic steel from decanning</t>
  </si>
  <si>
    <t>F4.101</t>
  </si>
  <si>
    <t>Domestic Aluminum</t>
  </si>
  <si>
    <t>F4.102</t>
  </si>
  <si>
    <t>F4.111</t>
  </si>
  <si>
    <t>F4.112</t>
  </si>
  <si>
    <t>F4.121</t>
  </si>
  <si>
    <t>F5.002</t>
  </si>
  <si>
    <t>F5.003</t>
  </si>
  <si>
    <t>F5.004</t>
  </si>
  <si>
    <t>F5.005</t>
  </si>
  <si>
    <t>F5.006</t>
  </si>
  <si>
    <t>Residues</t>
  </si>
  <si>
    <t>F5.008</t>
  </si>
  <si>
    <t>F5.009</t>
  </si>
  <si>
    <t>F5.010</t>
  </si>
  <si>
    <t>F5.011</t>
  </si>
  <si>
    <t>F5.012</t>
  </si>
  <si>
    <t>F5.013</t>
  </si>
  <si>
    <t>F5.014</t>
  </si>
  <si>
    <t>F5.017</t>
  </si>
  <si>
    <t>EAF and PGM refining</t>
  </si>
  <si>
    <t>F5.020</t>
  </si>
  <si>
    <t>Exported steel</t>
  </si>
  <si>
    <t>Flow Rate [kg/car] (*1)</t>
  </si>
  <si>
    <t>Regulated components</t>
  </si>
  <si>
    <t>Heavy media residues</t>
  </si>
  <si>
    <t>Scores</t>
  </si>
  <si>
    <t>sensitivity</t>
  </si>
  <si>
    <t>Reliability</t>
  </si>
  <si>
    <t>-</t>
  </si>
  <si>
    <t>Completeness/Temporal/ Geographical/Other</t>
  </si>
  <si>
    <t>High</t>
  </si>
  <si>
    <t>Medium</t>
  </si>
  <si>
    <t>Low</t>
  </si>
  <si>
    <t>Expert Estimate</t>
  </si>
  <si>
    <t>a</t>
  </si>
  <si>
    <t>b</t>
  </si>
  <si>
    <t>Uncertainty assessment (CV Exponential)</t>
  </si>
  <si>
    <t>Glider</t>
  </si>
  <si>
    <t>Iron and steel</t>
  </si>
  <si>
    <t>E1.05</t>
  </si>
  <si>
    <t>Engines, gearboxes and Al components</t>
  </si>
  <si>
    <t>E1.06</t>
  </si>
  <si>
    <t>E3.03</t>
  </si>
  <si>
    <t>E3.04</t>
  </si>
  <si>
    <t>Exported Al fraction</t>
  </si>
  <si>
    <t>E12.03</t>
  </si>
  <si>
    <t>E12.04</t>
  </si>
  <si>
    <t>Exported steel from decanning</t>
  </si>
  <si>
    <t>Pd and Pt</t>
  </si>
  <si>
    <t>E13.01</t>
  </si>
  <si>
    <t>E13.02</t>
  </si>
  <si>
    <t>E13.03</t>
  </si>
  <si>
    <t>Domestic Al</t>
  </si>
  <si>
    <t>Exported Al</t>
  </si>
  <si>
    <t>Exported Fe</t>
  </si>
  <si>
    <t>Domestic iron</t>
  </si>
  <si>
    <t>E4.04</t>
  </si>
  <si>
    <t>E4.05</t>
  </si>
  <si>
    <t>E5.01</t>
  </si>
  <si>
    <t>E5.02</t>
  </si>
  <si>
    <t>E5.03</t>
  </si>
  <si>
    <t>E5.04</t>
  </si>
  <si>
    <t>E5.05</t>
  </si>
  <si>
    <t>E5.06</t>
  </si>
  <si>
    <t>E7.05</t>
  </si>
  <si>
    <t>Evaporated water</t>
  </si>
  <si>
    <t>Slags (domestic aluminum production)</t>
  </si>
  <si>
    <t>E11.04</t>
  </si>
  <si>
    <t>Urel individual [%]</t>
  </si>
  <si>
    <t>Urel aggregated [%]</t>
  </si>
  <si>
    <t>Uabsolute [kg]</t>
  </si>
  <si>
    <t>Urel total [%]</t>
  </si>
  <si>
    <t>Source reported</t>
  </si>
  <si>
    <t>Andersson et al., (2017), SI, Table S2</t>
  </si>
  <si>
    <t>Andersson et al., (2017), SI, Table S2, mass balanced system value</t>
  </si>
  <si>
    <t>Andersson et al., (2017), SI, Table S3, mass balanced system value</t>
  </si>
  <si>
    <t>Andersson et al., (2017), SI, Table S6</t>
  </si>
  <si>
    <t>Andersson et al., (2017), SI, S15</t>
  </si>
  <si>
    <t>Andersson et al., (2017), SI, Table S20</t>
  </si>
  <si>
    <t>Fraction of input flow [%]</t>
  </si>
  <si>
    <t>Urel total</t>
  </si>
  <si>
    <t>Flow original</t>
  </si>
  <si>
    <t>M new [kg]</t>
  </si>
  <si>
    <t>CV combined</t>
  </si>
  <si>
    <t>Uncertainty abs. combined  [kg]</t>
  </si>
  <si>
    <t>excluded</t>
  </si>
  <si>
    <r>
      <rPr>
        <sz val="11"/>
        <color theme="1"/>
        <rFont val="Calibri"/>
        <family val="2"/>
      </rPr>
      <t xml:space="preserve">↓ </t>
    </r>
    <r>
      <rPr>
        <sz val="11"/>
        <color theme="1"/>
        <rFont val="Calibri"/>
        <family val="2"/>
        <scheme val="minor"/>
      </rPr>
      <t>Code original</t>
    </r>
  </si>
  <si>
    <t>A</t>
  </si>
  <si>
    <t>B</t>
  </si>
  <si>
    <t>This table represents the original mass flows (kg) for the Swedish ELV system. For each flow a value of 10% uncertainty has been used to balance the material flows (original system not mass balanced), afterwards the quality of the data was classified by assigning Coefficients of Variance (CV) (see reference to another table).</t>
  </si>
  <si>
    <t>Residues to energy recovery</t>
  </si>
  <si>
    <t>Slags regulated components</t>
  </si>
  <si>
    <t>Al</t>
  </si>
  <si>
    <t>Uncertainty (absolute) [kg]</t>
  </si>
  <si>
    <t>Flow rate [kg]</t>
  </si>
  <si>
    <t>Relative uncertainty [%]</t>
  </si>
  <si>
    <t>Material</t>
  </si>
  <si>
    <t>LiMn04</t>
  </si>
  <si>
    <t>Cast iron</t>
  </si>
  <si>
    <t>Body and Doors</t>
  </si>
  <si>
    <t>ICEV</t>
  </si>
  <si>
    <t>EV</t>
  </si>
  <si>
    <t>kg</t>
  </si>
  <si>
    <t>Material/Component</t>
  </si>
  <si>
    <t>Body-in-white</t>
  </si>
  <si>
    <t>Body panels</t>
  </si>
  <si>
    <t>Bumpers</t>
  </si>
  <si>
    <t>Body hardware</t>
  </si>
  <si>
    <t>Weld blanks and fasteners (electronics to body)</t>
  </si>
  <si>
    <t>Weld blanks and fasteners (other systems to body)</t>
  </si>
  <si>
    <t>Doors, including trunk lid</t>
  </si>
  <si>
    <t>Windscreen glass</t>
  </si>
  <si>
    <t>Rear screen glass</t>
  </si>
  <si>
    <t>Side body glass (6)</t>
  </si>
  <si>
    <t>Units</t>
  </si>
  <si>
    <t>p</t>
  </si>
  <si>
    <t>sum</t>
  </si>
  <si>
    <t>fraction</t>
  </si>
  <si>
    <t>Sorted</t>
  </si>
  <si>
    <t>cumulated</t>
  </si>
  <si>
    <t>Ferous metals</t>
  </si>
  <si>
    <t>Rolled steel</t>
  </si>
  <si>
    <t>EAF steel</t>
  </si>
  <si>
    <t>galv steel</t>
  </si>
  <si>
    <t>hot rolled steel</t>
  </si>
  <si>
    <t>(Rubber)</t>
  </si>
  <si>
    <t>stainless steel</t>
  </si>
  <si>
    <t>Non-ferrous metals</t>
  </si>
  <si>
    <t>Wrought Aluminium</t>
  </si>
  <si>
    <t>Cast Aluminium</t>
  </si>
  <si>
    <t>Magnesium</t>
  </si>
  <si>
    <t>Zinc</t>
  </si>
  <si>
    <t>Platinum</t>
  </si>
  <si>
    <t>Lead (Pb)</t>
  </si>
  <si>
    <t>Polymers</t>
  </si>
  <si>
    <t>mass matrix</t>
  </si>
  <si>
    <t>Brakes, hardware</t>
  </si>
  <si>
    <t>Brakes, friction material</t>
  </si>
  <si>
    <t>Friction Materials</t>
  </si>
  <si>
    <t>Barium Sulfate</t>
  </si>
  <si>
    <t>Silica sand</t>
  </si>
  <si>
    <t>Ceramic</t>
  </si>
  <si>
    <t>Brass</t>
  </si>
  <si>
    <t>Aluminum Oxide</t>
  </si>
  <si>
    <t>Fibrous Glass</t>
  </si>
  <si>
    <t>Phenol Formaldehyde Resin</t>
  </si>
  <si>
    <t>Cradle</t>
  </si>
  <si>
    <t>Driveshaft/axle</t>
  </si>
  <si>
    <t>Corner suspension</t>
  </si>
  <si>
    <t>Steering system</t>
  </si>
  <si>
    <t>Chassis electrical</t>
  </si>
  <si>
    <t>Weld blanks and fasteners (chassis to body)</t>
  </si>
  <si>
    <t xml:space="preserve">Steel </t>
  </si>
  <si>
    <r>
      <rPr>
        <sz val="11"/>
        <color indexed="8"/>
        <rFont val="Calibri"/>
        <family val="2"/>
      </rPr>
      <t xml:space="preserve">Crankcase </t>
    </r>
    <r>
      <rPr>
        <sz val="11"/>
        <color theme="1"/>
        <rFont val="Calibri"/>
        <family val="2"/>
        <scheme val="minor"/>
      </rPr>
      <t xml:space="preserve"> </t>
    </r>
  </si>
  <si>
    <r>
      <rPr>
        <sz val="11"/>
        <color indexed="8"/>
        <rFont val="Calibri"/>
        <family val="2"/>
      </rPr>
      <t xml:space="preserve">Crankshaft </t>
    </r>
    <r>
      <rPr>
        <sz val="11"/>
        <rFont val="Calibri"/>
        <family val="2"/>
      </rPr>
      <t xml:space="preserve"> </t>
    </r>
  </si>
  <si>
    <r>
      <rPr>
        <sz val="11"/>
        <color indexed="8"/>
        <rFont val="Calibri"/>
        <family val="2"/>
      </rPr>
      <t xml:space="preserve">Flywheel </t>
    </r>
    <r>
      <rPr>
        <sz val="11"/>
        <rFont val="Calibri"/>
        <family val="2"/>
      </rPr>
      <t xml:space="preserve"> </t>
    </r>
  </si>
  <si>
    <r>
      <rPr>
        <sz val="11"/>
        <color indexed="8"/>
        <rFont val="Calibri"/>
        <family val="2"/>
      </rPr>
      <t xml:space="preserve">Ring gear </t>
    </r>
    <r>
      <rPr>
        <sz val="11"/>
        <rFont val="Calibri"/>
        <family val="2"/>
      </rPr>
      <t xml:space="preserve"> </t>
    </r>
  </si>
  <si>
    <r>
      <rPr>
        <sz val="11"/>
        <color indexed="8"/>
        <rFont val="Calibri"/>
        <family val="2"/>
      </rPr>
      <t xml:space="preserve">Connecting rod, 4 pc. </t>
    </r>
    <r>
      <rPr>
        <sz val="11"/>
        <rFont val="Calibri"/>
        <family val="2"/>
      </rPr>
      <t xml:space="preserve"> </t>
    </r>
  </si>
  <si>
    <r>
      <rPr>
        <sz val="11"/>
        <color indexed="8"/>
        <rFont val="Calibri"/>
        <family val="2"/>
      </rPr>
      <t xml:space="preserve">Cylinder head </t>
    </r>
    <r>
      <rPr>
        <sz val="11"/>
        <rFont val="Calibri"/>
        <family val="2"/>
      </rPr>
      <t xml:space="preserve"> </t>
    </r>
  </si>
  <si>
    <r>
      <rPr>
        <sz val="11"/>
        <color indexed="8"/>
        <rFont val="Calibri"/>
        <family val="2"/>
      </rPr>
      <t xml:space="preserve">Camshaft </t>
    </r>
    <r>
      <rPr>
        <sz val="11"/>
        <rFont val="Calibri"/>
        <family val="2"/>
      </rPr>
      <t xml:space="preserve"> </t>
    </r>
  </si>
  <si>
    <r>
      <rPr>
        <sz val="11"/>
        <color indexed="8"/>
        <rFont val="Calibri"/>
        <family val="2"/>
      </rPr>
      <t xml:space="preserve">Intake valve, 4 pc. </t>
    </r>
    <r>
      <rPr>
        <sz val="11"/>
        <rFont val="Calibri"/>
        <family val="2"/>
      </rPr>
      <t xml:space="preserve"> </t>
    </r>
  </si>
  <si>
    <r>
      <rPr>
        <sz val="11"/>
        <color indexed="8"/>
        <rFont val="Calibri"/>
        <family val="2"/>
      </rPr>
      <t xml:space="preserve">Hydraulic valve lifter, 8 pc </t>
    </r>
    <r>
      <rPr>
        <sz val="11"/>
        <rFont val="Calibri"/>
        <family val="2"/>
      </rPr>
      <t xml:space="preserve"> </t>
    </r>
  </si>
  <si>
    <t>Block and other</t>
  </si>
  <si>
    <t>Al, cast</t>
  </si>
  <si>
    <t>Al, cast, machined</t>
  </si>
  <si>
    <t>Al, no specification</t>
  </si>
  <si>
    <t>Al, rolled, stamped</t>
  </si>
  <si>
    <t>Fe, cast</t>
  </si>
  <si>
    <t>Fe, cast, machined</t>
  </si>
  <si>
    <t>Fe, forged, machined</t>
  </si>
  <si>
    <t>Steel, cast, heat treat</t>
  </si>
  <si>
    <t>Steel, cast, machined</t>
  </si>
  <si>
    <t>Steel, col rolled, stamped</t>
  </si>
  <si>
    <t>Steel, cold rolled</t>
  </si>
  <si>
    <t>Steel, extruded</t>
  </si>
  <si>
    <t>Steel, extruded, machined</t>
  </si>
  <si>
    <t>Steel, galvanized, stamped</t>
  </si>
  <si>
    <t>Steel, no specification</t>
  </si>
  <si>
    <t>Steel, other</t>
  </si>
  <si>
    <t>Plastic, injection molded</t>
  </si>
  <si>
    <t>Rubber, injection molded</t>
  </si>
  <si>
    <t>Rubber, no specification</t>
  </si>
  <si>
    <t>Rubber, other</t>
  </si>
  <si>
    <t>Other, other</t>
  </si>
  <si>
    <t>Power steering fluid</t>
  </si>
  <si>
    <t>Brake fluid</t>
  </si>
  <si>
    <t>Damper oil</t>
  </si>
  <si>
    <t>Windshield wiper fluid</t>
  </si>
  <si>
    <t>Refrigerant (R134a)</t>
  </si>
  <si>
    <t>Tires (x4)</t>
  </si>
  <si>
    <t>Wheels (x4)</t>
  </si>
  <si>
    <t>Tires and Wheels</t>
  </si>
  <si>
    <t>Steel (wheels)</t>
  </si>
  <si>
    <t>Steel (wheels and tires)</t>
  </si>
  <si>
    <t>Additives</t>
  </si>
  <si>
    <t>Steel (tires)</t>
  </si>
  <si>
    <t>Textiles</t>
  </si>
  <si>
    <t>Zinc oxide</t>
  </si>
  <si>
    <t>Sulphur</t>
  </si>
  <si>
    <t>Engine oil</t>
  </si>
  <si>
    <t>Powertrain coolant</t>
  </si>
  <si>
    <t>Fuel</t>
  </si>
  <si>
    <t>Fluids ICEV</t>
  </si>
  <si>
    <t>Gasoline</t>
  </si>
  <si>
    <t>Powertrain thermal</t>
  </si>
  <si>
    <t>Exhaust</t>
  </si>
  <si>
    <t>Powertrain electrical</t>
  </si>
  <si>
    <t>Emission control electronics</t>
  </si>
  <si>
    <t>Weld blanks and fasteners (PT to body)</t>
  </si>
  <si>
    <t>Fuel Tank</t>
  </si>
  <si>
    <t>Air Cleaner Housing</t>
  </si>
  <si>
    <t>Coolant Expansion Tank</t>
  </si>
  <si>
    <t>Pollen Filter Housing</t>
  </si>
  <si>
    <t>ICEV Powertrain</t>
  </si>
  <si>
    <t>Ferrous</t>
  </si>
  <si>
    <t>Paladium</t>
  </si>
  <si>
    <t>Rhodinium</t>
  </si>
  <si>
    <t>Plastic, unspecified (GREET)</t>
  </si>
  <si>
    <t>Polypropylene ether (PE)</t>
  </si>
  <si>
    <t>High density polyethylene (PE-HD)</t>
  </si>
  <si>
    <t>Polypropylene (PP)</t>
  </si>
  <si>
    <t>Polypropylene, 20% Talc (PP-TD20)</t>
  </si>
  <si>
    <t xml:space="preserve">Casing (100% sec. AlSi9Cu3) </t>
  </si>
  <si>
    <t xml:space="preserve">Input shaft with gears  </t>
  </si>
  <si>
    <t xml:space="preserve">Output shaft with gears  </t>
  </si>
  <si>
    <t xml:space="preserve">Differential  </t>
  </si>
  <si>
    <t xml:space="preserve">Shift parts  </t>
  </si>
  <si>
    <t xml:space="preserve">Others  </t>
  </si>
  <si>
    <t>Light alloys, aluminum</t>
  </si>
  <si>
    <t>Polymer materials</t>
  </si>
  <si>
    <t>Gear box oil</t>
  </si>
  <si>
    <t>Other materials</t>
  </si>
  <si>
    <t>Shavings, Steel</t>
  </si>
  <si>
    <t>Shavings, Light alloys, aluminum</t>
  </si>
  <si>
    <t>Shavings, Non-ferrous metals</t>
  </si>
  <si>
    <t>SLI Battery, Mercedes A class</t>
  </si>
  <si>
    <t>Accessory Battery, Mercedes A class</t>
  </si>
  <si>
    <t>ICEV Battery</t>
  </si>
  <si>
    <t>Lead, primary</t>
  </si>
  <si>
    <t>Lead, secondary</t>
  </si>
  <si>
    <t>Sulfuric acid</t>
  </si>
  <si>
    <t>Fiberglass</t>
  </si>
  <si>
    <t>Antimony</t>
  </si>
  <si>
    <t>Water</t>
  </si>
  <si>
    <t>Arsenic</t>
  </si>
  <si>
    <t>Polyethylene</t>
  </si>
  <si>
    <t>Polypropylene</t>
  </si>
  <si>
    <t>Paint/Paint shop</t>
  </si>
  <si>
    <t>Under body finisher</t>
  </si>
  <si>
    <t>Bumper covers (4)</t>
  </si>
  <si>
    <t>Wheel arc closures (4)</t>
  </si>
  <si>
    <t>Road wheel finishers (4)</t>
  </si>
  <si>
    <t>Bumpers (2)</t>
  </si>
  <si>
    <t>Rear lamps (2)</t>
  </si>
  <si>
    <t>Radiator Grille</t>
  </si>
  <si>
    <t>Other, exterior trim (GREET data)</t>
  </si>
  <si>
    <t>Sealers/deadeners</t>
  </si>
  <si>
    <t>Exterior electrical (GREET data)</t>
  </si>
  <si>
    <t>Centre console</t>
  </si>
  <si>
    <t>Dashboard</t>
  </si>
  <si>
    <t>Glove Box</t>
  </si>
  <si>
    <t>Air Duct</t>
  </si>
  <si>
    <t>Steering Column Finisher</t>
  </si>
  <si>
    <t>Other, Instrument panel (GREET data)</t>
  </si>
  <si>
    <t>B post finishers (2)</t>
  </si>
  <si>
    <t>C post finishers (2)</t>
  </si>
  <si>
    <t>Sill finishers (2)</t>
  </si>
  <si>
    <t>A post finishers (2)</t>
  </si>
  <si>
    <t>Other, Trim and Insulation (GREET data)</t>
  </si>
  <si>
    <t>Doors, including trunk lid, interior plastics etc.</t>
  </si>
  <si>
    <t>Squab pads</t>
  </si>
  <si>
    <t>Cushion pads</t>
  </si>
  <si>
    <t>Seat Belts (2)</t>
  </si>
  <si>
    <t>Height Controls (2)</t>
  </si>
  <si>
    <t>Head Rest Pads (4)</t>
  </si>
  <si>
    <t>Other, Seating and restraint (GREET data)</t>
  </si>
  <si>
    <t>HVAC (GREET)</t>
  </si>
  <si>
    <t>Interior electrical (GREET)</t>
  </si>
  <si>
    <t>Weld blanks and fasteners (interior to body) (GREET)</t>
  </si>
  <si>
    <t>Engine Finisher</t>
  </si>
  <si>
    <t>Wash Fluid Tank</t>
  </si>
  <si>
    <t>Steering Oil Tank</t>
  </si>
  <si>
    <t>Brake Fluid Tank</t>
  </si>
  <si>
    <t>Wheel Arc Finisher</t>
  </si>
  <si>
    <t>Load Space Finishers (2)</t>
  </si>
  <si>
    <t>Latch Finisher</t>
  </si>
  <si>
    <t>Tool Box</t>
  </si>
  <si>
    <t>(Aggregated Values)</t>
  </si>
  <si>
    <t>Interior and Exterior</t>
  </si>
  <si>
    <t>Cast iron (GREET/MUSES)</t>
  </si>
  <si>
    <t>Steel (GREET)</t>
  </si>
  <si>
    <t>Rolled steel (MUSES)</t>
  </si>
  <si>
    <t>EAF steel (MUSES)</t>
  </si>
  <si>
    <t>Galvanized steel (MUSES)</t>
  </si>
  <si>
    <t>Hot rolled steel (MUSES)</t>
  </si>
  <si>
    <t>Stainless steel (MUSES)</t>
  </si>
  <si>
    <t>Other</t>
  </si>
  <si>
    <t>Extruded aluminum (MUSES)</t>
  </si>
  <si>
    <t>Rolled aluminum (MUSES)</t>
  </si>
  <si>
    <t>Acrylonitrile butadiene styrene (ABS)</t>
  </si>
  <si>
    <t>Acrylonitrile styrene acrylate (ASA)</t>
  </si>
  <si>
    <t>Ethylene propylene diene monomer (EPDM-TD10)</t>
  </si>
  <si>
    <t>Nylon 6 (PA6)</t>
  </si>
  <si>
    <t>Nylon 6, 10% Glass fiber, 20% Minerals (PA6-(GF10+MX20))</t>
  </si>
  <si>
    <t>Nylon 66, 25% Glass fiber (PA66-GF25)</t>
  </si>
  <si>
    <t>Nylon 66, 30% Mineral powder (PA66-MD30)</t>
  </si>
  <si>
    <t>Polyethylene terephthalate (PET)</t>
  </si>
  <si>
    <t>Polymethyl methacrylate (PMMA)</t>
  </si>
  <si>
    <t>Polypropylene, 25% Fiberglass (PP-GF25)</t>
  </si>
  <si>
    <t>Polystyrene (PS)</t>
  </si>
  <si>
    <t>Polyurethane (polyether type) (PUR-E)</t>
  </si>
  <si>
    <t>Nylon 66 (PA66)</t>
  </si>
  <si>
    <t>Other plastic (GREET)</t>
  </si>
  <si>
    <t>Rubber (GREET)</t>
  </si>
  <si>
    <t>Extruded rubber (MUSES)</t>
  </si>
  <si>
    <t>EV motor and transmission</t>
  </si>
  <si>
    <t>Electric Motor, Copper Windings, Base</t>
  </si>
  <si>
    <t>Electric Motor, Nd2Fe14B Magnet</t>
  </si>
  <si>
    <t>Electric Motor, Other</t>
  </si>
  <si>
    <t>Controller</t>
  </si>
  <si>
    <t>Inverter, for motor</t>
  </si>
  <si>
    <t>Inverter, for charging</t>
  </si>
  <si>
    <t>Battery Passive Cooling System</t>
  </si>
  <si>
    <t>Other Battery-Related Equipment/Hardware</t>
  </si>
  <si>
    <t>High carbon steel, following Roder</t>
  </si>
  <si>
    <t>Wood</t>
  </si>
  <si>
    <t>Fiber glass insulation</t>
  </si>
  <si>
    <t>Impregnation resin</t>
  </si>
  <si>
    <t>Steel, unspecified</t>
  </si>
  <si>
    <t>Other chemicals</t>
  </si>
  <si>
    <t>Boron</t>
  </si>
  <si>
    <t>sinter, iron, at plant</t>
  </si>
  <si>
    <t>iron ore, 65% Fe, at beneficiation</t>
  </si>
  <si>
    <t>Epoxy</t>
  </si>
  <si>
    <t>Brominated flame retardants</t>
  </si>
  <si>
    <t>Tin</t>
  </si>
  <si>
    <t>Nickel</t>
  </si>
  <si>
    <t>Chromium</t>
  </si>
  <si>
    <t>Silver</t>
  </si>
  <si>
    <t>Gold</t>
  </si>
  <si>
    <t>Silicon</t>
  </si>
  <si>
    <t>Bronze</t>
  </si>
  <si>
    <t>Circuit boards</t>
  </si>
  <si>
    <t>Other electronic components</t>
  </si>
  <si>
    <t>Nuts and bolts</t>
  </si>
  <si>
    <t>Notter et al., 2010</t>
  </si>
  <si>
    <t>life time [km]</t>
  </si>
  <si>
    <t>Battery</t>
  </si>
  <si>
    <t>mass [kg]</t>
  </si>
  <si>
    <t>component fraction</t>
  </si>
  <si>
    <t xml:space="preserve">fraction </t>
  </si>
  <si>
    <t>Cathode</t>
  </si>
  <si>
    <t>LiMn2O4</t>
  </si>
  <si>
    <t>Aluminium foil</t>
  </si>
  <si>
    <t>Anode</t>
  </si>
  <si>
    <t>Latex-binder</t>
  </si>
  <si>
    <t>Separator</t>
  </si>
  <si>
    <t>PVDF</t>
  </si>
  <si>
    <t>Hexafluorethane</t>
  </si>
  <si>
    <t>Phthalic anhydride</t>
  </si>
  <si>
    <t>Silica</t>
  </si>
  <si>
    <t>Acetone</t>
  </si>
  <si>
    <t>Electrolyte solvent</t>
  </si>
  <si>
    <t>Electrolyte salt</t>
  </si>
  <si>
    <t>Polyethylene envelope</t>
  </si>
  <si>
    <t>Polyethylen</t>
  </si>
  <si>
    <t>Original mass</t>
  </si>
  <si>
    <t>original mass</t>
  </si>
  <si>
    <t>reduced mass</t>
  </si>
  <si>
    <t>Total</t>
  </si>
  <si>
    <t>Exclusion of materials with less than 1.5% of content in the component</t>
  </si>
  <si>
    <t>Included</t>
  </si>
  <si>
    <t>Fe/Cast Fe</t>
  </si>
  <si>
    <t>Carbon Black</t>
  </si>
  <si>
    <t>Excluded</t>
  </si>
  <si>
    <t>Heavy_fraction</t>
  </si>
  <si>
    <t>Light_fraction</t>
  </si>
  <si>
    <t>STD</t>
  </si>
  <si>
    <t>Non-Fe</t>
  </si>
  <si>
    <t>Plastics</t>
  </si>
  <si>
    <t>Al_cast</t>
  </si>
  <si>
    <t>Output_from_energy_recovery</t>
  </si>
  <si>
    <t>Recycled_materials</t>
  </si>
  <si>
    <t>Slags_regulated_components</t>
  </si>
  <si>
    <t xml:space="preserve">Export </t>
  </si>
  <si>
    <t xml:space="preserve">Domestic </t>
  </si>
  <si>
    <t>Exported_Fe</t>
  </si>
  <si>
    <t>Domestic_Fe</t>
  </si>
  <si>
    <t>Non_Fe_fraction</t>
  </si>
  <si>
    <t>Dismantled ELV [kg]</t>
  </si>
  <si>
    <t>Heavy fraction [kg]</t>
  </si>
  <si>
    <t>Non-Fe fraction</t>
  </si>
  <si>
    <t>Sum</t>
  </si>
  <si>
    <t>Shredder_fluff_1</t>
  </si>
  <si>
    <t>Shredder_fluff_2</t>
  </si>
  <si>
    <t>Domestic_Aluminum</t>
  </si>
  <si>
    <t>Mass test</t>
  </si>
  <si>
    <t>Tk light fraction</t>
  </si>
  <si>
    <t>Light fraction [kg]</t>
  </si>
  <si>
    <t>Metals</t>
  </si>
  <si>
    <t>Wire</t>
  </si>
  <si>
    <t>Exported_mixed_fraction</t>
  </si>
  <si>
    <t>Exported_Al_fraction</t>
  </si>
  <si>
    <t>Exported_Fe_fraction</t>
  </si>
  <si>
    <t>Heavy_media</t>
  </si>
  <si>
    <t>Al_fraction</t>
  </si>
  <si>
    <t>Tks Non-Fe fraction</t>
  </si>
  <si>
    <t>Exported steel (directed to other applications)</t>
  </si>
  <si>
    <t xml:space="preserve">Used in a closed loop recycling </t>
  </si>
  <si>
    <t>Exported_steel</t>
  </si>
  <si>
    <t>Slags_and_dusts_steel</t>
  </si>
  <si>
    <t>Recycled_steel</t>
  </si>
  <si>
    <t>Inputs [Mt]</t>
  </si>
  <si>
    <t>Outputs [Mt]</t>
  </si>
  <si>
    <t>Losses [Mt]</t>
  </si>
  <si>
    <t xml:space="preserve">Domestic Al </t>
  </si>
  <si>
    <t>Exported_Al</t>
  </si>
  <si>
    <t>Slags_Al</t>
  </si>
  <si>
    <t>Recycled_Al</t>
  </si>
  <si>
    <t>Flue_gas_residues</t>
  </si>
  <si>
    <t>Flue_gas</t>
  </si>
  <si>
    <t>Bottom_Ash_energy_recovery</t>
  </si>
  <si>
    <t>max</t>
  </si>
  <si>
    <t>Exported_Fe_energy_recovery</t>
  </si>
  <si>
    <t>Bottom_ash_slag_treatment</t>
  </si>
  <si>
    <t>Carbon_black</t>
  </si>
  <si>
    <t>M</t>
  </si>
  <si>
    <t>m</t>
  </si>
  <si>
    <t>H</t>
  </si>
  <si>
    <t>EV [%]</t>
  </si>
  <si>
    <t>Hmax</t>
  </si>
  <si>
    <t>ICEV [%]</t>
  </si>
  <si>
    <t>Exported_Fe_heavy</t>
  </si>
  <si>
    <t>Domestic_steel_from_decanning</t>
  </si>
  <si>
    <t>c</t>
  </si>
  <si>
    <t>Hrel</t>
  </si>
  <si>
    <t>Dismantled_ELVs</t>
  </si>
  <si>
    <t>Materials_from_EV_motor</t>
  </si>
  <si>
    <t>Exported_copper</t>
  </si>
  <si>
    <t>Recycled_copper</t>
  </si>
  <si>
    <t>Slags_battery_recycling</t>
  </si>
  <si>
    <t>EV_batteries_exported</t>
  </si>
  <si>
    <t>EV_batteries_recycled</t>
  </si>
  <si>
    <t>EV_motors</t>
  </si>
  <si>
    <t>Mass fraction of vehicles included in the car model, compared to the total mass of the vehicles</t>
  </si>
  <si>
    <t>Selection of materials and components</t>
  </si>
  <si>
    <t>The tables show how materials are selected from the original data set by Hawkins et al., (2013), both for electric vehicles (EV) and internal combustion engine vehicles (ICEV). If not further specified, the units employed are kg. The "Reduced matrix" of each component is in the vehicle models and concurrently in the MFA model and SEA application. Highlighted cells represent materials that have a larger weight fraction than 1.5% of each component's mass. Only materials with a higher mass than 1.5% of the component mass were included. Exceptions are Neodymium, that has been included as a representative of Rare Earth Elements, while on the other side wood and materials that appear in smaller components and therefore have a higher mass fraction than 1.5% of the component mass, e.g. ceramic and  silica sand in brakes. Further it is not distinguished between different types of steel, which results in the aggregation of different steel types to a single category 'steel'. Included materials are marked green.</t>
  </si>
  <si>
    <t>reduced matrix</t>
  </si>
  <si>
    <t>sorted</t>
  </si>
  <si>
    <t>Dusts/Sludge (domestic steel production)</t>
  </si>
  <si>
    <t>MFA of Andersson et al. (2017), with calculated transfercoefficients and coefficient of variance to establish a mass balance</t>
  </si>
  <si>
    <t>TCs original Andersson</t>
  </si>
  <si>
    <t>TCs after mass establishing mass balance</t>
  </si>
  <si>
    <t>(Flow 1 splits into Flow 2 and Flow 3)</t>
  </si>
  <si>
    <t>mass fraction [%] of total flow</t>
  </si>
  <si>
    <t>integrated</t>
  </si>
  <si>
    <t>integrated (in F4.031)</t>
  </si>
  <si>
    <t>C</t>
  </si>
  <si>
    <t>Mass balanced flow values and resulting TCs</t>
  </si>
  <si>
    <t>Shredder fluff</t>
  </si>
  <si>
    <t>Recycled steel (closed loop)</t>
  </si>
  <si>
    <t>Al fraction (heavy media processing)</t>
  </si>
  <si>
    <t>Al fraction (light fraction processing)</t>
  </si>
  <si>
    <t>Fines</t>
  </si>
  <si>
    <t>Generic MFA system flows</t>
  </si>
  <si>
    <t>integrated (in F5.003)</t>
  </si>
  <si>
    <t>F5.001</t>
  </si>
  <si>
    <t>Slags/Dusts (steel)</t>
  </si>
  <si>
    <t>Recycled Al (closed loop)</t>
  </si>
  <si>
    <t>Slags/dusts (Al)</t>
  </si>
  <si>
    <t>integrated (F5.011)</t>
  </si>
  <si>
    <t>integrated (in F5.001)</t>
  </si>
  <si>
    <t>integrated (in F4.092)</t>
  </si>
  <si>
    <t>Domestic Fe (+ domestic steel from decanning)</t>
  </si>
  <si>
    <t>TCs (goods level)</t>
  </si>
  <si>
    <t>Shredder_fluff</t>
  </si>
  <si>
    <t>Exported mixed fraction</t>
  </si>
  <si>
    <t>Flow name</t>
  </si>
  <si>
    <t>Preceding Flow</t>
  </si>
  <si>
    <t>min norm</t>
  </si>
  <si>
    <t>average norm*</t>
  </si>
  <si>
    <t>max norm</t>
  </si>
  <si>
    <t>average</t>
  </si>
  <si>
    <t>weighted based on ELV compos.</t>
  </si>
  <si>
    <t>est. composituion disaggr. flows</t>
  </si>
  <si>
    <t>est. comp. with condition that mass flow stays const. to ELV composition</t>
  </si>
  <si>
    <t>relative fraction of est. comp. with condition that mass flow stays const. to ELV composition</t>
  </si>
  <si>
    <t>Residues_regulated_components</t>
  </si>
  <si>
    <t>Estimation from dismantled ELV to heavy and light fraction</t>
  </si>
  <si>
    <t>Estimation of heavy fraction to exported Fe, domestic Fe and Non-Fe fraction</t>
  </si>
  <si>
    <t>[1]</t>
  </si>
  <si>
    <t>Total recycled material:</t>
  </si>
  <si>
    <t>Steel scrap export and import</t>
  </si>
  <si>
    <t>[2]</t>
  </si>
  <si>
    <t>Source</t>
  </si>
  <si>
    <t xml:space="preserve">Iron/steel scrap recycled from ELV </t>
  </si>
  <si>
    <t>Estimation of the light fraction to fines, shredder fluff and Al fraction (light fraction processing)</t>
  </si>
  <si>
    <t>relative composition of heavy fraction</t>
  </si>
  <si>
    <t>Composition of Fines and Shredder fluff</t>
  </si>
  <si>
    <t>Light ASR, further referred to as light fraction</t>
  </si>
  <si>
    <t>Disaggregation of material categories proportional to their mass</t>
  </si>
  <si>
    <t>Relative composition</t>
  </si>
  <si>
    <t>Shredder fluff [kg]</t>
  </si>
  <si>
    <t>Fines [kg]</t>
  </si>
  <si>
    <t>Domestic Al [kg]</t>
  </si>
  <si>
    <t>Fines (light ASR)</t>
  </si>
  <si>
    <t>Shredder fluff (heavy ASR)</t>
  </si>
  <si>
    <t>low</t>
  </si>
  <si>
    <t>mid</t>
  </si>
  <si>
    <t>rel. comp. mid values</t>
  </si>
  <si>
    <t>Total:</t>
  </si>
  <si>
    <t>Cast Fe</t>
  </si>
  <si>
    <t>Estimation of flows from the Non-Fe fraction to the exported mixed fraction, exported Al and Fe fraction, the Al fraction (recycled) and residues</t>
  </si>
  <si>
    <t>mass balance test</t>
  </si>
  <si>
    <t>[3]</t>
  </si>
  <si>
    <t>Passarini, F., Ciacci, L., Santini, A., Vassura, I., Morselli, L., 2014. Aluminium flows in vehicles: Enhancing the recovery at end-of-life. J. Mater. Cycles Waste Manag. 16, 39–45. https://doi.org/10.1007/s10163-013-0175-0</t>
  </si>
  <si>
    <t>Al (heavy media sorter)</t>
  </si>
  <si>
    <t>Cu (heavy media sorter)</t>
  </si>
  <si>
    <t>Plastic (Eddy current)</t>
  </si>
  <si>
    <t>Rubber (Eddy current)</t>
  </si>
  <si>
    <t>Simic, V., Dimitrijevic, B., 2012. Production planning for vehicle recycling factories in the EU legislative and global business environments. Resour. Conserv. Recycl. 60, 78–88. https://doi.org/10.1016/j.resconrec.2011.11.012</t>
  </si>
  <si>
    <t>[4]</t>
  </si>
  <si>
    <t>[5]</t>
  </si>
  <si>
    <t>Passarini, F., Ciacci, F., Nuss, L., Manfredi, P., 2018. Material Flow Analysis of Aluminium , Copper , and Iron in the EU-28. Publications Office of the European Union, Luxembourg. https://doi.org/10.2760/1079</t>
  </si>
  <si>
    <t>Mass based on material distribution</t>
  </si>
  <si>
    <t>Estimation of flows from domestic Fe (incl. domestic steel from decanning) to exported steel, recycled steel and slags/dusts from steel production</t>
  </si>
  <si>
    <t>Estimation of flows from domestic Al production to the exported Al, recycled Al (closed loop) and slags/dusts from Al production</t>
  </si>
  <si>
    <t>Estimation of flows from EV motor reuse/recycling to materials from EV motor, exported Cu, recycled Cu, or reused EV motor (fraction)</t>
  </si>
  <si>
    <t>Estimation of flows from regulated components to recycled materials, slags of regulated components, and domestic steel from decanning</t>
  </si>
  <si>
    <t>Regulated components used to estimate TCs are lead battery and wheels of a car</t>
  </si>
  <si>
    <t>Diener, D.L., Tillman, A.M., 2016. Scrapping steel components for recycling - Isn’t that good enough? Seeking improvements in automotive component end-of-life. Resour. Conserv. Recycl. 110, 48–60. https://doi.org/10.1016/j.resconrec.2016.03.001</t>
  </si>
  <si>
    <t>[6]</t>
  </si>
  <si>
    <t>The flows from Non-Fe fraction to the separate flows after heavy meadia processing are based on Simic and Dimitrijevic (2012) [4], with the fraction of exported ferrous scrap being based on data of the Bureau of International Recycling [5], with assumptions for other material fractions such as plastics, rubber etc. that are mostly diected to residues or exported from the system for additional recycling (see indicated assumptions).</t>
  </si>
  <si>
    <t>EAF (Electric arc furnace)</t>
  </si>
  <si>
    <t>Domestic Fe and domestic steel from decanning</t>
  </si>
  <si>
    <t>Ferrous scrap to steel:</t>
  </si>
  <si>
    <t>Losses [rel.]</t>
  </si>
  <si>
    <t>Cullen, J.M., Allwood, J.M., Bambach, M.D., Trumpington, C., Cambridge, S., United, P.Z., Tel, K., Metallurgy, F., n.d. Supporting Information: Mapping the global flow of steel: from steelmaking to end ‐ use goods.</t>
  </si>
  <si>
    <t>[8]</t>
  </si>
  <si>
    <t>[7]</t>
  </si>
  <si>
    <t>Björkman, B., Samuelsson, C., 2014. Recycling of Steel. Handb. Recycl. State-of-the-art Pract. Anal. Sci. 65–83. https://doi.org/10.1016/B978-0-12-396459-5.00006-4</t>
  </si>
  <si>
    <t>[9]</t>
  </si>
  <si>
    <t>The flows resulting from domestic Fe (and domestic Fe from decanning), to exported steel, steel slags/dusts and recycled steel (closed loop are based on Cullen et al., (2012), Björkman and Samuelsson (2014) and the closed-loop recycling rate of automotive steel back into automotive applications as reported [8].</t>
  </si>
  <si>
    <t>Løvik, A.N., Modaresi, R., Müller, D.B., 2014. Long-term strategies for increased recycling of automotive aluminum and its alloying elements. Environ. Sci. Technol. 48, 4257–4265. https://doi.org/10.1021/es405604g</t>
  </si>
  <si>
    <t>[10]</t>
  </si>
  <si>
    <t>Boin, U.M.J., Bertram, M., 2005. Melting Standardized Aluminum Scrap : A Mass Balance Model for Europe.</t>
  </si>
  <si>
    <t>[11]</t>
  </si>
  <si>
    <t>Remelter</t>
  </si>
  <si>
    <t>AL fraction (light fraction processing) and Al fraction (heavy meadia processing)</t>
  </si>
  <si>
    <t>Recycled Al:</t>
  </si>
  <si>
    <t>mass balance check for Al</t>
  </si>
  <si>
    <t>The flows from domestic Al production to exported Al, recycled Al in a closed loop and the losses of Al and other materials to the slags/dusts fraction are estimated based on Løvik et al., (2014 and Boin and Bertram (2005).</t>
  </si>
  <si>
    <t>EV batteries</t>
  </si>
  <si>
    <t>EV motor</t>
  </si>
  <si>
    <t>EV Batteries reused/recycled</t>
  </si>
  <si>
    <t>EV batteries exported</t>
  </si>
  <si>
    <t>Materials from EV motor</t>
  </si>
  <si>
    <t>EV motors</t>
  </si>
  <si>
    <t>Recycled Cu (closed loop)</t>
  </si>
  <si>
    <t>Exported Cu</t>
  </si>
  <si>
    <t xml:space="preserve">EV Battery </t>
  </si>
  <si>
    <t>Rotor</t>
  </si>
  <si>
    <t xml:space="preserve">Stator </t>
  </si>
  <si>
    <t xml:space="preserve">Rotor coil </t>
  </si>
  <si>
    <t xml:space="preserve">Drive shaft </t>
  </si>
  <si>
    <t>Belt fitting</t>
  </si>
  <si>
    <t>Spacer</t>
  </si>
  <si>
    <t>Bearings</t>
  </si>
  <si>
    <t>Slip ring S</t>
  </si>
  <si>
    <t>Housing</t>
  </si>
  <si>
    <t xml:space="preserve">Al </t>
  </si>
  <si>
    <t>Replacement probability</t>
  </si>
  <si>
    <t>Mass [kg]</t>
  </si>
  <si>
    <t>Cu [kt]</t>
  </si>
  <si>
    <t>relative fraction</t>
  </si>
  <si>
    <t>Scrap use</t>
  </si>
  <si>
    <t>mass weighted replacement probability</t>
  </si>
  <si>
    <t>Fan</t>
  </si>
  <si>
    <t>Cu scap net-export</t>
  </si>
  <si>
    <t>Cu scap domestically processed</t>
  </si>
  <si>
    <t>mass balance check</t>
  </si>
  <si>
    <t>Schau, E.M., Traverso, M., Finkbeiner, M., 2012. Life cycle approach to sustainability assessment : a case study of remanufactured alternators. J. Remanufacturing a SpringerOpen J. 1–14. https://doi.org/10.1186/2210-4690-2-5</t>
  </si>
  <si>
    <t>[12]</t>
  </si>
  <si>
    <t>[13]</t>
  </si>
  <si>
    <t>Material composition</t>
  </si>
  <si>
    <t>LiMnO4</t>
  </si>
  <si>
    <t xml:space="preserve">The flows resulting from EV battery reuse, export to other sectors to be reused in a second life application (e.g. for energy storage), or be partly treated otherwise (indicated as residues flows), represents a highly uncertain future process. The reuse of batteries is modelled with 50%, with some metals such as Cu and Al, being reused to a highly slighter degree (as indicated by Alfaro-Algaba and Ramirez, 2020), with 40% of batteries being reused in other sectors.These assumptions are considered reasonable, and the rate of battery reuse is modelled more expicitly in the different scenarios, employed. </t>
  </si>
  <si>
    <t>Estimation of flows from EV battery to reused batteries, exported batteries, or Residues</t>
  </si>
  <si>
    <t>[14]</t>
  </si>
  <si>
    <t>Nakamura, S., Kondo, Y., Matsubae, K., Nakajima, K., Tasaki, T., Nagasaka, T., 2012. Quality- and dilution losses in the recycling of ferrous materials from end-of-life passenger cars: Input-output analysis under explicit consideration of scrap quality. Environ. Sci. Technol. 46, 9266–9273. https://doi.org/10.1021/es3013529</t>
  </si>
  <si>
    <t>Gradin, K.T., Luttropp, C., Björklund, A., 2013. Investigating improved vehicle dismantling and fragmentation technology. J. Clean. Prod. 54, 23–29. https://doi.org/10.1016/j.jclepro.2013.05.023</t>
  </si>
  <si>
    <t>Vermeulen, I., Van Caneghem, J., Block, C., Baeyens, J., Vandecasteele, C., 2011. Automotive shredder residue (ASR): Reviewing its production from end-of-life vehicles (ELVs) and its recycling, energy or chemicals’ valorisation. J. Hazard. Mater. 190, 8–27. https://doi.org/10.1016/j.jhazmat.2011.02.088</t>
  </si>
  <si>
    <t>World auto steel - Recycled steel content of cars 25%, https://www.worldautosteel.org/life-cycle-thinking/recycling/</t>
  </si>
  <si>
    <t>Bureau of International Recycling, 2016, https://www.euric-aisbl.eu/facts-figures/statistics/download/231/63/32</t>
  </si>
  <si>
    <t>ASR composition [1] normalized to 100%</t>
  </si>
  <si>
    <t xml:space="preserve"> min</t>
  </si>
  <si>
    <t>ASR composition in wt% [1]</t>
  </si>
  <si>
    <t xml:space="preserve">Heavy and light fractions are estimated based on ASR data, that is reported by Vermeulen et al., (2011) [1]. As the reported material resolution is not the same as the composition of the vehicle model, the composition of the ASR flow was further disaggregated, e.g. Iron is disaggreagted to cast iron and steel, based on the relative fraction of iron and steel in the ELV, applying the condition that no extra mass of any mateial can be created, meaning that all material fractions have to be sourced from the ELV that is shredded. This derived relative composition value is used as the transfercoefficient for the light fraction. The heavy fraction is derived by subtracting the value of the light fraction from 1. Assumptions are made for Pb, Ethylencarbonate, Graphite, Nd, LiMnO4 and LiPF6. 
</t>
  </si>
  <si>
    <t>Based on the values reported by Nakamura et al., (2012) [2], the separation of Fe and Non-Fe metals is set.The Non-Fe fraction is directed to heavy media processing and entails all materials that are not diverted to the ferrous fractions.The composition of the preceding flow is used to calculate ferrous fractions by multiplication with the reported data [2] and the EU-28 steel scrap export rate [4]. The remaining materials are diverted to the Non-Fe fraction.</t>
  </si>
  <si>
    <t>The flows resulting from light fraction processing are calcualted based on [1]. As the material categories (e.g. 'metals') are not further disaggregated, the disaggregation is undertaken based on the relative mass fractions of the metals. Similarly the disaggregation is undertaken for the the other material fractions. Based on the resulting relative composition of the flows 'fines' and 'shredder fluff', the transfercoefficients are derived.</t>
  </si>
  <si>
    <t>based on ELV flow resulting from 99% ICEV, 1% EV</t>
  </si>
  <si>
    <t>[kg]</t>
  </si>
  <si>
    <t>relative to material category reported [1]</t>
  </si>
  <si>
    <t>relative to total ELV flow</t>
  </si>
  <si>
    <t>Normalized average content in automotive shredder residue (ASR) based on [1]</t>
  </si>
  <si>
    <t>TCs ferrous fraction</t>
  </si>
  <si>
    <t>Exported Fe [kg]</t>
  </si>
  <si>
    <t>Domestic Fe [kg]</t>
  </si>
  <si>
    <t>Non-Fe fraction [kg]</t>
  </si>
  <si>
    <t>Total [kg]</t>
  </si>
  <si>
    <t>TCs</t>
  </si>
  <si>
    <t>Sorting efficiency [6]</t>
  </si>
  <si>
    <t>The flows resulting from regulated components are calcualted based on Diener and Tillman (2016) [8], who report values for the ferrous fraction that is directed to steel recycling. The other materials leave the system either as a material flow that is entering a further recycling process or as a residue flow. The values for recycled and residue flows are to a large degree assumed.</t>
  </si>
  <si>
    <t>The flows resulting from EV motor recycling/reuse to exported Cu, recycled Cu (closed loop) and reused EV motor, are based on the remanufacturing data and the probability of material discard by Schau et al., (2012) [12], who report vaues for a light weight generator. As no data on the remanufacturing of EV motors has been found, the data for alternators was used and upscaled to derive transfercoefficients. For recycling of Cu scrap within the EU and scrap being exported data [5] is used to derive the fraction of exported scrap.</t>
  </si>
  <si>
    <t>Replacement probabilities for different materials during remanufacturing of an automotive alternator are taken (Schau et al., 2012) [14]</t>
  </si>
  <si>
    <t>Kurdve, M., Zackrisson, M., Johansson, M.I., Ebin, B., 2019. Considerations when Modelling EV Battery Systems. Batteries 5, 1–20. https://doi.org/10.3390/batteries5020040</t>
  </si>
  <si>
    <t>[15]</t>
  </si>
  <si>
    <t>Alfaro-Algaba, M., Ramirez, F.J., 2020. Techno-economic and environmental disassembly planning of lithium-ion electric vehicle battery packs for remanufacturing. Resour. Conserv. Recycl. 154, 104461. https://doi.org/10.1016/j.resconrec.2019.104461</t>
  </si>
  <si>
    <t>[16]</t>
  </si>
  <si>
    <t>Olsson, L., Fallahi, S., Schnurr, M., Diener, D., 2018. Circular Business Models for Extended EV Battery Life. Batteries 4, 1–15. https://doi.org/10.3390/batteries4040057</t>
  </si>
  <si>
    <t>[17]</t>
  </si>
  <si>
    <t>open loop RR (to automotive sector) incl. losses</t>
  </si>
  <si>
    <t>closed loop RR (to other sectors) incl. losses</t>
  </si>
  <si>
    <t xml:space="preserve">According [16], if disassebly will be pursued, the level of disassembly will be high, as the most profitable sub-components, the battery modules, are likely to be recovered late in the disassembly sequence. Depending on the state of the modules, it is assumed that 50% can be reused. </t>
  </si>
  <si>
    <t>It is highly uncertain what the future level of reuse, remanufacturing and recycling of EV batteries will be, as it depends on various factors, that influence the level of reuse, remanufacturing and recycling, compiled by Kurdve et al., (2019) [15]. By extension of the battery life time, it is also proposed to reuse vehicle batteries in other sectors, thereby repurposing them, while minimizing the environmental effects of EV batteries, deriving a higher overall value and thereby contributing to other sector's sustainability performance [17]. Therefore, the values of 'exported' EV batteries to other sectors are set relatively high (40%).</t>
  </si>
  <si>
    <t>*EV battery materials should not be diverted to shredder, but if this should happen, it is modelled based on the assumptions provided in the comments of the cells</t>
  </si>
  <si>
    <t>OLD FLOWS</t>
  </si>
  <si>
    <t>EXCLUDED IN NEW TC CSV FILE</t>
  </si>
  <si>
    <t xml:space="preserve">Test for mass balance for each TC group </t>
  </si>
  <si>
    <t>OLD TCs used for earlier system simulations</t>
  </si>
  <si>
    <t xml:space="preserve">Generic component composition </t>
  </si>
  <si>
    <t>Mixed fraction</t>
  </si>
  <si>
    <t xml:space="preserve">Mmax solver solution: </t>
  </si>
  <si>
    <t>100% EV</t>
  </si>
  <si>
    <t>Hmax solver solution:</t>
  </si>
  <si>
    <t>Glider (always 100%)</t>
  </si>
  <si>
    <t>Description of changes</t>
  </si>
  <si>
    <t>no changes, dismantled ELVs determined by the stock-flow model</t>
  </si>
  <si>
    <t>Recycling of battery materials doubled (Ethylencarbonate, Graphite, Nd, LiMnO4, LiPF6), with reductions of batteries exported</t>
  </si>
  <si>
    <t>No changes in the processing of regulated components</t>
  </si>
  <si>
    <t>Replacement probability for metal parts decreased, it is assumed that 10% improvement in metal parts reuse is achieved in remanufacturing, improvements diverted from "materials_from_EV_motor"</t>
  </si>
  <si>
    <t>Domestic recycling of Fe increased to by 10%. Diversion of Cu from ferrous fraction increased also by 10%.</t>
  </si>
  <si>
    <t>No changes</t>
  </si>
  <si>
    <t>Diversion of Fe and Steel increased from 96,7% to 97%, and of Plastic from 86.7% to 90%</t>
  </si>
  <si>
    <t>Closed loop recycling to the automotive sector of steel is increased by 20% (potential uptake), with less Fe lost to slags and generally lower Cu content of Cu in recycled steel</t>
  </si>
  <si>
    <t>Sources and assumption</t>
  </si>
  <si>
    <t>Diversion of copper from 14.5% to 60.0%, and glass from 50.0% to 80.0%</t>
  </si>
  <si>
    <t>Hagelüken, C., 2020. Business as Unusual - Requirements for an Effective Circular Economy for Lithium Ion Batteries Requirements for an Effective Circular Economy for Lithium Ion Batteries.</t>
  </si>
  <si>
    <t>With a higher share of Evs and an improved recycling system, recovery of Cu is assumed to reach similar values as it is shown for the development of for platin-group metals in the case of catalytic converters [1]</t>
  </si>
  <si>
    <t>Improvements in hammer mill air separation are considered to be already optimized and therefore reach only minor, incremental improvements</t>
  </si>
  <si>
    <t>Cast aluminum</t>
  </si>
  <si>
    <t>Ethylen carbonate</t>
  </si>
  <si>
    <t>Components</t>
  </si>
  <si>
    <t>Interior and exterior</t>
  </si>
  <si>
    <t>Tires and wheels</t>
  </si>
  <si>
    <t>Body and doors</t>
  </si>
  <si>
    <t>Lead battery</t>
  </si>
  <si>
    <t>EV battery</t>
  </si>
  <si>
    <t>Other powertrain</t>
  </si>
  <si>
    <t xml:space="preserve">For the Battery, data from Notter et al., 2010 were used upscaled, which were upscaled to a 300kg battery, as implemented by Hawkins et al., (2010). </t>
  </si>
  <si>
    <t>Common EV and ICEV components</t>
  </si>
  <si>
    <t>EV components</t>
  </si>
  <si>
    <t>ICEV components</t>
  </si>
  <si>
    <t>Total mass</t>
  </si>
  <si>
    <t>Concentration</t>
  </si>
  <si>
    <t>normalized mass</t>
  </si>
  <si>
    <t>M_global</t>
  </si>
  <si>
    <t>Sum of concentrations</t>
  </si>
  <si>
    <t>The calculation of maximum Entropy (Hmax) is based on finding a solution that maximized H, by changing the fractions of EV and ICEV, while maintaining their values always between 0 and 100%, using excel solver.</t>
  </si>
  <si>
    <t>Generic matrix with 1% of the mass of each component</t>
  </si>
  <si>
    <t>based on 300 kg Battery</t>
  </si>
  <si>
    <t>EV Battery</t>
  </si>
  <si>
    <t>EV motor and transmission as single component</t>
  </si>
  <si>
    <t>transmission</t>
  </si>
  <si>
    <t>aggregated</t>
  </si>
  <si>
    <t>RSE</t>
  </si>
  <si>
    <t xml:space="preserve">RSE - aggregated </t>
  </si>
  <si>
    <t>RSE/M</t>
  </si>
  <si>
    <t xml:space="preserve">RSE/M - aggregated </t>
  </si>
  <si>
    <t>∑RSE</t>
  </si>
  <si>
    <t>∑M</t>
  </si>
  <si>
    <t>∑RSE/M</t>
  </si>
  <si>
    <t>% of EV</t>
  </si>
  <si>
    <t>% of ICEV</t>
  </si>
  <si>
    <t>% of glider</t>
  </si>
  <si>
    <t>A2-2 Uncertainties ELV</t>
  </si>
  <si>
    <t>A2-3 Generic MFA</t>
  </si>
  <si>
    <t>A2-4.1 Transfercoefficients</t>
  </si>
  <si>
    <t>A2-5 Hmax &amp; Mmax</t>
  </si>
  <si>
    <t>A2-6 RSE components</t>
  </si>
  <si>
    <t>A2-1 EV-ICEV composition</t>
  </si>
  <si>
    <t>A2-4.2 TCs improved</t>
  </si>
  <si>
    <t>Laner, D., Feketitsch, J., Rechberger, H., Fellner, J., 2015. A Novel Approach to Characterize Data Uncertainty in Material Flow Analysis and its Application to Plastics Flows in Austria. J. Ind. Ecol. 00, 1–13. https://doi.org/10.1111/jiec.12326</t>
  </si>
  <si>
    <t xml:space="preserve">Based on: </t>
  </si>
  <si>
    <t xml:space="preserve">In the following the derived transfercoefficients are presented, with additional information provided through the 'comment' function. </t>
  </si>
  <si>
    <t>Warrings, R., Fellner, J., 2018. Current status of circularity for aluminum from household waste in Austria. Waste Manag. 76, 217–224. https://doi.org/10.1016/j.wasman.2018.02.034 (supplementary information employed for application case)</t>
  </si>
  <si>
    <t>It is assumed that no improvements in shredder fluff recovery are achieved, as it is a highly contaminated output fraction with low economic value</t>
  </si>
  <si>
    <t>Richa, K., Babbitt, C.W., Gaustad, G., Wang, X., 2014. A future perspective on lithium-ion battery waste flows from electric vehicles. Resour. Conserv. Recycl. 83, 63–76. https://doi.org/10.1016/j.resconrec.2013.11.008</t>
  </si>
  <si>
    <t>Increases of the recycling efficiency by 10% is considered feasible for Cu as it is discussed by [2], for Fe the diversion of Fe scrap to european Fe recyclers is assumed to be feasible</t>
  </si>
  <si>
    <t>It is assumed that with larger amounts of spent EV batteries, recycling improvements can set in, that significantly improve the recovery of battery materials, as demonstrated recycling efficiencies can be higher for most battery materials [3]</t>
  </si>
  <si>
    <t>Levedeva, N., Di Persio, F., Boon-Brett, L., 2017. Lithium ion battery value chain and related opportunities for Europe. Luxembourg. https://doi.org/10.2760/6060</t>
  </si>
  <si>
    <t>Regulated components already follow a special recycling process, so that it is assumed that no major improvements happen in this regard.</t>
  </si>
  <si>
    <t>Parker, D., Riley, K., Robinson, S., Symington, H., Hollins, O., 2015. Remanufacturing Market Study. Eur. Remanufacturing Netw.</t>
  </si>
  <si>
    <t xml:space="preserve">The improvements assumed here represent the magnitude that is at the lower bound, given the market study of the european remanufacturing sector, improvements could be much higher [4], especially if additional improvements are fostered by dedicated policies given the positive green-house-gas saving potential and employment effects of the sector. </t>
  </si>
  <si>
    <t>Closed loop recycling to the automotive sector of Al increased by 70% (potential uptake), with less Al and higher contaminants diversion to slags</t>
  </si>
  <si>
    <t>With only a few closed loop recycling systems in existence and the high downcycling of aluminum in its recycling process [6], high potential for closed loop recycling still exists and it is assumed that installation of modern sensor technology and presorting of aluminum alloys can lead to a higher closed-loop recycling</t>
  </si>
  <si>
    <t>Modaresi, R., 2015. Roja Modaresi Dynamics of aluminum use in the global passenger car system Challenges and solutions of recycling and.</t>
  </si>
  <si>
    <t>The improvement of closed steel recycling by 20% might be optimistic, as high contamination by other metals, especially copper, lead to a downcycling of steel and limit its closed-loop use. Improvements in sorting technology and recycling procecsses could increase the share of recycled steel for automotive applications in the future [5].</t>
  </si>
  <si>
    <t>Hatayama, H., Daigo, I., Tahara, K., 2014. Tracking effective measures for closed-loop recycling of automobile steel in China. "Resources, Conserv. Recycl. 87, 65–71. https://doi.org/10.1016/j.resconrec.2014.03.006</t>
  </si>
  <si>
    <t>component mass fraction employed</t>
  </si>
  <si>
    <t xml:space="preserve">The following tables show how the component composition complexity was reduced, given the component description further below. </t>
  </si>
  <si>
    <t>A2-4 Derived transfer coefficients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</si>
</sst>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0.0000000"/>
    <numFmt numFmtId="167" formatCode="0.000"/>
    <numFmt numFmtId="168" formatCode="0.0%"/>
    <numFmt numFmtId="169" formatCode="_(* #,##0_);_(* \(#,##0\);_(* &quot;-&quot;??_);_(@_)"/>
    <numFmt numFmtId="170" formatCode="_(* #,##0.0_);_(* \(#,##0.0\);_(* &quot;-&quot;??_);_(@_)"/>
    <numFmt numFmtId="171" formatCode="_(* #,##0.0000_);_(* \(#,##0.0000\);_(* &quot;-&quot;??_);_(@_)"/>
    <numFmt numFmtId="172" formatCode="_(* #,##0.00000_);_(* \(#,##0.00000\);_(* &quot;-&quot;??_);_(@_)"/>
  </numFmts>
  <fonts count="45">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color theme="1"/>
      <name val="Calibri"/>
      <family val="2"/>
      <scheme val="minor"/>
    </font>
    <font>
      <i/>
      <sz val="11"/>
      <color theme="1"/>
      <name val="Calibri"/>
      <family val="2"/>
      <scheme val="minor"/>
    </font>
    <font>
      <b/>
      <sz val="11"/>
      <color rgb="FF3F3F3F"/>
      <name val="Calibri"/>
      <family val="2"/>
      <scheme val="minor"/>
    </font>
    <font>
      <b/>
      <sz val="11"/>
      <color rgb="FFFA7D00"/>
      <name val="Calibri"/>
      <family val="2"/>
      <scheme val="minor"/>
    </font>
    <font>
      <sz val="10"/>
      <name val="Arial"/>
      <family val="2"/>
    </font>
    <font>
      <u/>
      <sz val="11"/>
      <color theme="10"/>
      <name val="Calibri"/>
      <family val="2"/>
      <scheme val="minor"/>
    </font>
    <font>
      <sz val="11"/>
      <color theme="1"/>
      <name val="Calibri"/>
      <family val="2"/>
    </font>
    <font>
      <b/>
      <i/>
      <sz val="20"/>
      <color theme="1"/>
      <name val="Calibri"/>
      <family val="2"/>
      <scheme val="minor"/>
    </font>
    <font>
      <b/>
      <sz val="11"/>
      <color theme="4" tint="-0.249977111117893"/>
      <name val="Calibri"/>
      <family val="2"/>
      <scheme val="minor"/>
    </font>
    <font>
      <sz val="11"/>
      <color rgb="FF006100"/>
      <name val="Calibri"/>
      <family val="2"/>
      <scheme val="minor"/>
    </font>
    <font>
      <sz val="11"/>
      <color rgb="FF9C5700"/>
      <name val="Calibri"/>
      <family val="2"/>
      <scheme val="minor"/>
    </font>
    <font>
      <sz val="11"/>
      <color indexed="8"/>
      <name val="Calibri"/>
      <family val="2"/>
      <scheme val="minor"/>
    </font>
    <font>
      <sz val="11"/>
      <color indexed="8"/>
      <name val="Calibri"/>
      <family val="2"/>
    </font>
    <font>
      <sz val="11"/>
      <name val="Calibri"/>
      <family val="2"/>
    </font>
    <font>
      <b/>
      <sz val="8"/>
      <color indexed="81"/>
      <name val="Tahoma"/>
      <family val="2"/>
    </font>
    <font>
      <sz val="8"/>
      <color indexed="81"/>
      <name val="Tahoma"/>
      <family val="2"/>
    </font>
    <font>
      <sz val="11"/>
      <color rgb="FF000000"/>
      <name val="Calibri"/>
      <family val="2"/>
      <scheme val="minor"/>
    </font>
    <font>
      <sz val="11"/>
      <name val="Calibri"/>
      <family val="2"/>
      <scheme val="minor"/>
    </font>
    <font>
      <b/>
      <i/>
      <sz val="11"/>
      <color rgb="FFFF0000"/>
      <name val="Calibri"/>
      <family val="2"/>
      <scheme val="minor"/>
    </font>
    <font>
      <b/>
      <i/>
      <sz val="12"/>
      <color theme="1"/>
      <name val="Calibri"/>
      <family val="2"/>
      <scheme val="minor"/>
    </font>
    <font>
      <i/>
      <sz val="12"/>
      <color theme="1"/>
      <name val="Calibri"/>
      <family val="2"/>
      <scheme val="minor"/>
    </font>
    <font>
      <i/>
      <sz val="10"/>
      <color theme="1"/>
      <name val="Calibri"/>
      <family val="2"/>
      <scheme val="minor"/>
    </font>
    <font>
      <sz val="8"/>
      <color theme="1"/>
      <name val="Calibri"/>
      <family val="2"/>
      <scheme val="minor"/>
    </font>
    <font>
      <sz val="11"/>
      <color rgb="FFFF0000"/>
      <name val="Calibri"/>
      <family val="2"/>
      <scheme val="minor"/>
    </font>
    <font>
      <sz val="11"/>
      <color theme="1"/>
      <name val="SeatMetaNormal"/>
      <family val="2"/>
    </font>
    <font>
      <b/>
      <sz val="10"/>
      <color rgb="FF000000"/>
      <name val="Arial"/>
      <family val="2"/>
    </font>
    <font>
      <sz val="10"/>
      <color rgb="FF000000"/>
      <name val="Arial"/>
      <family val="2"/>
    </font>
    <font>
      <b/>
      <sz val="11"/>
      <color rgb="FF000000"/>
      <name val="Arial"/>
      <family val="2"/>
    </font>
    <font>
      <sz val="11"/>
      <color rgb="FF000000"/>
      <name val="Arial"/>
      <family val="2"/>
    </font>
    <font>
      <b/>
      <sz val="10"/>
      <color rgb="FF000000"/>
      <name val="Calibri  "/>
    </font>
    <font>
      <sz val="11"/>
      <color theme="1"/>
      <name val="Calibri  "/>
    </font>
    <font>
      <sz val="10"/>
      <color theme="1"/>
      <name val="Calibri  "/>
    </font>
    <font>
      <b/>
      <sz val="9"/>
      <color rgb="FF000000"/>
      <name val="Calibri  "/>
    </font>
    <font>
      <i/>
      <sz val="11"/>
      <color rgb="FF9C5700"/>
      <name val="Calibri"/>
      <family val="2"/>
      <scheme val="minor"/>
    </font>
    <font>
      <sz val="11"/>
      <color theme="0"/>
      <name val="Calibri"/>
      <family val="2"/>
      <scheme val="minor"/>
    </font>
    <font>
      <b/>
      <sz val="11"/>
      <color rgb="FF000000"/>
      <name val="Calibri"/>
      <family val="2"/>
    </font>
    <font>
      <sz val="8"/>
      <color rgb="FF000000"/>
      <name val="Courier New"/>
      <family val="3"/>
    </font>
    <font>
      <sz val="14"/>
      <color theme="1"/>
      <name val="Calibri"/>
      <family val="2"/>
      <scheme val="minor"/>
    </font>
    <font>
      <i/>
      <sz val="14"/>
      <color theme="1"/>
      <name val="Calibri"/>
      <family val="2"/>
      <scheme val="minor"/>
    </font>
    <font>
      <i/>
      <u/>
      <sz val="12"/>
      <color theme="10"/>
      <name val="Calibri"/>
      <family val="2"/>
      <scheme val="minor"/>
    </font>
  </fonts>
  <fills count="3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F2F2F2"/>
      </patternFill>
    </fill>
    <fill>
      <patternFill patternType="solid">
        <fgColor theme="0" tint="-0.249977111117893"/>
        <bgColor indexed="64"/>
      </patternFill>
    </fill>
    <fill>
      <patternFill patternType="solid">
        <fgColor rgb="FFFFC000"/>
        <bgColor indexed="64"/>
      </patternFill>
    </fill>
    <fill>
      <patternFill patternType="solid">
        <fgColor theme="8"/>
        <bgColor indexed="64"/>
      </patternFill>
    </fill>
    <fill>
      <patternFill patternType="solid">
        <fgColor theme="5"/>
        <bgColor indexed="64"/>
      </patternFill>
    </fill>
    <fill>
      <patternFill patternType="solid">
        <fgColor theme="7" tint="0.59999389629810485"/>
        <bgColor indexed="64"/>
      </patternFill>
    </fill>
    <fill>
      <patternFill patternType="solid">
        <fgColor theme="2" tint="-0.499984740745262"/>
        <bgColor indexed="64"/>
      </patternFill>
    </fill>
    <fill>
      <patternFill patternType="solid">
        <fgColor rgb="FFC6EFCE"/>
      </patternFill>
    </fill>
    <fill>
      <patternFill patternType="solid">
        <fgColor rgb="FFFFEB9C"/>
      </patternFill>
    </fill>
    <fill>
      <patternFill patternType="solid">
        <fgColor theme="6"/>
        <bgColor indexed="64"/>
      </patternFill>
    </fill>
    <fill>
      <patternFill patternType="solid">
        <fgColor theme="7" tint="0.79998168889431442"/>
        <bgColor indexed="64"/>
      </patternFill>
    </fill>
    <fill>
      <patternFill patternType="solid">
        <fgColor rgb="FFCC6600"/>
        <bgColor indexed="64"/>
      </patternFill>
    </fill>
    <fill>
      <patternFill patternType="solid">
        <fgColor theme="6" tint="0.39997558519241921"/>
        <bgColor indexed="65"/>
      </patternFill>
    </fill>
    <fill>
      <patternFill patternType="solid">
        <fgColor theme="7" tint="0.59999389629810485"/>
        <bgColor indexed="65"/>
      </patternFill>
    </fill>
    <fill>
      <patternFill patternType="solid">
        <fgColor rgb="FFF5F5F5"/>
        <bgColor indexed="64"/>
      </patternFill>
    </fill>
    <fill>
      <patternFill patternType="solid">
        <fgColor theme="0"/>
        <bgColor indexed="64"/>
      </patternFill>
    </fill>
    <fill>
      <patternFill patternType="solid">
        <fgColor theme="6"/>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rgb="FF7F7F7F"/>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14" borderId="17" applyNumberFormat="0" applyAlignment="0" applyProtection="0"/>
    <xf numFmtId="0" fontId="8" fillId="14" borderId="16" applyNumberFormat="0" applyAlignment="0" applyProtection="0"/>
    <xf numFmtId="0" fontId="1" fillId="0" borderId="0"/>
    <xf numFmtId="0" fontId="9" fillId="0" borderId="0"/>
    <xf numFmtId="9"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43" fontId="9" fillId="0" borderId="0" applyFont="0" applyFill="0" applyBorder="0" applyAlignment="0" applyProtection="0"/>
    <xf numFmtId="41" fontId="9" fillId="0" borderId="0" applyFont="0" applyFill="0" applyBorder="0" applyAlignment="0" applyProtection="0"/>
    <xf numFmtId="0" fontId="10" fillId="0" borderId="0" applyNumberFormat="0" applyFill="0" applyBorder="0" applyAlignment="0" applyProtection="0"/>
    <xf numFmtId="0" fontId="14" fillId="21" borderId="0" applyNumberFormat="0" applyBorder="0" applyAlignment="0" applyProtection="0"/>
    <xf numFmtId="0" fontId="15" fillId="22"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9" fillId="0" borderId="0"/>
    <xf numFmtId="0" fontId="1" fillId="0" borderId="0"/>
    <xf numFmtId="0" fontId="16" fillId="0" borderId="0"/>
    <xf numFmtId="9" fontId="17" fillId="0" borderId="0" applyFont="0" applyFill="0" applyBorder="0" applyAlignment="0" applyProtection="0"/>
    <xf numFmtId="0" fontId="39" fillId="30" borderId="0" applyNumberFormat="0" applyBorder="0" applyAlignment="0" applyProtection="0"/>
  </cellStyleXfs>
  <cellXfs count="606">
    <xf numFmtId="0" fontId="0" fillId="0" borderId="0" xfId="0"/>
    <xf numFmtId="0" fontId="0" fillId="0" borderId="1" xfId="0" applyBorder="1"/>
    <xf numFmtId="164" fontId="0" fillId="0" borderId="1" xfId="0" applyNumberFormat="1" applyBorder="1"/>
    <xf numFmtId="165" fontId="0" fillId="0" borderId="1" xfId="0" applyNumberFormat="1" applyBorder="1"/>
    <xf numFmtId="165" fontId="0" fillId="2" borderId="1" xfId="0" applyNumberFormat="1" applyFill="1" applyBorder="1"/>
    <xf numFmtId="165" fontId="0" fillId="3" borderId="1" xfId="0" applyNumberFormat="1" applyFill="1" applyBorder="1"/>
    <xf numFmtId="165" fontId="0" fillId="4" borderId="1" xfId="0" applyNumberFormat="1" applyFill="1" applyBorder="1"/>
    <xf numFmtId="165" fontId="0" fillId="5" borderId="1" xfId="0" applyNumberFormat="1" applyFill="1" applyBorder="1"/>
    <xf numFmtId="165" fontId="0" fillId="6" borderId="1" xfId="0" applyNumberFormat="1" applyFill="1" applyBorder="1"/>
    <xf numFmtId="165" fontId="0" fillId="7" borderId="1" xfId="0" applyNumberFormat="1" applyFill="1" applyBorder="1"/>
    <xf numFmtId="166" fontId="0" fillId="0" borderId="0" xfId="0" applyNumberFormat="1"/>
    <xf numFmtId="0" fontId="4" fillId="0" borderId="0" xfId="0" applyFont="1"/>
    <xf numFmtId="165" fontId="0" fillId="9" borderId="1" xfId="0" applyNumberFormat="1" applyFill="1" applyBorder="1"/>
    <xf numFmtId="165" fontId="0" fillId="10" borderId="1" xfId="0" applyNumberFormat="1" applyFill="1" applyBorder="1"/>
    <xf numFmtId="0" fontId="0" fillId="0" borderId="6" xfId="0" applyBorder="1" applyAlignment="1"/>
    <xf numFmtId="0" fontId="0" fillId="0" borderId="6" xfId="0" applyBorder="1"/>
    <xf numFmtId="0" fontId="0" fillId="0" borderId="7" xfId="0" applyBorder="1"/>
    <xf numFmtId="0" fontId="0" fillId="0" borderId="8" xfId="0" applyBorder="1"/>
    <xf numFmtId="0" fontId="0" fillId="0" borderId="0" xfId="0" applyBorder="1"/>
    <xf numFmtId="0" fontId="0" fillId="0" borderId="9" xfId="0" applyBorder="1"/>
    <xf numFmtId="0" fontId="0" fillId="0" borderId="12" xfId="0" applyBorder="1"/>
    <xf numFmtId="0" fontId="0" fillId="0" borderId="13" xfId="0" applyBorder="1"/>
    <xf numFmtId="2" fontId="0" fillId="0" borderId="1" xfId="0" applyNumberFormat="1" applyBorder="1"/>
    <xf numFmtId="167" fontId="0" fillId="0" borderId="0" xfId="0" applyNumberFormat="1"/>
    <xf numFmtId="0" fontId="6" fillId="0" borderId="1" xfId="0" applyFont="1" applyBorder="1"/>
    <xf numFmtId="0" fontId="0" fillId="0" borderId="1" xfId="0" applyFont="1" applyBorder="1"/>
    <xf numFmtId="0" fontId="0" fillId="0" borderId="0" xfId="0" applyFill="1" applyBorder="1"/>
    <xf numFmtId="0" fontId="0" fillId="13" borderId="0" xfId="0" applyFill="1"/>
    <xf numFmtId="0" fontId="0" fillId="0" borderId="15" xfId="0" applyBorder="1"/>
    <xf numFmtId="0" fontId="0" fillId="0" borderId="0" xfId="0" applyAlignment="1">
      <alignment wrapText="1"/>
    </xf>
    <xf numFmtId="0" fontId="0" fillId="5" borderId="0" xfId="0" applyFill="1"/>
    <xf numFmtId="0" fontId="0" fillId="12" borderId="0" xfId="0" applyFill="1"/>
    <xf numFmtId="0" fontId="0" fillId="15" borderId="0" xfId="0" applyFill="1"/>
    <xf numFmtId="0" fontId="1" fillId="0" borderId="1" xfId="5" applyFont="1" applyBorder="1"/>
    <xf numFmtId="0" fontId="1" fillId="0" borderId="1" xfId="0" applyFont="1" applyBorder="1"/>
    <xf numFmtId="0" fontId="7" fillId="14" borderId="17" xfId="3"/>
    <xf numFmtId="0" fontId="7" fillId="14" borderId="17" xfId="3" applyAlignment="1">
      <alignment horizontal="center"/>
    </xf>
    <xf numFmtId="0" fontId="10" fillId="0" borderId="0" xfId="12"/>
    <xf numFmtId="2" fontId="0" fillId="0" borderId="0" xfId="0" applyNumberFormat="1"/>
    <xf numFmtId="10" fontId="0" fillId="0" borderId="1" xfId="2" applyNumberFormat="1" applyFont="1" applyBorder="1"/>
    <xf numFmtId="10" fontId="0" fillId="0" borderId="0" xfId="0" applyNumberFormat="1"/>
    <xf numFmtId="165" fontId="0" fillId="11" borderId="1" xfId="0" applyNumberFormat="1" applyFill="1" applyBorder="1"/>
    <xf numFmtId="165" fontId="0" fillId="16" borderId="1" xfId="0" applyNumberFormat="1" applyFill="1" applyBorder="1"/>
    <xf numFmtId="10" fontId="0" fillId="0" borderId="0" xfId="2" applyNumberFormat="1" applyFont="1" applyBorder="1"/>
    <xf numFmtId="165" fontId="0" fillId="17" borderId="1" xfId="0" applyNumberFormat="1" applyFill="1" applyBorder="1"/>
    <xf numFmtId="165" fontId="0" fillId="18" borderId="1" xfId="0" applyNumberFormat="1" applyFill="1" applyBorder="1"/>
    <xf numFmtId="0" fontId="0" fillId="0" borderId="18" xfId="0" applyBorder="1"/>
    <xf numFmtId="0" fontId="0" fillId="0" borderId="13" xfId="0" applyBorder="1" applyAlignment="1">
      <alignment wrapText="1"/>
    </xf>
    <xf numFmtId="0" fontId="0" fillId="0" borderId="13" xfId="0" applyFill="1" applyBorder="1" applyAlignment="1">
      <alignment wrapText="1"/>
    </xf>
    <xf numFmtId="43" fontId="0" fillId="0" borderId="18" xfId="1" applyFont="1" applyBorder="1"/>
    <xf numFmtId="43" fontId="0" fillId="0" borderId="0" xfId="1" applyFont="1"/>
    <xf numFmtId="43" fontId="0" fillId="0" borderId="1" xfId="1" applyFont="1" applyBorder="1"/>
    <xf numFmtId="10" fontId="7" fillId="14" borderId="17" xfId="2" applyNumberFormat="1" applyFont="1" applyFill="1" applyBorder="1"/>
    <xf numFmtId="10" fontId="0" fillId="0" borderId="0" xfId="2" applyNumberFormat="1" applyFont="1"/>
    <xf numFmtId="10" fontId="0" fillId="0" borderId="0" xfId="1" applyNumberFormat="1" applyFont="1"/>
    <xf numFmtId="10" fontId="0" fillId="0" borderId="1" xfId="0" applyNumberFormat="1" applyBorder="1"/>
    <xf numFmtId="0" fontId="4" fillId="0" borderId="1" xfId="0" applyFont="1" applyBorder="1"/>
    <xf numFmtId="2" fontId="4" fillId="0" borderId="1" xfId="0" applyNumberFormat="1" applyFont="1" applyBorder="1"/>
    <xf numFmtId="10" fontId="4" fillId="0" borderId="1" xfId="2" applyNumberFormat="1" applyFont="1" applyBorder="1"/>
    <xf numFmtId="165" fontId="4" fillId="0" borderId="1" xfId="0" applyNumberFormat="1" applyFont="1" applyBorder="1"/>
    <xf numFmtId="43" fontId="0" fillId="0" borderId="0" xfId="0" applyNumberFormat="1"/>
    <xf numFmtId="0" fontId="0" fillId="0" borderId="5" xfId="0" applyBorder="1"/>
    <xf numFmtId="165" fontId="0" fillId="0" borderId="1" xfId="0" applyNumberFormat="1" applyFill="1" applyBorder="1"/>
    <xf numFmtId="168" fontId="0" fillId="0" borderId="1" xfId="2" applyNumberFormat="1" applyFont="1" applyBorder="1"/>
    <xf numFmtId="1" fontId="0" fillId="0" borderId="0" xfId="0" applyNumberFormat="1"/>
    <xf numFmtId="165" fontId="0" fillId="0" borderId="0" xfId="0" applyNumberFormat="1" applyFont="1"/>
    <xf numFmtId="165" fontId="0" fillId="0" borderId="0" xfId="0" applyNumberFormat="1"/>
    <xf numFmtId="165" fontId="0" fillId="0" borderId="0" xfId="0" applyNumberFormat="1" applyAlignment="1">
      <alignment horizontal="left" textRotation="45"/>
    </xf>
    <xf numFmtId="1" fontId="4" fillId="0" borderId="0" xfId="0" applyNumberFormat="1" applyFont="1"/>
    <xf numFmtId="165" fontId="16" fillId="0" borderId="0" xfId="0" applyNumberFormat="1" applyFont="1" applyFill="1" applyBorder="1" applyAlignment="1" applyProtection="1"/>
    <xf numFmtId="165" fontId="4" fillId="0" borderId="0" xfId="0" applyNumberFormat="1" applyFont="1"/>
    <xf numFmtId="165" fontId="0" fillId="0" borderId="5" xfId="0" applyNumberFormat="1" applyFont="1" applyFill="1" applyBorder="1" applyAlignment="1" applyProtection="1"/>
    <xf numFmtId="165" fontId="0" fillId="0" borderId="6" xfId="0" applyNumberFormat="1" applyBorder="1"/>
    <xf numFmtId="165" fontId="0" fillId="0" borderId="6" xfId="0" applyNumberFormat="1" applyFont="1" applyFill="1" applyBorder="1" applyAlignment="1" applyProtection="1"/>
    <xf numFmtId="165" fontId="0" fillId="0" borderId="7" xfId="0" applyNumberFormat="1" applyFont="1" applyFill="1" applyBorder="1" applyAlignment="1" applyProtection="1"/>
    <xf numFmtId="165" fontId="0" fillId="0" borderId="5" xfId="0" applyNumberFormat="1" applyBorder="1"/>
    <xf numFmtId="165" fontId="0" fillId="0" borderId="7" xfId="0" applyNumberFormat="1" applyBorder="1"/>
    <xf numFmtId="165" fontId="5" fillId="0" borderId="7" xfId="0" applyNumberFormat="1" applyFont="1" applyBorder="1"/>
    <xf numFmtId="165" fontId="0" fillId="0" borderId="8" xfId="0" applyNumberFormat="1" applyFont="1" applyFill="1" applyBorder="1" applyAlignment="1" applyProtection="1"/>
    <xf numFmtId="165" fontId="0" fillId="0" borderId="0" xfId="0" applyNumberFormat="1" applyBorder="1"/>
    <xf numFmtId="165" fontId="0" fillId="0" borderId="0" xfId="0" applyNumberFormat="1" applyFont="1" applyFill="1" applyBorder="1" applyAlignment="1" applyProtection="1"/>
    <xf numFmtId="165" fontId="0" fillId="0" borderId="9" xfId="0" applyNumberFormat="1" applyFont="1" applyFill="1" applyBorder="1" applyAlignment="1" applyProtection="1"/>
    <xf numFmtId="165" fontId="0" fillId="0" borderId="8" xfId="0" applyNumberFormat="1" applyBorder="1"/>
    <xf numFmtId="165" fontId="0" fillId="0" borderId="9" xfId="0" applyNumberFormat="1" applyBorder="1"/>
    <xf numFmtId="165" fontId="5" fillId="0" borderId="9" xfId="0" applyNumberFormat="1" applyFont="1" applyBorder="1"/>
    <xf numFmtId="165" fontId="0" fillId="0" borderId="12" xfId="0" applyNumberFormat="1" applyBorder="1"/>
    <xf numFmtId="165" fontId="0" fillId="0" borderId="15" xfId="0" applyNumberFormat="1" applyBorder="1"/>
    <xf numFmtId="165" fontId="0" fillId="0" borderId="0" xfId="0" applyNumberFormat="1" applyFont="1" applyBorder="1"/>
    <xf numFmtId="165" fontId="0" fillId="0" borderId="9" xfId="0" applyNumberFormat="1" applyFont="1" applyBorder="1"/>
    <xf numFmtId="165" fontId="0" fillId="0" borderId="12" xfId="0" applyNumberFormat="1" applyFont="1" applyFill="1" applyBorder="1" applyAlignment="1" applyProtection="1"/>
    <xf numFmtId="165" fontId="0" fillId="0" borderId="13" xfId="0" applyNumberFormat="1" applyFont="1" applyFill="1" applyBorder="1" applyAlignment="1" applyProtection="1"/>
    <xf numFmtId="165" fontId="0" fillId="0" borderId="13" xfId="0" applyNumberFormat="1" applyBorder="1"/>
    <xf numFmtId="165" fontId="0" fillId="0" borderId="15" xfId="0" applyNumberFormat="1" applyFont="1" applyFill="1" applyBorder="1" applyAlignment="1" applyProtection="1"/>
    <xf numFmtId="165" fontId="0" fillId="23" borderId="0" xfId="0" applyNumberFormat="1" applyFont="1" applyFill="1"/>
    <xf numFmtId="165" fontId="0" fillId="0" borderId="0" xfId="0" applyNumberFormat="1" applyFont="1" applyBorder="1" applyAlignment="1">
      <alignment horizontal="left" textRotation="45"/>
    </xf>
    <xf numFmtId="165" fontId="0" fillId="0" borderId="0" xfId="0" applyNumberFormat="1" applyFont="1" applyBorder="1" applyAlignment="1"/>
    <xf numFmtId="165" fontId="0" fillId="0" borderId="5" xfId="0" applyNumberFormat="1" applyFont="1" applyFill="1" applyBorder="1"/>
    <xf numFmtId="165" fontId="0" fillId="0" borderId="8" xfId="0" applyNumberFormat="1" applyFont="1" applyFill="1" applyBorder="1"/>
    <xf numFmtId="165" fontId="5" fillId="0" borderId="0" xfId="0" applyNumberFormat="1" applyFont="1"/>
    <xf numFmtId="165" fontId="0" fillId="0" borderId="9" xfId="0" applyNumberFormat="1" applyFont="1" applyFill="1" applyBorder="1"/>
    <xf numFmtId="165" fontId="0" fillId="0" borderId="15" xfId="0" applyNumberFormat="1" applyFont="1" applyBorder="1"/>
    <xf numFmtId="165" fontId="0" fillId="0" borderId="6" xfId="0" applyNumberFormat="1" applyFont="1" applyFill="1" applyBorder="1"/>
    <xf numFmtId="165" fontId="0" fillId="0" borderId="7" xfId="0" applyNumberFormat="1" applyFont="1" applyFill="1" applyBorder="1"/>
    <xf numFmtId="165" fontId="0" fillId="0" borderId="0" xfId="0" applyNumberFormat="1" applyFont="1" applyFill="1" applyBorder="1"/>
    <xf numFmtId="165" fontId="0" fillId="0" borderId="13" xfId="0" applyNumberFormat="1" applyFont="1" applyFill="1" applyBorder="1"/>
    <xf numFmtId="165" fontId="4" fillId="0" borderId="0" xfId="0" applyNumberFormat="1" applyFont="1" applyFill="1"/>
    <xf numFmtId="165" fontId="0" fillId="0" borderId="0" xfId="0" applyNumberFormat="1" applyFont="1" applyAlignment="1">
      <alignment horizontal="left" textRotation="45"/>
    </xf>
    <xf numFmtId="165" fontId="6" fillId="0" borderId="7" xfId="0" applyNumberFormat="1" applyFont="1" applyFill="1" applyBorder="1"/>
    <xf numFmtId="165" fontId="6" fillId="0" borderId="9" xfId="0" applyNumberFormat="1" applyFont="1" applyFill="1" applyBorder="1"/>
    <xf numFmtId="165" fontId="6" fillId="0" borderId="15" xfId="0" applyNumberFormat="1" applyFont="1" applyFill="1" applyBorder="1"/>
    <xf numFmtId="165" fontId="0" fillId="23" borderId="0" xfId="0" applyNumberFormat="1" applyFont="1" applyFill="1" applyBorder="1"/>
    <xf numFmtId="165" fontId="0" fillId="0" borderId="0" xfId="0" applyNumberFormat="1" applyFill="1" applyBorder="1" applyAlignment="1">
      <alignment horizontal="left" textRotation="45"/>
    </xf>
    <xf numFmtId="165" fontId="0" fillId="0" borderId="0" xfId="0" applyNumberFormat="1" applyFill="1" applyBorder="1"/>
    <xf numFmtId="165" fontId="0" fillId="0" borderId="23" xfId="0" applyNumberFormat="1" applyBorder="1"/>
    <xf numFmtId="165" fontId="4" fillId="0" borderId="7" xfId="0" applyNumberFormat="1" applyFont="1" applyBorder="1"/>
    <xf numFmtId="165" fontId="0" fillId="0" borderId="24" xfId="0" applyNumberFormat="1" applyBorder="1"/>
    <xf numFmtId="165" fontId="4" fillId="0" borderId="9" xfId="0" applyNumberFormat="1" applyFont="1" applyBorder="1"/>
    <xf numFmtId="165" fontId="0" fillId="0" borderId="12" xfId="0" applyNumberFormat="1" applyFont="1" applyFill="1" applyBorder="1"/>
    <xf numFmtId="165" fontId="4" fillId="0" borderId="25" xfId="0" applyNumberFormat="1" applyFont="1" applyBorder="1"/>
    <xf numFmtId="165" fontId="0" fillId="0" borderId="23" xfId="0" applyNumberFormat="1" applyFont="1" applyFill="1" applyBorder="1" applyAlignment="1" applyProtection="1"/>
    <xf numFmtId="165" fontId="0" fillId="0" borderId="24" xfId="0" applyNumberFormat="1" applyFont="1" applyFill="1" applyBorder="1" applyAlignment="1" applyProtection="1"/>
    <xf numFmtId="165" fontId="0" fillId="0" borderId="25" xfId="0" applyNumberFormat="1" applyFont="1" applyFill="1" applyBorder="1"/>
    <xf numFmtId="165" fontId="0" fillId="23" borderId="25" xfId="0" applyNumberFormat="1" applyFont="1" applyFill="1" applyBorder="1"/>
    <xf numFmtId="165" fontId="5" fillId="0" borderId="0" xfId="0" applyNumberFormat="1" applyFont="1" applyBorder="1" applyAlignment="1"/>
    <xf numFmtId="165" fontId="0" fillId="0" borderId="5" xfId="0" applyNumberFormat="1" applyFill="1" applyBorder="1"/>
    <xf numFmtId="165" fontId="0" fillId="0" borderId="6" xfId="0" applyNumberFormat="1" applyFill="1" applyBorder="1"/>
    <xf numFmtId="165" fontId="0" fillId="0" borderId="0" xfId="0" applyNumberFormat="1" applyFont="1" applyFill="1" applyBorder="1" applyAlignment="1"/>
    <xf numFmtId="165" fontId="0" fillId="0" borderId="0" xfId="0" applyNumberFormat="1" applyBorder="1" applyAlignment="1"/>
    <xf numFmtId="165" fontId="0" fillId="0" borderId="8" xfId="0" applyNumberFormat="1" applyFill="1" applyBorder="1"/>
    <xf numFmtId="165" fontId="0" fillId="0" borderId="0" xfId="0" applyNumberFormat="1" applyFill="1"/>
    <xf numFmtId="165" fontId="0" fillId="0" borderId="0" xfId="0" applyNumberFormat="1" applyAlignment="1">
      <alignment textRotation="45"/>
    </xf>
    <xf numFmtId="165" fontId="0" fillId="0" borderId="0" xfId="0" applyNumberFormat="1" applyFont="1" applyAlignment="1">
      <alignment textRotation="45"/>
    </xf>
    <xf numFmtId="165" fontId="0" fillId="0" borderId="6" xfId="0" applyNumberFormat="1" applyFont="1" applyBorder="1"/>
    <xf numFmtId="165" fontId="0" fillId="0" borderId="5" xfId="0" applyNumberFormat="1" applyFont="1" applyBorder="1"/>
    <xf numFmtId="165" fontId="0" fillId="0" borderId="7" xfId="0" applyNumberFormat="1" applyFont="1" applyBorder="1"/>
    <xf numFmtId="165" fontId="0" fillId="0" borderId="8" xfId="0" applyNumberFormat="1" applyFont="1" applyBorder="1"/>
    <xf numFmtId="165" fontId="0" fillId="0" borderId="12" xfId="0" applyNumberFormat="1" applyFont="1" applyBorder="1"/>
    <xf numFmtId="165" fontId="5" fillId="0" borderId="0" xfId="0" applyNumberFormat="1" applyFont="1" applyFill="1" applyBorder="1" applyAlignment="1">
      <alignment horizontal="left" vertical="top"/>
    </xf>
    <xf numFmtId="165" fontId="5" fillId="0" borderId="0" xfId="0" applyNumberFormat="1" applyFont="1" applyFill="1" applyBorder="1" applyAlignment="1"/>
    <xf numFmtId="165" fontId="0" fillId="0" borderId="0" xfId="0" applyNumberFormat="1" applyFill="1" applyBorder="1" applyAlignment="1">
      <alignment vertical="top" wrapText="1"/>
    </xf>
    <xf numFmtId="165" fontId="0" fillId="0" borderId="0" xfId="0" applyNumberFormat="1" applyFill="1" applyBorder="1" applyAlignment="1"/>
    <xf numFmtId="165" fontId="0" fillId="23" borderId="0" xfId="0" applyNumberFormat="1" applyFont="1" applyFill="1" applyBorder="1" applyAlignment="1"/>
    <xf numFmtId="165" fontId="4" fillId="0" borderId="25" xfId="0" applyNumberFormat="1" applyFont="1" applyFill="1" applyBorder="1" applyAlignment="1"/>
    <xf numFmtId="165" fontId="0" fillId="0" borderId="0" xfId="0" applyNumberFormat="1" applyBorder="1" applyAlignment="1">
      <alignment horizontal="left" textRotation="45"/>
    </xf>
    <xf numFmtId="165" fontId="21" fillId="0" borderId="0" xfId="0" applyNumberFormat="1" applyFont="1" applyBorder="1"/>
    <xf numFmtId="165" fontId="22" fillId="0" borderId="0" xfId="0" applyNumberFormat="1" applyFont="1" applyFill="1" applyBorder="1" applyAlignment="1" applyProtection="1"/>
    <xf numFmtId="165" fontId="21" fillId="0" borderId="8" xfId="0" applyNumberFormat="1" applyFont="1" applyBorder="1"/>
    <xf numFmtId="165" fontId="21" fillId="0" borderId="8" xfId="0" applyNumberFormat="1" applyFont="1" applyFill="1" applyBorder="1"/>
    <xf numFmtId="165" fontId="21" fillId="0" borderId="0" xfId="0" applyNumberFormat="1" applyFont="1" applyFill="1" applyBorder="1"/>
    <xf numFmtId="165" fontId="0" fillId="0" borderId="13" xfId="0" applyNumberFormat="1" applyFont="1" applyBorder="1"/>
    <xf numFmtId="165" fontId="0" fillId="0" borderId="15" xfId="0" applyNumberFormat="1" applyFont="1" applyFill="1" applyBorder="1"/>
    <xf numFmtId="169" fontId="0" fillId="0" borderId="0" xfId="1" applyNumberFormat="1" applyFont="1"/>
    <xf numFmtId="165" fontId="6" fillId="0" borderId="26" xfId="0" applyNumberFormat="1" applyFont="1" applyBorder="1"/>
    <xf numFmtId="165" fontId="4" fillId="0" borderId="10" xfId="0" applyNumberFormat="1" applyFont="1" applyBorder="1"/>
    <xf numFmtId="165" fontId="0" fillId="0" borderId="10" xfId="0" applyNumberFormat="1" applyBorder="1"/>
    <xf numFmtId="165" fontId="0" fillId="0" borderId="3" xfId="0" applyNumberFormat="1" applyBorder="1"/>
    <xf numFmtId="165" fontId="0" fillId="0" borderId="27" xfId="0" applyNumberFormat="1" applyBorder="1"/>
    <xf numFmtId="165" fontId="0" fillId="0" borderId="19" xfId="0" applyNumberFormat="1" applyBorder="1"/>
    <xf numFmtId="165" fontId="0" fillId="0" borderId="18" xfId="0" applyNumberFormat="1" applyBorder="1"/>
    <xf numFmtId="165" fontId="0" fillId="0" borderId="28" xfId="0" applyNumberFormat="1" applyBorder="1"/>
    <xf numFmtId="165" fontId="6" fillId="0" borderId="23" xfId="0" applyNumberFormat="1" applyFont="1" applyBorder="1"/>
    <xf numFmtId="165" fontId="0" fillId="0" borderId="1" xfId="0" applyNumberFormat="1" applyFont="1" applyBorder="1"/>
    <xf numFmtId="165" fontId="6" fillId="0" borderId="25" xfId="0" applyNumberFormat="1" applyFont="1" applyBorder="1"/>
    <xf numFmtId="165" fontId="0" fillId="0" borderId="28" xfId="0" applyNumberFormat="1" applyFill="1" applyBorder="1"/>
    <xf numFmtId="165" fontId="5" fillId="0" borderId="1" xfId="0" applyNumberFormat="1" applyFont="1" applyBorder="1"/>
    <xf numFmtId="165" fontId="4" fillId="0" borderId="13" xfId="0" applyNumberFormat="1" applyFont="1" applyBorder="1"/>
    <xf numFmtId="165" fontId="4" fillId="0" borderId="15" xfId="0" applyNumberFormat="1" applyFont="1" applyBorder="1"/>
    <xf numFmtId="165" fontId="5" fillId="0" borderId="26" xfId="0" applyNumberFormat="1" applyFont="1" applyBorder="1"/>
    <xf numFmtId="165" fontId="0" fillId="0" borderId="21" xfId="0" applyNumberFormat="1" applyBorder="1"/>
    <xf numFmtId="165" fontId="0" fillId="0" borderId="29" xfId="0" applyNumberFormat="1" applyBorder="1"/>
    <xf numFmtId="165" fontId="0" fillId="0" borderId="22" xfId="0" applyNumberFormat="1" applyBorder="1"/>
    <xf numFmtId="165" fontId="0" fillId="0" borderId="20" xfId="0" applyNumberFormat="1" applyBorder="1"/>
    <xf numFmtId="165" fontId="0" fillId="0" borderId="2" xfId="0" applyNumberFormat="1" applyBorder="1"/>
    <xf numFmtId="165" fontId="6" fillId="0" borderId="0" xfId="0" applyNumberFormat="1" applyFont="1"/>
    <xf numFmtId="165" fontId="0" fillId="0" borderId="23" xfId="0" applyNumberFormat="1" applyBorder="1" applyAlignment="1">
      <alignment horizontal="center" vertical="center"/>
    </xf>
    <xf numFmtId="165" fontId="4" fillId="0" borderId="21" xfId="0" applyNumberFormat="1" applyFont="1" applyBorder="1"/>
    <xf numFmtId="165" fontId="0" fillId="0" borderId="11" xfId="0" applyNumberFormat="1" applyBorder="1"/>
    <xf numFmtId="165" fontId="0" fillId="0" borderId="24" xfId="0" applyNumberFormat="1" applyBorder="1" applyAlignment="1">
      <alignment horizontal="center" vertical="center"/>
    </xf>
    <xf numFmtId="165" fontId="0" fillId="0" borderId="25" xfId="0" applyNumberFormat="1" applyBorder="1" applyAlignment="1">
      <alignment horizontal="center" vertical="center"/>
    </xf>
    <xf numFmtId="165" fontId="4" fillId="0" borderId="20" xfId="0" applyNumberFormat="1" applyFont="1" applyBorder="1"/>
    <xf numFmtId="165" fontId="0" fillId="0" borderId="14" xfId="0" applyNumberFormat="1" applyBorder="1"/>
    <xf numFmtId="0" fontId="0" fillId="0" borderId="23" xfId="0" applyBorder="1" applyAlignment="1"/>
    <xf numFmtId="0" fontId="0" fillId="0" borderId="5" xfId="0" applyBorder="1" applyAlignment="1">
      <alignment horizontal="center"/>
    </xf>
    <xf numFmtId="0" fontId="0" fillId="0" borderId="7" xfId="0" applyBorder="1" applyAlignment="1"/>
    <xf numFmtId="0" fontId="0" fillId="0" borderId="5" xfId="0" applyBorder="1" applyAlignment="1"/>
    <xf numFmtId="0" fontId="0" fillId="0" borderId="7" xfId="0" applyFill="1" applyBorder="1" applyAlignment="1"/>
    <xf numFmtId="0" fontId="0" fillId="0" borderId="24" xfId="0" applyBorder="1"/>
    <xf numFmtId="0" fontId="0" fillId="0" borderId="0" xfId="0" applyBorder="1" applyAlignment="1"/>
    <xf numFmtId="43" fontId="0" fillId="0" borderId="0" xfId="1" applyFont="1" applyBorder="1"/>
    <xf numFmtId="168" fontId="0" fillId="0" borderId="1" xfId="0" applyNumberFormat="1" applyBorder="1"/>
    <xf numFmtId="2" fontId="0" fillId="0" borderId="0" xfId="0" applyNumberFormat="1" applyBorder="1"/>
    <xf numFmtId="10" fontId="0" fillId="0" borderId="0" xfId="0" applyNumberFormat="1" applyBorder="1"/>
    <xf numFmtId="10" fontId="0" fillId="0" borderId="0" xfId="2" applyNumberFormat="1" applyFont="1" applyBorder="1" applyAlignment="1">
      <alignment horizontal="center"/>
    </xf>
    <xf numFmtId="0" fontId="0" fillId="2" borderId="0" xfId="0" applyFill="1" applyBorder="1"/>
    <xf numFmtId="0" fontId="0" fillId="15" borderId="0" xfId="0" applyFill="1" applyBorder="1"/>
    <xf numFmtId="0" fontId="0" fillId="24" borderId="0" xfId="0" applyFill="1"/>
    <xf numFmtId="0" fontId="0" fillId="19" borderId="0" xfId="0" applyFill="1"/>
    <xf numFmtId="0" fontId="0" fillId="11" borderId="0" xfId="0" applyFill="1"/>
    <xf numFmtId="0" fontId="0" fillId="4" borderId="0" xfId="0" applyFill="1"/>
    <xf numFmtId="0" fontId="0" fillId="25" borderId="0" xfId="0" applyFill="1"/>
    <xf numFmtId="0" fontId="0" fillId="20" borderId="0" xfId="0" applyFill="1"/>
    <xf numFmtId="2" fontId="0" fillId="0" borderId="9" xfId="0" applyNumberFormat="1" applyBorder="1"/>
    <xf numFmtId="2" fontId="0" fillId="0" borderId="13" xfId="0" applyNumberFormat="1" applyBorder="1"/>
    <xf numFmtId="2" fontId="0" fillId="0" borderId="15" xfId="0" applyNumberFormat="1" applyBorder="1"/>
    <xf numFmtId="0" fontId="0" fillId="0" borderId="0" xfId="0" applyAlignment="1">
      <alignment vertical="center" wrapText="1"/>
    </xf>
    <xf numFmtId="0" fontId="4" fillId="0" borderId="0" xfId="0" applyFont="1" applyBorder="1" applyAlignment="1">
      <alignment horizontal="left" vertical="center" wrapText="1"/>
    </xf>
    <xf numFmtId="165" fontId="23" fillId="0" borderId="0" xfId="0" applyNumberFormat="1" applyFont="1" applyBorder="1"/>
    <xf numFmtId="165" fontId="5" fillId="0" borderId="15" xfId="0" applyNumberFormat="1" applyFont="1" applyBorder="1"/>
    <xf numFmtId="0" fontId="5" fillId="0" borderId="7" xfId="0" applyFont="1" applyBorder="1"/>
    <xf numFmtId="0" fontId="5" fillId="0" borderId="9" xfId="0" applyFont="1" applyBorder="1"/>
    <xf numFmtId="165" fontId="4" fillId="0" borderId="0" xfId="0" applyNumberFormat="1" applyFont="1" applyAlignment="1">
      <alignment vertical="center" wrapText="1"/>
    </xf>
    <xf numFmtId="0" fontId="0" fillId="0" borderId="0" xfId="0" applyAlignment="1">
      <alignment vertical="center"/>
    </xf>
    <xf numFmtId="0" fontId="6" fillId="0" borderId="0" xfId="0" applyFont="1" applyAlignment="1">
      <alignment vertical="center"/>
    </xf>
    <xf numFmtId="0" fontId="6" fillId="0" borderId="0" xfId="0" applyFont="1" applyBorder="1" applyAlignment="1">
      <alignment horizontal="center" vertical="top" wrapText="1"/>
    </xf>
    <xf numFmtId="0" fontId="0" fillId="0" borderId="0" xfId="0" applyBorder="1" applyAlignment="1">
      <alignment horizontal="center"/>
    </xf>
    <xf numFmtId="0" fontId="0" fillId="0" borderId="0" xfId="0" applyAlignment="1">
      <alignment horizontal="center" wrapText="1"/>
    </xf>
    <xf numFmtId="0" fontId="0" fillId="0" borderId="3" xfId="0" applyBorder="1" applyAlignment="1">
      <alignment wrapText="1"/>
    </xf>
    <xf numFmtId="0" fontId="0" fillId="0" borderId="1" xfId="0" applyBorder="1" applyAlignment="1">
      <alignment wrapText="1"/>
    </xf>
    <xf numFmtId="0" fontId="4" fillId="0" borderId="1" xfId="0" applyFont="1" applyBorder="1" applyAlignment="1">
      <alignment wrapText="1"/>
    </xf>
    <xf numFmtId="2" fontId="4" fillId="0" borderId="1" xfId="0" applyNumberFormat="1" applyFont="1" applyBorder="1" applyAlignment="1">
      <alignment wrapText="1"/>
    </xf>
    <xf numFmtId="0" fontId="0" fillId="0" borderId="1" xfId="0" applyFill="1" applyBorder="1" applyAlignment="1">
      <alignment wrapText="1"/>
    </xf>
    <xf numFmtId="0" fontId="0" fillId="15" borderId="0" xfId="0" applyFill="1" applyAlignment="1">
      <alignment wrapText="1"/>
    </xf>
    <xf numFmtId="10" fontId="22" fillId="0" borderId="1" xfId="13" applyNumberFormat="1" applyFont="1" applyFill="1" applyBorder="1"/>
    <xf numFmtId="0" fontId="0" fillId="2" borderId="0" xfId="0" applyFill="1"/>
    <xf numFmtId="43" fontId="0" fillId="2" borderId="1" xfId="1" applyFont="1" applyFill="1" applyBorder="1"/>
    <xf numFmtId="43" fontId="0" fillId="9" borderId="1" xfId="1" applyFont="1" applyFill="1" applyBorder="1"/>
    <xf numFmtId="43" fontId="0" fillId="11" borderId="1" xfId="1" applyFont="1" applyFill="1" applyBorder="1"/>
    <xf numFmtId="43" fontId="0" fillId="10" borderId="1" xfId="1" applyFont="1" applyFill="1" applyBorder="1"/>
    <xf numFmtId="43" fontId="0" fillId="3" borderId="1" xfId="1" applyFont="1" applyFill="1" applyBorder="1"/>
    <xf numFmtId="43" fontId="0" fillId="4" borderId="1" xfId="1" applyFont="1" applyFill="1" applyBorder="1"/>
    <xf numFmtId="43" fontId="0" fillId="18" borderId="1" xfId="1" applyFont="1" applyFill="1" applyBorder="1"/>
    <xf numFmtId="43" fontId="0" fillId="5" borderId="1" xfId="1" applyFont="1" applyFill="1" applyBorder="1"/>
    <xf numFmtId="43" fontId="0" fillId="6" borderId="1" xfId="1" applyFont="1" applyFill="1" applyBorder="1"/>
    <xf numFmtId="43" fontId="0" fillId="7" borderId="1" xfId="1" applyFont="1" applyFill="1" applyBorder="1"/>
    <xf numFmtId="43" fontId="0" fillId="8" borderId="1" xfId="1" applyFont="1" applyFill="1" applyBorder="1"/>
    <xf numFmtId="43" fontId="0" fillId="16" borderId="1" xfId="1" applyFont="1" applyFill="1" applyBorder="1"/>
    <xf numFmtId="43" fontId="0" fillId="17" borderId="1" xfId="1" applyFont="1" applyFill="1" applyBorder="1"/>
    <xf numFmtId="43" fontId="4" fillId="0" borderId="1" xfId="1" applyFont="1" applyBorder="1"/>
    <xf numFmtId="0" fontId="0" fillId="0" borderId="4" xfId="0" applyBorder="1" applyAlignment="1">
      <alignment vertical="center" wrapText="1"/>
    </xf>
    <xf numFmtId="0" fontId="6" fillId="0" borderId="0" xfId="0" applyFont="1" applyBorder="1"/>
    <xf numFmtId="0" fontId="0" fillId="8" borderId="0" xfId="0" applyFill="1" applyBorder="1"/>
    <xf numFmtId="43" fontId="1" fillId="0" borderId="1" xfId="1" applyFont="1" applyBorder="1"/>
    <xf numFmtId="2" fontId="0" fillId="0" borderId="1" xfId="0" applyNumberFormat="1" applyFont="1" applyBorder="1"/>
    <xf numFmtId="10" fontId="1" fillId="0" borderId="1" xfId="2" applyNumberFormat="1" applyFont="1" applyBorder="1"/>
    <xf numFmtId="0" fontId="4" fillId="0" borderId="1" xfId="0" applyFont="1" applyFill="1" applyBorder="1"/>
    <xf numFmtId="0" fontId="0" fillId="0" borderId="1" xfId="0" applyFill="1" applyBorder="1"/>
    <xf numFmtId="43" fontId="4" fillId="0" borderId="1" xfId="1" applyFont="1" applyFill="1" applyBorder="1"/>
    <xf numFmtId="165" fontId="4" fillId="0" borderId="1" xfId="0" applyNumberFormat="1" applyFont="1" applyFill="1" applyBorder="1"/>
    <xf numFmtId="43" fontId="0" fillId="0" borderId="1" xfId="1" applyFont="1" applyFill="1" applyBorder="1"/>
    <xf numFmtId="2" fontId="0" fillId="0" borderId="1" xfId="0" applyNumberFormat="1" applyFill="1" applyBorder="1"/>
    <xf numFmtId="0" fontId="6" fillId="0" borderId="1" xfId="0" applyFont="1" applyFill="1" applyBorder="1"/>
    <xf numFmtId="43" fontId="0" fillId="0" borderId="1" xfId="0" applyNumberFormat="1" applyFont="1" applyFill="1" applyBorder="1"/>
    <xf numFmtId="164" fontId="0" fillId="0" borderId="1" xfId="0" applyNumberFormat="1" applyFill="1" applyBorder="1"/>
    <xf numFmtId="0" fontId="0" fillId="0" borderId="1" xfId="0" applyFont="1" applyFill="1" applyBorder="1"/>
    <xf numFmtId="43" fontId="1" fillId="0" borderId="1" xfId="1" applyFont="1" applyFill="1" applyBorder="1"/>
    <xf numFmtId="165" fontId="0" fillId="0" borderId="1" xfId="0" applyNumberFormat="1" applyFont="1" applyFill="1" applyBorder="1"/>
    <xf numFmtId="2" fontId="0" fillId="0" borderId="1" xfId="0" applyNumberFormat="1" applyFont="1" applyFill="1" applyBorder="1"/>
    <xf numFmtId="10" fontId="4" fillId="0" borderId="1" xfId="0" applyNumberFormat="1" applyFont="1" applyBorder="1"/>
    <xf numFmtId="43" fontId="6" fillId="0" borderId="1" xfId="1" applyFont="1" applyFill="1" applyBorder="1"/>
    <xf numFmtId="2" fontId="4" fillId="0" borderId="1" xfId="0" applyNumberFormat="1" applyFont="1" applyFill="1" applyBorder="1"/>
    <xf numFmtId="2" fontId="6" fillId="0" borderId="1" xfId="0" applyNumberFormat="1" applyFont="1" applyBorder="1"/>
    <xf numFmtId="165" fontId="6" fillId="0" borderId="1" xfId="0" applyNumberFormat="1" applyFont="1" applyFill="1" applyBorder="1"/>
    <xf numFmtId="10" fontId="6" fillId="0" borderId="1" xfId="2" applyNumberFormat="1" applyFont="1" applyBorder="1"/>
    <xf numFmtId="0" fontId="0" fillId="0" borderId="0" xfId="0" applyFill="1" applyAlignment="1">
      <alignment vertical="center" wrapText="1"/>
    </xf>
    <xf numFmtId="0" fontId="0" fillId="0" borderId="13" xfId="0" applyBorder="1" applyAlignment="1">
      <alignment horizontal="center" wrapText="1"/>
    </xf>
    <xf numFmtId="0" fontId="4" fillId="0" borderId="6" xfId="0" applyFont="1" applyBorder="1" applyAlignment="1"/>
    <xf numFmtId="2" fontId="0" fillId="0" borderId="8" xfId="0" applyNumberFormat="1" applyBorder="1"/>
    <xf numFmtId="2" fontId="4" fillId="0" borderId="0" xfId="0" applyNumberFormat="1" applyFont="1" applyBorder="1" applyAlignment="1"/>
    <xf numFmtId="2" fontId="0" fillId="0" borderId="9" xfId="1" applyNumberFormat="1" applyFont="1" applyBorder="1"/>
    <xf numFmtId="2" fontId="4" fillId="0" borderId="13" xfId="0" applyNumberFormat="1" applyFont="1" applyBorder="1"/>
    <xf numFmtId="2" fontId="4" fillId="0" borderId="15" xfId="0" applyNumberFormat="1" applyFont="1" applyBorder="1"/>
    <xf numFmtId="2" fontId="0" fillId="0" borderId="0" xfId="0" applyNumberFormat="1" applyBorder="1" applyAlignment="1"/>
    <xf numFmtId="0" fontId="0" fillId="0" borderId="0" xfId="0" applyBorder="1" applyAlignment="1">
      <alignment horizontal="center" wrapText="1"/>
    </xf>
    <xf numFmtId="0" fontId="0" fillId="0" borderId="1" xfId="0" applyBorder="1" applyAlignment="1">
      <alignment horizontal="center" wrapText="1"/>
    </xf>
    <xf numFmtId="2" fontId="6" fillId="0" borderId="12" xfId="0" applyNumberFormat="1" applyFont="1" applyBorder="1"/>
    <xf numFmtId="2" fontId="6" fillId="0" borderId="13" xfId="0" applyNumberFormat="1" applyFont="1" applyBorder="1"/>
    <xf numFmtId="2" fontId="6" fillId="0" borderId="15" xfId="0" applyNumberFormat="1" applyFont="1" applyBorder="1"/>
    <xf numFmtId="0" fontId="6" fillId="0" borderId="25" xfId="0" applyFont="1" applyBorder="1"/>
    <xf numFmtId="43" fontId="0" fillId="0" borderId="1" xfId="1" applyNumberFormat="1" applyFont="1" applyBorder="1"/>
    <xf numFmtId="43" fontId="0" fillId="0" borderId="1" xfId="0" applyNumberFormat="1" applyBorder="1"/>
    <xf numFmtId="0" fontId="26" fillId="0" borderId="0" xfId="0" applyFont="1" applyAlignment="1">
      <alignment vertical="top" wrapText="1"/>
    </xf>
    <xf numFmtId="0" fontId="0" fillId="0" borderId="6" xfId="0" applyFont="1" applyBorder="1" applyAlignment="1">
      <alignment wrapText="1"/>
    </xf>
    <xf numFmtId="0" fontId="0" fillId="0" borderId="6" xfId="0" applyBorder="1" applyAlignment="1">
      <alignment wrapText="1"/>
    </xf>
    <xf numFmtId="0" fontId="0" fillId="0" borderId="6" xfId="0" applyBorder="1" applyAlignment="1">
      <alignment vertical="top" wrapText="1"/>
    </xf>
    <xf numFmtId="0" fontId="6" fillId="0" borderId="0" xfId="0" applyFont="1" applyBorder="1" applyAlignment="1">
      <alignment horizontal="left"/>
    </xf>
    <xf numFmtId="0" fontId="6" fillId="0" borderId="0" xfId="0" applyFont="1" applyFill="1" applyAlignment="1">
      <alignment vertical="center"/>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6" xfId="0" applyBorder="1" applyAlignment="1">
      <alignment horizontal="center" wrapText="1"/>
    </xf>
    <xf numFmtId="0" fontId="6" fillId="0" borderId="6" xfId="0" applyFont="1" applyBorder="1"/>
    <xf numFmtId="0" fontId="0" fillId="0" borderId="0" xfId="0" applyFill="1" applyBorder="1" applyAlignment="1">
      <alignment vertical="center" wrapText="1"/>
    </xf>
    <xf numFmtId="0" fontId="4" fillId="0" borderId="0" xfId="0" applyFont="1" applyBorder="1" applyAlignment="1">
      <alignment horizontal="right"/>
    </xf>
    <xf numFmtId="9" fontId="4" fillId="0" borderId="13" xfId="2" applyFont="1" applyBorder="1"/>
    <xf numFmtId="0" fontId="6" fillId="0" borderId="0" xfId="0" applyFont="1" applyBorder="1" applyAlignment="1">
      <alignment horizontal="center" vertical="center" wrapText="1"/>
    </xf>
    <xf numFmtId="0" fontId="4" fillId="0" borderId="0" xfId="0" applyFont="1" applyFill="1" applyAlignment="1">
      <alignment vertical="center" wrapText="1"/>
    </xf>
    <xf numFmtId="2" fontId="4" fillId="0" borderId="0" xfId="0" applyNumberFormat="1" applyFont="1" applyBorder="1"/>
    <xf numFmtId="2" fontId="0" fillId="0" borderId="13" xfId="0" applyNumberFormat="1" applyBorder="1" applyAlignment="1">
      <alignment horizontal="right"/>
    </xf>
    <xf numFmtId="0" fontId="0" fillId="0" borderId="13" xfId="0" applyBorder="1" applyAlignment="1"/>
    <xf numFmtId="0" fontId="0" fillId="0" borderId="5" xfId="0" applyFill="1" applyBorder="1" applyAlignment="1">
      <alignment vertical="center" wrapText="1"/>
    </xf>
    <xf numFmtId="0" fontId="0" fillId="0" borderId="8" xfId="0" applyFill="1" applyBorder="1" applyAlignment="1">
      <alignment vertical="center" wrapText="1"/>
    </xf>
    <xf numFmtId="0" fontId="0" fillId="0" borderId="12" xfId="0" applyFill="1" applyBorder="1" applyAlignment="1">
      <alignment vertical="center" wrapText="1"/>
    </xf>
    <xf numFmtId="0" fontId="0" fillId="0" borderId="1" xfId="0" applyBorder="1" applyAlignment="1"/>
    <xf numFmtId="0" fontId="0" fillId="0" borderId="29" xfId="0" applyBorder="1"/>
    <xf numFmtId="0" fontId="0" fillId="0" borderId="11" xfId="0" applyBorder="1"/>
    <xf numFmtId="0" fontId="0" fillId="0" borderId="11" xfId="0" applyFill="1" applyBorder="1"/>
    <xf numFmtId="0" fontId="0" fillId="0" borderId="19" xfId="0" applyBorder="1"/>
    <xf numFmtId="2" fontId="0" fillId="0" borderId="19" xfId="0" applyNumberFormat="1" applyBorder="1"/>
    <xf numFmtId="0" fontId="0" fillId="0" borderId="10" xfId="0" applyBorder="1"/>
    <xf numFmtId="0" fontId="0" fillId="0" borderId="20" xfId="0" applyBorder="1"/>
    <xf numFmtId="0" fontId="0" fillId="0" borderId="14" xfId="0" applyBorder="1"/>
    <xf numFmtId="2" fontId="0" fillId="0" borderId="10" xfId="0" applyNumberFormat="1" applyBorder="1"/>
    <xf numFmtId="2" fontId="0" fillId="0" borderId="11" xfId="0" applyNumberFormat="1" applyBorder="1"/>
    <xf numFmtId="2" fontId="0" fillId="0" borderId="20" xfId="0" applyNumberFormat="1" applyBorder="1"/>
    <xf numFmtId="2" fontId="0" fillId="0" borderId="14" xfId="0" applyNumberFormat="1" applyBorder="1"/>
    <xf numFmtId="0" fontId="0" fillId="0" borderId="33" xfId="0" applyBorder="1"/>
    <xf numFmtId="2" fontId="0" fillId="0" borderId="33" xfId="0" applyNumberFormat="1" applyBorder="1"/>
    <xf numFmtId="2" fontId="0" fillId="0" borderId="38" xfId="0" applyNumberFormat="1" applyBorder="1"/>
    <xf numFmtId="0" fontId="0" fillId="0" borderId="19" xfId="0" applyBorder="1" applyAlignment="1"/>
    <xf numFmtId="2" fontId="0" fillId="0" borderId="12" xfId="0" applyNumberFormat="1" applyBorder="1"/>
    <xf numFmtId="0" fontId="0" fillId="0" borderId="6" xfId="0" applyBorder="1" applyAlignment="1">
      <alignment horizontal="center"/>
    </xf>
    <xf numFmtId="0" fontId="6" fillId="0" borderId="8" xfId="0" applyFont="1" applyBorder="1"/>
    <xf numFmtId="0" fontId="4" fillId="0" borderId="8" xfId="0" applyFont="1" applyBorder="1" applyAlignment="1">
      <alignment horizontal="right"/>
    </xf>
    <xf numFmtId="0" fontId="0" fillId="0" borderId="2" xfId="0" applyBorder="1"/>
    <xf numFmtId="0" fontId="0" fillId="0" borderId="39" xfId="0" applyBorder="1"/>
    <xf numFmtId="2" fontId="0" fillId="0" borderId="2" xfId="0" applyNumberFormat="1" applyBorder="1"/>
    <xf numFmtId="0" fontId="0" fillId="0" borderId="5" xfId="0" applyBorder="1" applyAlignment="1">
      <alignment horizontal="left"/>
    </xf>
    <xf numFmtId="2" fontId="0" fillId="0" borderId="39" xfId="0" applyNumberFormat="1" applyBorder="1"/>
    <xf numFmtId="2" fontId="0" fillId="0" borderId="0" xfId="0" applyNumberFormat="1" applyFont="1" applyBorder="1"/>
    <xf numFmtId="0" fontId="0" fillId="0" borderId="0" xfId="0" applyBorder="1" applyAlignment="1">
      <alignment horizontal="center" vertical="center" wrapText="1"/>
    </xf>
    <xf numFmtId="0" fontId="0" fillId="0" borderId="6" xfId="0" applyBorder="1" applyAlignment="1">
      <alignment horizontal="left"/>
    </xf>
    <xf numFmtId="0" fontId="4" fillId="0" borderId="12" xfId="0" applyFont="1" applyBorder="1" applyAlignment="1">
      <alignment horizontal="right"/>
    </xf>
    <xf numFmtId="2" fontId="0" fillId="0" borderId="1" xfId="0" applyNumberFormat="1" applyBorder="1" applyAlignment="1"/>
    <xf numFmtId="2" fontId="0" fillId="0" borderId="13" xfId="0" applyNumberFormat="1" applyBorder="1" applyAlignment="1"/>
    <xf numFmtId="0" fontId="0" fillId="0" borderId="1" xfId="0" applyBorder="1" applyAlignment="1">
      <alignment horizontal="left"/>
    </xf>
    <xf numFmtId="0" fontId="0" fillId="0" borderId="7" xfId="0" applyBorder="1" applyAlignment="1">
      <alignment horizontal="left"/>
    </xf>
    <xf numFmtId="2" fontId="0" fillId="0" borderId="9" xfId="0" applyNumberFormat="1" applyBorder="1" applyAlignment="1"/>
    <xf numFmtId="0" fontId="0" fillId="0" borderId="0" xfId="0" applyBorder="1" applyAlignment="1">
      <alignment horizontal="left"/>
    </xf>
    <xf numFmtId="0" fontId="0" fillId="0" borderId="8" xfId="0" applyFill="1" applyBorder="1"/>
    <xf numFmtId="0" fontId="6" fillId="0" borderId="8" xfId="0" applyFont="1" applyBorder="1" applyAlignment="1"/>
    <xf numFmtId="0" fontId="0" fillId="0" borderId="1" xfId="0" applyFill="1" applyBorder="1" applyAlignment="1"/>
    <xf numFmtId="43" fontId="0" fillId="0" borderId="13" xfId="1" applyFont="1" applyBorder="1"/>
    <xf numFmtId="2" fontId="0" fillId="0" borderId="1" xfId="0" applyNumberFormat="1" applyFill="1" applyBorder="1" applyAlignment="1"/>
    <xf numFmtId="2" fontId="0" fillId="0" borderId="5" xfId="0" applyNumberFormat="1" applyBorder="1"/>
    <xf numFmtId="2" fontId="0" fillId="0" borderId="6" xfId="0" applyNumberFormat="1" applyBorder="1"/>
    <xf numFmtId="2" fontId="0" fillId="0" borderId="7" xfId="0" applyNumberFormat="1" applyBorder="1"/>
    <xf numFmtId="0" fontId="0" fillId="0" borderId="0" xfId="0" applyFill="1" applyBorder="1" applyAlignment="1">
      <alignment horizontal="center" vertical="center" wrapText="1"/>
    </xf>
    <xf numFmtId="0" fontId="0" fillId="0" borderId="21" xfId="0" applyBorder="1"/>
    <xf numFmtId="0" fontId="0" fillId="0" borderId="22" xfId="0" applyBorder="1"/>
    <xf numFmtId="2" fontId="0" fillId="0" borderId="2" xfId="0" applyNumberFormat="1" applyBorder="1" applyAlignment="1"/>
    <xf numFmtId="2" fontId="0" fillId="0" borderId="0" xfId="0" applyNumberFormat="1" applyFill="1" applyBorder="1"/>
    <xf numFmtId="167" fontId="0" fillId="0" borderId="0" xfId="0" applyNumberFormat="1" applyBorder="1"/>
    <xf numFmtId="2" fontId="0" fillId="0" borderId="8" xfId="0" applyNumberFormat="1" applyBorder="1" applyAlignment="1"/>
    <xf numFmtId="167" fontId="0" fillId="0" borderId="1" xfId="0" applyNumberFormat="1" applyBorder="1"/>
    <xf numFmtId="0" fontId="0" fillId="0" borderId="40" xfId="0" applyFill="1" applyBorder="1" applyAlignment="1"/>
    <xf numFmtId="9" fontId="10" fillId="0" borderId="0" xfId="12" applyNumberFormat="1" applyBorder="1" applyAlignment="1">
      <alignment horizontal="center" vertical="center"/>
    </xf>
    <xf numFmtId="0" fontId="0" fillId="0" borderId="0" xfId="0" applyAlignment="1">
      <alignment horizontal="right"/>
    </xf>
    <xf numFmtId="167" fontId="23" fillId="0" borderId="11" xfId="0" applyNumberFormat="1" applyFont="1" applyBorder="1"/>
    <xf numFmtId="167" fontId="0" fillId="0" borderId="2" xfId="0" applyNumberFormat="1" applyBorder="1"/>
    <xf numFmtId="167" fontId="23" fillId="0" borderId="14" xfId="0" applyNumberFormat="1" applyFont="1" applyBorder="1"/>
    <xf numFmtId="167" fontId="23" fillId="0" borderId="0" xfId="0" applyNumberFormat="1" applyFont="1" applyBorder="1"/>
    <xf numFmtId="167" fontId="4" fillId="0" borderId="0" xfId="0" applyNumberFormat="1" applyFont="1"/>
    <xf numFmtId="167" fontId="0" fillId="0" borderId="5" xfId="0" applyNumberFormat="1" applyBorder="1"/>
    <xf numFmtId="167" fontId="0" fillId="0" borderId="6" xfId="0" applyNumberFormat="1" applyBorder="1"/>
    <xf numFmtId="167" fontId="0" fillId="0" borderId="7"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167" fontId="0" fillId="0" borderId="8" xfId="0" applyNumberFormat="1" applyBorder="1"/>
    <xf numFmtId="167" fontId="0" fillId="0" borderId="9" xfId="0" applyNumberFormat="1" applyBorder="1"/>
    <xf numFmtId="167" fontId="23" fillId="0" borderId="25" xfId="0" applyNumberFormat="1" applyFont="1" applyBorder="1"/>
    <xf numFmtId="10" fontId="0" fillId="0" borderId="11" xfId="2" applyNumberFormat="1" applyFont="1" applyBorder="1" applyAlignment="1">
      <alignment horizontal="right"/>
    </xf>
    <xf numFmtId="10" fontId="0" fillId="0" borderId="14" xfId="2" applyNumberFormat="1" applyFont="1" applyBorder="1" applyAlignment="1">
      <alignment horizontal="right"/>
    </xf>
    <xf numFmtId="10" fontId="0" fillId="0" borderId="11" xfId="0" applyNumberFormat="1" applyBorder="1" applyAlignment="1">
      <alignment horizontal="right"/>
    </xf>
    <xf numFmtId="0" fontId="0" fillId="0" borderId="5" xfId="0" applyBorder="1" applyAlignment="1">
      <alignment horizontal="center" wrapText="1"/>
    </xf>
    <xf numFmtId="39" fontId="0" fillId="0" borderId="10" xfId="1" applyNumberFormat="1" applyFont="1" applyBorder="1"/>
    <xf numFmtId="39" fontId="0" fillId="0" borderId="11" xfId="1" applyNumberFormat="1" applyFont="1" applyBorder="1"/>
    <xf numFmtId="0" fontId="0" fillId="0" borderId="10" xfId="0" applyBorder="1" applyAlignment="1">
      <alignment horizontal="center" vertical="center"/>
    </xf>
    <xf numFmtId="2" fontId="22" fillId="0" borderId="10" xfId="14" applyNumberFormat="1" applyFont="1" applyFill="1" applyBorder="1"/>
    <xf numFmtId="0" fontId="22" fillId="0" borderId="1" xfId="14" applyFont="1" applyFill="1" applyBorder="1"/>
    <xf numFmtId="0" fontId="22" fillId="0" borderId="11" xfId="14" applyFont="1" applyFill="1" applyBorder="1"/>
    <xf numFmtId="0" fontId="22" fillId="0" borderId="10" xfId="14" applyFont="1" applyFill="1" applyBorder="1"/>
    <xf numFmtId="0" fontId="22" fillId="0" borderId="8" xfId="14" applyFont="1" applyFill="1" applyBorder="1"/>
    <xf numFmtId="0" fontId="22" fillId="0" borderId="0" xfId="14" applyFont="1" applyFill="1" applyBorder="1"/>
    <xf numFmtId="0" fontId="22" fillId="0" borderId="9" xfId="14" applyFont="1" applyFill="1" applyBorder="1"/>
    <xf numFmtId="2" fontId="22" fillId="0" borderId="1" xfId="14" applyNumberFormat="1" applyFont="1" applyFill="1" applyBorder="1"/>
    <xf numFmtId="2" fontId="22" fillId="0" borderId="11" xfId="14" applyNumberFormat="1" applyFont="1" applyFill="1" applyBorder="1"/>
    <xf numFmtId="167" fontId="0" fillId="2" borderId="0" xfId="0" applyNumberFormat="1" applyFill="1" applyBorder="1"/>
    <xf numFmtId="167" fontId="0" fillId="15" borderId="0" xfId="0" applyNumberFormat="1" applyFill="1" applyBorder="1"/>
    <xf numFmtId="167" fontId="0" fillId="13" borderId="0" xfId="0" applyNumberFormat="1" applyFill="1"/>
    <xf numFmtId="167" fontId="0" fillId="24" borderId="0" xfId="0" applyNumberFormat="1" applyFill="1"/>
    <xf numFmtId="167" fontId="0" fillId="19" borderId="0" xfId="0" applyNumberFormat="1" applyFill="1"/>
    <xf numFmtId="167" fontId="0" fillId="12" borderId="0" xfId="0" applyNumberFormat="1" applyFill="1"/>
    <xf numFmtId="167" fontId="0" fillId="11" borderId="0" xfId="0" applyNumberFormat="1" applyFill="1"/>
    <xf numFmtId="167" fontId="0" fillId="5" borderId="0" xfId="0" applyNumberFormat="1" applyFill="1"/>
    <xf numFmtId="167" fontId="0" fillId="20" borderId="0" xfId="0" applyNumberFormat="1" applyFill="1"/>
    <xf numFmtId="0" fontId="1" fillId="0" borderId="0" xfId="5"/>
    <xf numFmtId="0" fontId="1" fillId="0" borderId="1" xfId="5" applyBorder="1"/>
    <xf numFmtId="165" fontId="14" fillId="21" borderId="0" xfId="13" applyNumberFormat="1"/>
    <xf numFmtId="165" fontId="0" fillId="0" borderId="18" xfId="0" applyNumberFormat="1" applyFill="1" applyBorder="1"/>
    <xf numFmtId="0" fontId="0" fillId="0" borderId="0" xfId="0"/>
    <xf numFmtId="0" fontId="0" fillId="0" borderId="0" xfId="0" applyBorder="1"/>
    <xf numFmtId="167" fontId="0" fillId="0" borderId="0" xfId="0" applyNumberFormat="1" applyBorder="1"/>
    <xf numFmtId="0" fontId="28" fillId="0" borderId="0" xfId="0" applyFont="1"/>
    <xf numFmtId="0" fontId="30" fillId="28" borderId="0" xfId="0" applyFont="1" applyFill="1" applyBorder="1" applyAlignment="1">
      <alignment horizontal="right" vertical="center" wrapText="1"/>
    </xf>
    <xf numFmtId="165" fontId="0" fillId="0" borderId="4" xfId="0" applyNumberFormat="1" applyBorder="1"/>
    <xf numFmtId="0" fontId="30" fillId="0" borderId="4" xfId="0" applyFont="1" applyBorder="1" applyAlignment="1">
      <alignment horizontal="right" vertical="center" wrapText="1"/>
    </xf>
    <xf numFmtId="0" fontId="30" fillId="28" borderId="42" xfId="0" applyFont="1" applyFill="1" applyBorder="1" applyAlignment="1">
      <alignment horizontal="right" vertical="center" wrapText="1"/>
    </xf>
    <xf numFmtId="43" fontId="31" fillId="28" borderId="42" xfId="1" applyFont="1" applyFill="1" applyBorder="1" applyAlignment="1">
      <alignment horizontal="right" vertical="center" wrapText="1"/>
    </xf>
    <xf numFmtId="0" fontId="30" fillId="28" borderId="4" xfId="0" applyFont="1" applyFill="1" applyBorder="1" applyAlignment="1">
      <alignment horizontal="right" vertical="center" wrapText="1"/>
    </xf>
    <xf numFmtId="170" fontId="0" fillId="0" borderId="0" xfId="0" applyNumberFormat="1"/>
    <xf numFmtId="170" fontId="31" fillId="28" borderId="42" xfId="1" applyNumberFormat="1" applyFont="1" applyFill="1" applyBorder="1" applyAlignment="1">
      <alignment horizontal="right" vertical="center" wrapText="1"/>
    </xf>
    <xf numFmtId="170" fontId="31" fillId="28" borderId="4" xfId="1" applyNumberFormat="1" applyFont="1" applyFill="1" applyBorder="1" applyAlignment="1">
      <alignment horizontal="right" vertical="center" wrapText="1"/>
    </xf>
    <xf numFmtId="0" fontId="30" fillId="0" borderId="0" xfId="0" applyFont="1" applyFill="1" applyBorder="1" applyAlignment="1">
      <alignment horizontal="right" vertical="center" wrapText="1"/>
    </xf>
    <xf numFmtId="0" fontId="30" fillId="29" borderId="42" xfId="0" applyFont="1" applyFill="1" applyBorder="1" applyAlignment="1">
      <alignment horizontal="right" vertical="center" wrapText="1"/>
    </xf>
    <xf numFmtId="170" fontId="31" fillId="29" borderId="42" xfId="1" applyNumberFormat="1" applyFont="1" applyFill="1" applyBorder="1" applyAlignment="1">
      <alignment horizontal="right" vertical="center" wrapText="1"/>
    </xf>
    <xf numFmtId="170" fontId="31" fillId="29" borderId="0" xfId="1" applyNumberFormat="1" applyFont="1" applyFill="1" applyBorder="1" applyAlignment="1">
      <alignment horizontal="right" vertical="center" wrapText="1"/>
    </xf>
    <xf numFmtId="0" fontId="30" fillId="29" borderId="0" xfId="0" applyFont="1" applyFill="1" applyBorder="1" applyAlignment="1">
      <alignment horizontal="right" vertical="center" wrapText="1"/>
    </xf>
    <xf numFmtId="0" fontId="30" fillId="29" borderId="4" xfId="0" applyFont="1" applyFill="1" applyBorder="1" applyAlignment="1">
      <alignment horizontal="right" vertical="center" wrapText="1"/>
    </xf>
    <xf numFmtId="170" fontId="31" fillId="29" borderId="4" xfId="1" applyNumberFormat="1" applyFont="1" applyFill="1" applyBorder="1" applyAlignment="1">
      <alignment horizontal="right" vertical="center" wrapText="1"/>
    </xf>
    <xf numFmtId="43" fontId="31" fillId="29" borderId="0" xfId="1" applyFont="1" applyFill="1" applyBorder="1" applyAlignment="1">
      <alignment horizontal="right" vertical="center" wrapText="1"/>
    </xf>
    <xf numFmtId="0" fontId="30" fillId="0" borderId="4" xfId="0" applyFont="1" applyFill="1" applyBorder="1" applyAlignment="1">
      <alignment horizontal="right" vertical="center" wrapText="1"/>
    </xf>
    <xf numFmtId="167" fontId="24" fillId="0" borderId="0" xfId="0" applyNumberFormat="1" applyFont="1" applyBorder="1"/>
    <xf numFmtId="0" fontId="32" fillId="29" borderId="42" xfId="0" applyFont="1" applyFill="1" applyBorder="1" applyAlignment="1">
      <alignment horizontal="right" vertical="center" wrapText="1"/>
    </xf>
    <xf numFmtId="170" fontId="33" fillId="29" borderId="42" xfId="1" applyNumberFormat="1" applyFont="1" applyFill="1" applyBorder="1" applyAlignment="1">
      <alignment horizontal="right" vertical="center" wrapText="1"/>
    </xf>
    <xf numFmtId="170" fontId="33" fillId="29" borderId="0" xfId="1" applyNumberFormat="1" applyFont="1" applyFill="1" applyBorder="1" applyAlignment="1">
      <alignment horizontal="right" vertical="center" wrapText="1"/>
    </xf>
    <xf numFmtId="0" fontId="32" fillId="29" borderId="0" xfId="0" applyFont="1" applyFill="1" applyBorder="1" applyAlignment="1">
      <alignment horizontal="center" vertical="center" wrapText="1"/>
    </xf>
    <xf numFmtId="0" fontId="32" fillId="29" borderId="0" xfId="0" applyFont="1" applyFill="1" applyBorder="1" applyAlignment="1">
      <alignment horizontal="right" vertical="center" wrapText="1"/>
    </xf>
    <xf numFmtId="0" fontId="32" fillId="29" borderId="4" xfId="0" applyFont="1" applyFill="1" applyBorder="1" applyAlignment="1">
      <alignment horizontal="right" vertical="center" wrapText="1"/>
    </xf>
    <xf numFmtId="170" fontId="33" fillId="29" borderId="4" xfId="1" applyNumberFormat="1" applyFont="1" applyFill="1" applyBorder="1" applyAlignment="1">
      <alignment horizontal="right" vertical="center" wrapText="1"/>
    </xf>
    <xf numFmtId="0" fontId="32" fillId="28" borderId="42" xfId="0" applyFont="1" applyFill="1" applyBorder="1" applyAlignment="1">
      <alignment horizontal="right" vertical="center" wrapText="1"/>
    </xf>
    <xf numFmtId="170" fontId="33" fillId="28" borderId="42" xfId="1" applyNumberFormat="1" applyFont="1" applyFill="1" applyBorder="1" applyAlignment="1">
      <alignment horizontal="right" vertical="center" wrapText="1"/>
    </xf>
    <xf numFmtId="0" fontId="32" fillId="28" borderId="4" xfId="0" applyFont="1" applyFill="1" applyBorder="1" applyAlignment="1">
      <alignment horizontal="right" vertical="center" wrapText="1"/>
    </xf>
    <xf numFmtId="170" fontId="33" fillId="28" borderId="4" xfId="1" applyNumberFormat="1" applyFont="1" applyFill="1" applyBorder="1" applyAlignment="1">
      <alignment horizontal="right" vertical="center" wrapText="1"/>
    </xf>
    <xf numFmtId="0" fontId="32" fillId="28" borderId="0" xfId="0" applyFont="1" applyFill="1" applyBorder="1" applyAlignment="1">
      <alignment horizontal="right" vertical="center" wrapText="1"/>
    </xf>
    <xf numFmtId="43" fontId="33" fillId="28" borderId="42" xfId="1" applyFont="1" applyFill="1" applyBorder="1" applyAlignment="1">
      <alignment horizontal="right" vertical="center" wrapText="1"/>
    </xf>
    <xf numFmtId="43" fontId="33" fillId="29" borderId="0" xfId="1" applyFont="1" applyFill="1" applyBorder="1" applyAlignment="1">
      <alignment horizontal="right" vertical="center" wrapText="1"/>
    </xf>
    <xf numFmtId="171" fontId="0" fillId="0" borderId="0" xfId="0" applyNumberFormat="1"/>
    <xf numFmtId="171" fontId="33" fillId="29" borderId="0" xfId="1" applyNumberFormat="1" applyFont="1" applyFill="1" applyBorder="1" applyAlignment="1">
      <alignment horizontal="right" vertical="center" wrapText="1"/>
    </xf>
    <xf numFmtId="171" fontId="33" fillId="28" borderId="42" xfId="1" applyNumberFormat="1" applyFont="1" applyFill="1" applyBorder="1" applyAlignment="1">
      <alignment horizontal="right" vertical="center" wrapText="1"/>
    </xf>
    <xf numFmtId="171" fontId="33" fillId="28" borderId="4" xfId="1" applyNumberFormat="1" applyFont="1" applyFill="1" applyBorder="1" applyAlignment="1">
      <alignment horizontal="right" vertical="center" wrapText="1"/>
    </xf>
    <xf numFmtId="171" fontId="33" fillId="29" borderId="4" xfId="1" applyNumberFormat="1" applyFont="1" applyFill="1" applyBorder="1" applyAlignment="1">
      <alignment horizontal="right" vertical="center" wrapText="1"/>
    </xf>
    <xf numFmtId="167" fontId="33" fillId="29" borderId="0" xfId="1" applyNumberFormat="1" applyFont="1" applyFill="1" applyBorder="1" applyAlignment="1">
      <alignment horizontal="right" vertical="center" wrapText="1"/>
    </xf>
    <xf numFmtId="167" fontId="33" fillId="28" borderId="42" xfId="1" applyNumberFormat="1" applyFont="1" applyFill="1" applyBorder="1" applyAlignment="1">
      <alignment horizontal="right" vertical="center" wrapText="1"/>
    </xf>
    <xf numFmtId="167" fontId="33" fillId="28" borderId="4" xfId="1" applyNumberFormat="1" applyFont="1" applyFill="1" applyBorder="1" applyAlignment="1">
      <alignment horizontal="right" vertical="center" wrapText="1"/>
    </xf>
    <xf numFmtId="167" fontId="33" fillId="29" borderId="4" xfId="1" applyNumberFormat="1" applyFont="1" applyFill="1" applyBorder="1" applyAlignment="1">
      <alignment horizontal="right" vertical="center" wrapText="1"/>
    </xf>
    <xf numFmtId="171" fontId="32" fillId="28" borderId="0" xfId="0" applyNumberFormat="1" applyFont="1" applyFill="1" applyBorder="1" applyAlignment="1">
      <alignment horizontal="right" vertical="center" wrapText="1"/>
    </xf>
    <xf numFmtId="171" fontId="32" fillId="29" borderId="0" xfId="0" applyNumberFormat="1" applyFont="1" applyFill="1" applyBorder="1" applyAlignment="1">
      <alignment horizontal="right" vertical="center" wrapText="1"/>
    </xf>
    <xf numFmtId="0" fontId="0" fillId="29" borderId="0" xfId="0" applyFill="1"/>
    <xf numFmtId="171" fontId="33" fillId="29" borderId="42" xfId="1" applyNumberFormat="1" applyFont="1" applyFill="1" applyBorder="1" applyAlignment="1">
      <alignment horizontal="right" vertical="center" wrapText="1"/>
    </xf>
    <xf numFmtId="0" fontId="34" fillId="0" borderId="4" xfId="0" applyFont="1" applyBorder="1" applyAlignment="1">
      <alignment horizontal="left" vertical="center"/>
    </xf>
    <xf numFmtId="0" fontId="35" fillId="0" borderId="4" xfId="0" applyFont="1" applyBorder="1"/>
    <xf numFmtId="0" fontId="35" fillId="0" borderId="0" xfId="0" applyFont="1"/>
    <xf numFmtId="0" fontId="34" fillId="0" borderId="4" xfId="0" applyFont="1" applyBorder="1" applyAlignment="1">
      <alignment horizontal="right" vertical="center" wrapText="1"/>
    </xf>
    <xf numFmtId="0" fontId="34" fillId="28" borderId="0" xfId="0" applyFont="1" applyFill="1" applyBorder="1" applyAlignment="1">
      <alignment horizontal="right" vertical="center" wrapText="1"/>
    </xf>
    <xf numFmtId="0" fontId="36" fillId="0" borderId="0" xfId="0" applyFont="1" applyBorder="1"/>
    <xf numFmtId="0" fontId="34" fillId="28" borderId="4" xfId="0" applyFont="1" applyFill="1" applyBorder="1" applyAlignment="1">
      <alignment horizontal="right" vertical="center" wrapText="1"/>
    </xf>
    <xf numFmtId="0" fontId="36" fillId="0" borderId="4" xfId="0" applyFont="1" applyBorder="1"/>
    <xf numFmtId="0" fontId="34" fillId="29" borderId="42" xfId="0" applyFont="1" applyFill="1" applyBorder="1" applyAlignment="1">
      <alignment horizontal="right" vertical="center" wrapText="1"/>
    </xf>
    <xf numFmtId="0" fontId="34" fillId="29" borderId="0" xfId="0" applyFont="1" applyFill="1" applyBorder="1" applyAlignment="1">
      <alignment horizontal="right" vertical="center" wrapText="1"/>
    </xf>
    <xf numFmtId="0" fontId="34" fillId="29" borderId="4" xfId="0" applyFont="1" applyFill="1" applyBorder="1" applyAlignment="1">
      <alignment horizontal="right" vertical="center" wrapText="1"/>
    </xf>
    <xf numFmtId="0" fontId="37" fillId="0" borderId="4" xfId="0" applyFont="1" applyBorder="1" applyAlignment="1">
      <alignment horizontal="right" vertical="center" wrapText="1"/>
    </xf>
    <xf numFmtId="0" fontId="35" fillId="0" borderId="0" xfId="0" applyFont="1" applyAlignment="1">
      <alignment horizontal="center" vertical="center" wrapText="1"/>
    </xf>
    <xf numFmtId="165" fontId="36" fillId="0" borderId="0" xfId="1" applyNumberFormat="1" applyFont="1" applyBorder="1"/>
    <xf numFmtId="2" fontId="36" fillId="0" borderId="0" xfId="1" applyNumberFormat="1" applyFont="1" applyBorder="1"/>
    <xf numFmtId="2" fontId="1" fillId="26" borderId="0" xfId="15" applyNumberFormat="1" applyBorder="1"/>
    <xf numFmtId="2" fontId="36" fillId="0" borderId="0" xfId="1" applyNumberFormat="1" applyFont="1" applyFill="1" applyBorder="1"/>
    <xf numFmtId="165" fontId="22" fillId="0" borderId="9" xfId="0" applyNumberFormat="1" applyFont="1" applyFill="1" applyBorder="1" applyAlignment="1" applyProtection="1"/>
    <xf numFmtId="165" fontId="22" fillId="0" borderId="8" xfId="0" applyNumberFormat="1" applyFont="1" applyFill="1" applyBorder="1" applyAlignment="1" applyProtection="1"/>
    <xf numFmtId="165" fontId="0" fillId="0" borderId="24" xfId="0" applyNumberFormat="1" applyFont="1" applyFill="1" applyBorder="1"/>
    <xf numFmtId="165" fontId="28" fillId="0" borderId="24" xfId="0" applyNumberFormat="1" applyFont="1" applyFill="1" applyBorder="1"/>
    <xf numFmtId="165" fontId="38" fillId="22" borderId="8" xfId="14" applyNumberFormat="1" applyFont="1" applyBorder="1"/>
    <xf numFmtId="165" fontId="38" fillId="22" borderId="9" xfId="14" applyNumberFormat="1" applyFont="1" applyBorder="1"/>
    <xf numFmtId="165" fontId="1" fillId="27" borderId="0" xfId="16" applyNumberFormat="1" applyBorder="1"/>
    <xf numFmtId="170" fontId="28" fillId="0" borderId="0" xfId="0" applyNumberFormat="1" applyFont="1"/>
    <xf numFmtId="171" fontId="28" fillId="0" borderId="0" xfId="0" applyNumberFormat="1" applyFont="1"/>
    <xf numFmtId="172" fontId="33" fillId="29" borderId="0" xfId="1" applyNumberFormat="1" applyFont="1" applyFill="1" applyBorder="1" applyAlignment="1">
      <alignment horizontal="right" vertical="center" wrapText="1"/>
    </xf>
    <xf numFmtId="172" fontId="32" fillId="29" borderId="0" xfId="0" applyNumberFormat="1" applyFont="1" applyFill="1" applyBorder="1" applyAlignment="1">
      <alignment horizontal="right" vertical="center" wrapText="1"/>
    </xf>
    <xf numFmtId="172" fontId="33" fillId="29" borderId="4" xfId="1" applyNumberFormat="1" applyFont="1" applyFill="1" applyBorder="1" applyAlignment="1">
      <alignment horizontal="right" vertical="center" wrapText="1"/>
    </xf>
    <xf numFmtId="172" fontId="0" fillId="0" borderId="0" xfId="0" applyNumberFormat="1"/>
    <xf numFmtId="172" fontId="33" fillId="28" borderId="4" xfId="1" applyNumberFormat="1" applyFont="1" applyFill="1" applyBorder="1" applyAlignment="1">
      <alignment horizontal="right" vertical="center" wrapText="1"/>
    </xf>
    <xf numFmtId="172" fontId="33" fillId="28" borderId="42" xfId="1" applyNumberFormat="1" applyFont="1" applyFill="1" applyBorder="1" applyAlignment="1">
      <alignment horizontal="right" vertical="center" wrapText="1"/>
    </xf>
    <xf numFmtId="0" fontId="40" fillId="28" borderId="0" xfId="0" applyFont="1" applyFill="1" applyBorder="1" applyAlignment="1">
      <alignment horizontal="right" vertical="center" wrapText="1"/>
    </xf>
    <xf numFmtId="170" fontId="32" fillId="29" borderId="0" xfId="0" applyNumberFormat="1" applyFont="1" applyFill="1" applyBorder="1" applyAlignment="1">
      <alignment horizontal="right" vertical="center" wrapText="1"/>
    </xf>
    <xf numFmtId="10" fontId="39" fillId="30" borderId="0" xfId="21" applyNumberFormat="1"/>
    <xf numFmtId="164" fontId="0" fillId="0" borderId="0" xfId="0" applyNumberFormat="1" applyBorder="1"/>
    <xf numFmtId="0" fontId="41" fillId="0" borderId="0" xfId="0" applyFont="1" applyAlignment="1">
      <alignment horizontal="left" vertical="center"/>
    </xf>
    <xf numFmtId="2" fontId="4" fillId="0" borderId="6" xfId="0" applyNumberFormat="1" applyFont="1" applyBorder="1"/>
    <xf numFmtId="0" fontId="42" fillId="0" borderId="0" xfId="0" applyFont="1" applyAlignment="1">
      <alignment vertical="center" wrapText="1"/>
    </xf>
    <xf numFmtId="0" fontId="43" fillId="0" borderId="0" xfId="0" applyFont="1" applyAlignment="1">
      <alignment vertical="center"/>
    </xf>
    <xf numFmtId="0" fontId="42" fillId="0" borderId="0" xfId="0" applyFont="1" applyAlignment="1">
      <alignment vertical="center"/>
    </xf>
    <xf numFmtId="0" fontId="42" fillId="0" borderId="0" xfId="0" applyFont="1"/>
    <xf numFmtId="0" fontId="43" fillId="0" borderId="0" xfId="0" applyFont="1" applyAlignment="1"/>
    <xf numFmtId="0" fontId="42" fillId="0" borderId="0" xfId="0" applyFont="1" applyAlignment="1"/>
    <xf numFmtId="0" fontId="25" fillId="0" borderId="0" xfId="0" applyFont="1"/>
    <xf numFmtId="0" fontId="44" fillId="0" borderId="0" xfId="12" applyFont="1" applyAlignment="1">
      <alignment vertical="center"/>
    </xf>
    <xf numFmtId="0" fontId="44" fillId="0" borderId="0" xfId="12" applyFont="1" applyFill="1"/>
    <xf numFmtId="0" fontId="7" fillId="14" borderId="31" xfId="3" applyBorder="1"/>
    <xf numFmtId="0" fontId="6" fillId="0" borderId="0" xfId="0" applyFont="1" applyAlignment="1">
      <alignment vertical="center" wrapText="1"/>
    </xf>
    <xf numFmtId="0" fontId="6" fillId="0" borderId="0" xfId="0" applyFont="1"/>
    <xf numFmtId="165" fontId="4" fillId="0" borderId="23" xfId="0" applyNumberFormat="1" applyFont="1" applyBorder="1" applyAlignment="1">
      <alignment horizontal="center" vertical="center" wrapText="1"/>
    </xf>
    <xf numFmtId="165" fontId="4" fillId="0" borderId="24" xfId="0" applyNumberFormat="1" applyFont="1" applyBorder="1" applyAlignment="1">
      <alignment horizontal="center" vertical="center" wrapText="1"/>
    </xf>
    <xf numFmtId="165" fontId="4" fillId="0" borderId="25" xfId="0" applyNumberFormat="1" applyFont="1" applyBorder="1" applyAlignment="1">
      <alignment horizontal="center" vertical="center" wrapText="1"/>
    </xf>
    <xf numFmtId="165" fontId="4" fillId="0" borderId="7" xfId="0" applyNumberFormat="1" applyFont="1" applyBorder="1" applyAlignment="1">
      <alignment horizontal="left" wrapText="1"/>
    </xf>
    <xf numFmtId="165" fontId="4" fillId="0" borderId="9" xfId="0" applyNumberFormat="1" applyFont="1" applyBorder="1" applyAlignment="1">
      <alignment horizontal="left" wrapText="1"/>
    </xf>
    <xf numFmtId="165" fontId="0" fillId="0" borderId="0" xfId="0" applyNumberFormat="1" applyBorder="1" applyAlignment="1">
      <alignment horizontal="center" wrapText="1"/>
    </xf>
    <xf numFmtId="165" fontId="0" fillId="0" borderId="4" xfId="0" applyNumberFormat="1" applyBorder="1" applyAlignment="1">
      <alignment horizontal="center" wrapText="1"/>
    </xf>
    <xf numFmtId="165" fontId="4" fillId="0" borderId="0" xfId="0" applyNumberFormat="1" applyFont="1" applyAlignment="1">
      <alignment horizontal="center" vertical="center" wrapText="1"/>
    </xf>
    <xf numFmtId="0" fontId="30" fillId="29" borderId="42" xfId="0" applyFont="1" applyFill="1" applyBorder="1" applyAlignment="1">
      <alignment horizontal="center" vertical="center" wrapText="1"/>
    </xf>
    <xf numFmtId="0" fontId="30" fillId="29" borderId="0" xfId="0" applyFont="1" applyFill="1" applyBorder="1" applyAlignment="1">
      <alignment horizontal="center" vertical="center" wrapText="1"/>
    </xf>
    <xf numFmtId="0" fontId="30" fillId="29" borderId="4" xfId="0" applyFont="1" applyFill="1" applyBorder="1" applyAlignment="1">
      <alignment horizontal="center" vertical="center" wrapText="1"/>
    </xf>
    <xf numFmtId="0" fontId="30" fillId="28" borderId="42" xfId="0" applyFont="1" applyFill="1" applyBorder="1" applyAlignment="1">
      <alignment horizontal="center" vertical="center" wrapText="1"/>
    </xf>
    <xf numFmtId="0" fontId="30" fillId="28" borderId="4" xfId="0" applyFont="1" applyFill="1" applyBorder="1" applyAlignment="1">
      <alignment horizontal="center" vertical="center" wrapText="1"/>
    </xf>
    <xf numFmtId="165" fontId="4" fillId="0" borderId="23" xfId="0" applyNumberFormat="1" applyFont="1" applyBorder="1" applyAlignment="1">
      <alignment horizontal="center" vertical="center"/>
    </xf>
    <xf numFmtId="165" fontId="4" fillId="0" borderId="24" xfId="0" applyNumberFormat="1" applyFont="1" applyBorder="1" applyAlignment="1">
      <alignment horizontal="center" vertical="center"/>
    </xf>
    <xf numFmtId="165" fontId="4" fillId="0" borderId="25" xfId="0" applyNumberFormat="1" applyFont="1" applyBorder="1" applyAlignment="1">
      <alignment horizontal="center" vertical="center"/>
    </xf>
    <xf numFmtId="167" fontId="4" fillId="0" borderId="23" xfId="0" applyNumberFormat="1" applyFont="1" applyBorder="1" applyAlignment="1">
      <alignment horizontal="center" vertical="center"/>
    </xf>
    <xf numFmtId="167" fontId="4" fillId="0" borderId="25" xfId="0" applyNumberFormat="1" applyFont="1" applyBorder="1" applyAlignment="1">
      <alignment horizontal="center" vertical="center"/>
    </xf>
    <xf numFmtId="167" fontId="4" fillId="0" borderId="24" xfId="0" applyNumberFormat="1" applyFont="1" applyBorder="1" applyAlignment="1">
      <alignment horizontal="center" vertical="center"/>
    </xf>
    <xf numFmtId="167" fontId="4" fillId="0" borderId="23" xfId="0" applyNumberFormat="1" applyFont="1" applyBorder="1" applyAlignment="1">
      <alignment horizontal="center" vertical="center" wrapText="1"/>
    </xf>
    <xf numFmtId="167" fontId="4" fillId="0" borderId="24" xfId="0" applyNumberFormat="1" applyFont="1" applyBorder="1" applyAlignment="1">
      <alignment horizontal="center" vertical="center" wrapText="1"/>
    </xf>
    <xf numFmtId="167" fontId="4" fillId="0" borderId="25" xfId="0" applyNumberFormat="1" applyFont="1" applyBorder="1" applyAlignment="1">
      <alignment horizontal="center" vertical="center" wrapText="1"/>
    </xf>
    <xf numFmtId="165" fontId="4" fillId="0" borderId="5" xfId="0" applyNumberFormat="1" applyFont="1" applyBorder="1" applyAlignment="1">
      <alignment horizontal="center" vertical="center" wrapText="1"/>
    </xf>
    <xf numFmtId="165" fontId="4" fillId="0" borderId="8" xfId="0" applyNumberFormat="1" applyFont="1" applyBorder="1" applyAlignment="1">
      <alignment horizontal="center" vertical="center" wrapText="1"/>
    </xf>
    <xf numFmtId="165" fontId="4" fillId="0" borderId="12" xfId="0" applyNumberFormat="1" applyFont="1" applyBorder="1" applyAlignment="1">
      <alignment horizontal="center" vertical="center" wrapText="1"/>
    </xf>
    <xf numFmtId="167" fontId="4" fillId="0" borderId="5" xfId="0" applyNumberFormat="1" applyFont="1" applyBorder="1" applyAlignment="1">
      <alignment horizontal="center" vertical="center" wrapText="1"/>
    </xf>
    <xf numFmtId="167" fontId="4" fillId="0" borderId="8" xfId="0" applyNumberFormat="1" applyFont="1" applyBorder="1" applyAlignment="1">
      <alignment horizontal="center" vertical="center" wrapText="1"/>
    </xf>
    <xf numFmtId="167" fontId="4" fillId="0" borderId="12" xfId="0" applyNumberFormat="1" applyFont="1" applyBorder="1" applyAlignment="1">
      <alignment horizontal="center" vertical="center" wrapText="1"/>
    </xf>
    <xf numFmtId="165" fontId="4" fillId="0" borderId="0" xfId="0" applyNumberFormat="1" applyFont="1" applyAlignment="1">
      <alignment horizontal="center"/>
    </xf>
    <xf numFmtId="0" fontId="25" fillId="0" borderId="8" xfId="0" applyFont="1" applyBorder="1" applyAlignment="1">
      <alignment horizontal="center" vertical="center" wrapText="1"/>
    </xf>
    <xf numFmtId="0" fontId="25" fillId="0" borderId="0" xfId="0" applyFont="1" applyBorder="1" applyAlignment="1">
      <alignment horizontal="center" vertical="center" wrapText="1"/>
    </xf>
    <xf numFmtId="165" fontId="24" fillId="15" borderId="0" xfId="0" applyNumberFormat="1" applyFont="1" applyFill="1" applyAlignment="1">
      <alignment horizontal="left" vertical="center" wrapText="1"/>
    </xf>
    <xf numFmtId="0" fontId="13" fillId="14" borderId="16" xfId="4" applyFont="1" applyAlignment="1">
      <alignment horizontal="left" vertical="center" wrapText="1"/>
    </xf>
    <xf numFmtId="0" fontId="7" fillId="14" borderId="30" xfId="3" applyBorder="1" applyAlignment="1">
      <alignment horizontal="center" vertical="center" wrapText="1"/>
    </xf>
    <xf numFmtId="0" fontId="7" fillId="14" borderId="31" xfId="3" applyBorder="1" applyAlignment="1">
      <alignment horizontal="center" vertical="center" wrapText="1"/>
    </xf>
    <xf numFmtId="0" fontId="7" fillId="14" borderId="32" xfId="3" applyBorder="1" applyAlignment="1">
      <alignment horizontal="center" vertical="center" wrapText="1"/>
    </xf>
    <xf numFmtId="0" fontId="0" fillId="0" borderId="43" xfId="0" applyBorder="1" applyAlignment="1">
      <alignment horizontal="center" wrapText="1"/>
    </xf>
    <xf numFmtId="0" fontId="0" fillId="0" borderId="0" xfId="0" applyAlignment="1">
      <alignment horizontal="center" wrapText="1"/>
    </xf>
    <xf numFmtId="0" fontId="6" fillId="0" borderId="8" xfId="0" applyFont="1" applyBorder="1" applyAlignment="1">
      <alignment horizontal="left" vertical="top" wrapText="1"/>
    </xf>
    <xf numFmtId="0" fontId="6" fillId="0" borderId="0" xfId="0" applyFont="1" applyBorder="1" applyAlignment="1">
      <alignment horizontal="left" vertical="top" wrapText="1"/>
    </xf>
    <xf numFmtId="0" fontId="12" fillId="2" borderId="44" xfId="0" applyFont="1" applyFill="1" applyBorder="1" applyAlignment="1">
      <alignment horizontal="center"/>
    </xf>
    <xf numFmtId="0" fontId="12" fillId="2" borderId="46" xfId="0" applyFont="1" applyFill="1" applyBorder="1" applyAlignment="1">
      <alignment horizontal="center"/>
    </xf>
    <xf numFmtId="0" fontId="0" fillId="0" borderId="42" xfId="0" applyBorder="1" applyAlignment="1">
      <alignment horizontal="center" vertical="center" wrapText="1"/>
    </xf>
    <xf numFmtId="0" fontId="0" fillId="0" borderId="45" xfId="0" applyBorder="1" applyAlignment="1">
      <alignment horizontal="center" vertical="center" wrapText="1"/>
    </xf>
    <xf numFmtId="0" fontId="0" fillId="0" borderId="4" xfId="0" applyBorder="1" applyAlignment="1">
      <alignment horizontal="center" vertical="center" wrapText="1"/>
    </xf>
    <xf numFmtId="0" fontId="0" fillId="0" borderId="47" xfId="0" applyBorder="1" applyAlignment="1">
      <alignment horizontal="center" vertical="center" wrapText="1"/>
    </xf>
    <xf numFmtId="0" fontId="6" fillId="0" borderId="0" xfId="0" applyFont="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6" fillId="0" borderId="5"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5" xfId="0" applyFont="1" applyBorder="1" applyAlignment="1">
      <alignment horizontal="center" vertical="center" wrapText="1"/>
    </xf>
    <xf numFmtId="0" fontId="0" fillId="0" borderId="21" xfId="0" applyBorder="1" applyAlignment="1">
      <alignment horizontal="center"/>
    </xf>
    <xf numFmtId="0" fontId="0" fillId="0" borderId="22" xfId="0" applyBorder="1" applyAlignment="1">
      <alignment horizontal="center"/>
    </xf>
    <xf numFmtId="0" fontId="0" fillId="0" borderId="3" xfId="0" applyFill="1" applyBorder="1" applyAlignment="1">
      <alignment horizontal="center" vertical="center" wrapText="1"/>
    </xf>
    <xf numFmtId="0" fontId="0" fillId="0" borderId="28" xfId="0" applyFill="1" applyBorder="1" applyAlignment="1">
      <alignment horizontal="center" vertical="center" wrapText="1"/>
    </xf>
    <xf numFmtId="0" fontId="0" fillId="0" borderId="18" xfId="0" applyFill="1" applyBorder="1" applyAlignment="1">
      <alignment horizontal="center" vertical="center" wrapText="1"/>
    </xf>
    <xf numFmtId="0" fontId="6" fillId="0" borderId="0" xfId="0" applyFont="1" applyBorder="1" applyAlignment="1">
      <alignment horizontal="left" wrapText="1"/>
    </xf>
    <xf numFmtId="2" fontId="6" fillId="0" borderId="0" xfId="0" applyNumberFormat="1" applyFont="1" applyBorder="1" applyAlignment="1">
      <alignment horizontal="left" vertical="top" wrapText="1"/>
    </xf>
    <xf numFmtId="0" fontId="0" fillId="0" borderId="36" xfId="0" applyBorder="1" applyAlignment="1">
      <alignment horizontal="center"/>
    </xf>
    <xf numFmtId="0" fontId="0" fillId="0" borderId="6" xfId="0" applyBorder="1" applyAlignment="1">
      <alignment horizontal="center"/>
    </xf>
    <xf numFmtId="0" fontId="6" fillId="0" borderId="6"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3" xfId="0" applyFont="1" applyBorder="1" applyAlignment="1">
      <alignment horizontal="center" vertical="center" wrapText="1"/>
    </xf>
    <xf numFmtId="0" fontId="27" fillId="0" borderId="8" xfId="0" applyFont="1" applyBorder="1" applyAlignment="1">
      <alignment horizontal="left" vertical="center" wrapText="1"/>
    </xf>
    <xf numFmtId="0" fontId="27" fillId="0" borderId="0" xfId="0" applyFont="1" applyBorder="1" applyAlignment="1">
      <alignment horizontal="left" vertical="center" wrapText="1"/>
    </xf>
    <xf numFmtId="0" fontId="27" fillId="0" borderId="9" xfId="0" applyFont="1" applyBorder="1" applyAlignment="1">
      <alignment horizontal="left" vertical="center" wrapText="1"/>
    </xf>
    <xf numFmtId="0" fontId="27" fillId="0" borderId="12" xfId="0" applyFont="1" applyBorder="1" applyAlignment="1">
      <alignment horizontal="left" vertical="center" wrapText="1"/>
    </xf>
    <xf numFmtId="0" fontId="27" fillId="0" borderId="13" xfId="0" applyFont="1" applyBorder="1" applyAlignment="1">
      <alignment horizontal="left" vertical="center" wrapText="1"/>
    </xf>
    <xf numFmtId="0" fontId="27" fillId="0" borderId="15" xfId="0" applyFont="1" applyBorder="1" applyAlignment="1">
      <alignment horizontal="left" vertical="center" wrapText="1"/>
    </xf>
    <xf numFmtId="0" fontId="0" fillId="0" borderId="33" xfId="0" applyBorder="1" applyAlignment="1">
      <alignment horizontal="center"/>
    </xf>
    <xf numFmtId="0" fontId="0" fillId="0" borderId="41" xfId="0" applyBorder="1" applyAlignment="1">
      <alignment horizontal="center"/>
    </xf>
    <xf numFmtId="0" fontId="0" fillId="0" borderId="19" xfId="0" applyBorder="1" applyAlignment="1">
      <alignment horizontal="center"/>
    </xf>
    <xf numFmtId="9" fontId="10" fillId="0" borderId="0" xfId="12" applyNumberFormat="1" applyBorder="1" applyAlignment="1">
      <alignment horizontal="center"/>
    </xf>
    <xf numFmtId="0" fontId="10" fillId="0" borderId="0" xfId="12" applyBorder="1" applyAlignment="1">
      <alignment horizontal="center"/>
    </xf>
    <xf numFmtId="0" fontId="0" fillId="0" borderId="10" xfId="0" applyBorder="1" applyAlignment="1">
      <alignment horizontal="center" vertical="center" wrapText="1"/>
    </xf>
    <xf numFmtId="0" fontId="0" fillId="0" borderId="20" xfId="0" applyBorder="1" applyAlignment="1">
      <alignment horizontal="center" vertical="center" wrapText="1"/>
    </xf>
    <xf numFmtId="0" fontId="0" fillId="0" borderId="37" xfId="0" applyBorder="1" applyAlignment="1">
      <alignment horizontal="center"/>
    </xf>
    <xf numFmtId="0" fontId="0" fillId="0" borderId="35" xfId="0" applyBorder="1" applyAlignment="1">
      <alignment horizontal="center"/>
    </xf>
    <xf numFmtId="0" fontId="0" fillId="0" borderId="34" xfId="0" applyBorder="1" applyAlignment="1">
      <alignment horizontal="center" wrapText="1"/>
    </xf>
    <xf numFmtId="0" fontId="0" fillId="0" borderId="35" xfId="0" applyBorder="1" applyAlignment="1">
      <alignment horizontal="center" wrapText="1"/>
    </xf>
    <xf numFmtId="0" fontId="0" fillId="0" borderId="4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wrapText="1"/>
    </xf>
    <xf numFmtId="0" fontId="6" fillId="0" borderId="0" xfId="0" applyFont="1" applyAlignment="1">
      <alignment horizontal="left"/>
    </xf>
    <xf numFmtId="0" fontId="6" fillId="0" borderId="1" xfId="0" applyFont="1" applyBorder="1" applyAlignment="1">
      <alignment horizontal="left"/>
    </xf>
    <xf numFmtId="0" fontId="6" fillId="0" borderId="1" xfId="0" applyFont="1" applyBorder="1" applyAlignment="1">
      <alignment horizontal="left" wrapText="1"/>
    </xf>
    <xf numFmtId="0" fontId="6" fillId="0" borderId="1" xfId="0" applyFont="1" applyBorder="1" applyAlignment="1">
      <alignment horizontal="left" vertical="center" wrapText="1"/>
    </xf>
    <xf numFmtId="0" fontId="6" fillId="0" borderId="0" xfId="0" applyFont="1" applyAlignment="1">
      <alignment horizontal="center"/>
    </xf>
    <xf numFmtId="0" fontId="34" fillId="29" borderId="0" xfId="0" applyFont="1" applyFill="1" applyBorder="1" applyAlignment="1">
      <alignment horizontal="center" vertical="center" wrapText="1"/>
    </xf>
    <xf numFmtId="0" fontId="6" fillId="0" borderId="0" xfId="0" applyFont="1" applyAlignment="1">
      <alignment horizontal="left" vertical="center" wrapText="1"/>
    </xf>
    <xf numFmtId="0" fontId="32" fillId="29" borderId="42" xfId="0" applyFont="1" applyFill="1" applyBorder="1" applyAlignment="1">
      <alignment horizontal="center" vertical="center" wrapText="1"/>
    </xf>
    <xf numFmtId="0" fontId="32" fillId="29" borderId="0" xfId="0" applyFont="1" applyFill="1" applyBorder="1" applyAlignment="1">
      <alignment horizontal="center" vertical="center" wrapText="1"/>
    </xf>
    <xf numFmtId="0" fontId="32" fillId="29" borderId="4" xfId="0" applyFont="1" applyFill="1" applyBorder="1" applyAlignment="1">
      <alignment horizontal="center" vertical="center" wrapText="1"/>
    </xf>
    <xf numFmtId="0" fontId="32" fillId="28" borderId="42" xfId="0" applyFont="1" applyFill="1" applyBorder="1" applyAlignment="1">
      <alignment horizontal="center" vertical="center" wrapText="1"/>
    </xf>
    <xf numFmtId="0" fontId="32" fillId="28" borderId="4" xfId="0" applyFont="1" applyFill="1" applyBorder="1" applyAlignment="1">
      <alignment horizontal="center" vertical="center" wrapText="1"/>
    </xf>
    <xf numFmtId="0" fontId="32" fillId="28" borderId="0" xfId="0" applyFont="1" applyFill="1" applyBorder="1" applyAlignment="1">
      <alignment horizontal="center" vertical="center" wrapText="1"/>
    </xf>
    <xf numFmtId="0" fontId="32" fillId="29" borderId="42" xfId="0" applyFont="1" applyFill="1" applyBorder="1" applyAlignment="1">
      <alignment horizontal="center" vertical="center"/>
    </xf>
    <xf numFmtId="0" fontId="32" fillId="29" borderId="0" xfId="0" applyFont="1" applyFill="1" applyBorder="1" applyAlignment="1">
      <alignment horizontal="center" vertical="center"/>
    </xf>
    <xf numFmtId="0" fontId="32" fillId="29" borderId="4" xfId="0" applyFont="1" applyFill="1" applyBorder="1" applyAlignment="1">
      <alignment horizontal="center" vertical="center"/>
    </xf>
    <xf numFmtId="0" fontId="0" fillId="0" borderId="0" xfId="0" applyAlignment="1">
      <alignment horizontal="left"/>
    </xf>
    <xf numFmtId="0" fontId="0" fillId="0" borderId="1" xfId="0" applyBorder="1" applyAlignment="1">
      <alignment horizontal="center"/>
    </xf>
  </cellXfs>
  <cellStyles count="22">
    <cellStyle name="40% - Accent4" xfId="16" builtinId="43"/>
    <cellStyle name="60% - Accent3" xfId="15" builtinId="40"/>
    <cellStyle name="Accent3" xfId="21" builtinId="37"/>
    <cellStyle name="Calculation" xfId="4" builtinId="22"/>
    <cellStyle name="Comma" xfId="1" builtinId="3"/>
    <cellStyle name="Comma [0] 2" xfId="11" xr:uid="{00000000-0005-0000-0000-000005000000}"/>
    <cellStyle name="Comma 2" xfId="10" xr:uid="{00000000-0005-0000-0000-000004000000}"/>
    <cellStyle name="Currency [0] 2" xfId="9" xr:uid="{00000000-0005-0000-0000-000003000000}"/>
    <cellStyle name="Currency 2" xfId="8" xr:uid="{00000000-0005-0000-0000-000002000000}"/>
    <cellStyle name="Good" xfId="13" builtinId="26"/>
    <cellStyle name="Hyperlink" xfId="12" builtinId="8"/>
    <cellStyle name="Neutral" xfId="14" builtinId="28"/>
    <cellStyle name="Normal" xfId="0" builtinId="0"/>
    <cellStyle name="Normal 2" xfId="6" xr:uid="{00000000-0005-0000-0000-000034000000}"/>
    <cellStyle name="Normal 2 2" xfId="19" xr:uid="{00000000-0005-0000-0000-000002000000}"/>
    <cellStyle name="Normal 2 3" xfId="18" xr:uid="{00000000-0005-0000-0000-000001000000}"/>
    <cellStyle name="Normal 3" xfId="17" xr:uid="{00000000-0005-0000-0000-000031000000}"/>
    <cellStyle name="Output" xfId="3" builtinId="21"/>
    <cellStyle name="Percent" xfId="2" builtinId="5"/>
    <cellStyle name="Percent 2" xfId="7" xr:uid="{00000000-0005-0000-0000-000001000000}"/>
    <cellStyle name="Porcentaje 2" xfId="20" xr:uid="{00000000-0005-0000-0000-000003000000}"/>
    <cellStyle name="Standard 7" xfId="5" xr:uid="{3D60B8C4-B733-49A4-A128-4CFE45BB29AF}"/>
  </cellStyles>
  <dxfs count="48">
    <dxf>
      <font>
        <color rgb="FF006100"/>
      </font>
      <fill>
        <patternFill>
          <bgColor rgb="FFC6EFCE"/>
        </patternFill>
      </fill>
    </dxf>
    <dxf>
      <border>
        <left style="thin">
          <color auto="1"/>
        </left>
        <right style="thin">
          <color auto="1"/>
        </right>
        <top style="thin">
          <color auto="1"/>
        </top>
        <bottom style="thin">
          <color auto="1"/>
        </bottom>
        <vertical/>
        <horizontal/>
      </border>
    </dxf>
    <dxf>
      <border>
        <vertical/>
        <horizontal/>
      </border>
    </dxf>
    <dxf>
      <border>
        <left style="thin">
          <color rgb="FFFF0000"/>
        </left>
        <right style="thin">
          <color rgb="FFFF0000"/>
        </right>
        <top style="thin">
          <color rgb="FFFF0000"/>
        </top>
        <bottom style="thin">
          <color rgb="FFFF0000"/>
        </bottom>
        <vertical/>
        <horizontal/>
      </border>
    </dxf>
    <dxf>
      <border>
        <left style="thin">
          <color auto="1"/>
        </left>
        <right style="thin">
          <color auto="1"/>
        </right>
        <top style="thin">
          <color auto="1"/>
        </top>
        <bottom style="thin">
          <color auto="1"/>
        </bottom>
        <vertical/>
        <horizontal/>
      </border>
    </dxf>
    <dxf>
      <border>
        <vertical/>
        <horizontal/>
      </border>
    </dxf>
    <dxf>
      <border>
        <left style="thin">
          <color rgb="FFFF0000"/>
        </left>
        <right style="thin">
          <color rgb="FFFF0000"/>
        </right>
        <top style="thin">
          <color rgb="FFFF0000"/>
        </top>
        <bottom style="thin">
          <color rgb="FFFF0000"/>
        </bottom>
        <vertical/>
        <horizontal/>
      </border>
    </dxf>
    <dxf>
      <border>
        <left style="thin">
          <color auto="1"/>
        </left>
        <right style="thin">
          <color auto="1"/>
        </right>
        <top style="thin">
          <color auto="1"/>
        </top>
        <bottom style="thin">
          <color auto="1"/>
        </bottom>
        <vertical/>
        <horizontal/>
      </border>
    </dxf>
    <dxf>
      <border>
        <vertical/>
        <horizontal/>
      </border>
    </dxf>
    <dxf>
      <border>
        <left style="thin">
          <color rgb="FFFF0000"/>
        </left>
        <right style="thin">
          <color rgb="FFFF0000"/>
        </right>
        <top style="thin">
          <color rgb="FFFF0000"/>
        </top>
        <bottom style="thin">
          <color rgb="FFFF0000"/>
        </bottom>
        <vertical/>
        <horizontal/>
      </border>
    </dxf>
    <dxf>
      <border>
        <left style="thin">
          <color auto="1"/>
        </left>
        <right style="thin">
          <color auto="1"/>
        </right>
        <top style="thin">
          <color auto="1"/>
        </top>
        <bottom style="thin">
          <color auto="1"/>
        </bottom>
        <vertical/>
        <horizontal/>
      </border>
    </dxf>
    <dxf>
      <border>
        <vertical/>
        <horizontal/>
      </border>
    </dxf>
    <dxf>
      <border>
        <left style="thin">
          <color rgb="FFFF0000"/>
        </left>
        <right style="thin">
          <color rgb="FFFF0000"/>
        </right>
        <top style="thin">
          <color rgb="FFFF0000"/>
        </top>
        <bottom style="thin">
          <color rgb="FFFF0000"/>
        </bottom>
        <vertical/>
        <horizontal/>
      </border>
    </dxf>
    <dxf>
      <border>
        <left style="thin">
          <color auto="1"/>
        </left>
        <right style="thin">
          <color auto="1"/>
        </right>
        <top style="thin">
          <color auto="1"/>
        </top>
        <bottom style="thin">
          <color auto="1"/>
        </bottom>
        <vertical/>
        <horizontal/>
      </border>
    </dxf>
    <dxf>
      <border>
        <vertical/>
        <horizontal/>
      </border>
    </dxf>
    <dxf>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91F96"/>
      <color rgb="FFC00DC9"/>
      <color rgb="FFD0CB0B"/>
      <color rgb="FFF1F10D"/>
      <color rgb="FF54BA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'A2-2 Uncertainties ELV'!$C$65</c:f>
              <c:strCache>
                <c:ptCount val="1"/>
                <c:pt idx="0">
                  <c:v>Flow rate [kg]</c:v>
                </c:pt>
              </c:strCache>
            </c:strRef>
          </c:tx>
          <c:spPr>
            <a:solidFill>
              <a:schemeClr val="accent1"/>
            </a:solidFill>
            <a:ln>
              <a:noFill/>
            </a:ln>
            <a:effectLst/>
          </c:spPr>
          <c:invertIfNegative val="0"/>
          <c:cat>
            <c:strRef>
              <c:f>'A2-2 Uncertainties ELV'!$B$66:$B$113</c:f>
              <c:strCache>
                <c:ptCount val="48"/>
                <c:pt idx="0">
                  <c:v>ELVs</c:v>
                </c:pt>
                <c:pt idx="1">
                  <c:v>Dismantled ELVs</c:v>
                </c:pt>
                <c:pt idx="2">
                  <c:v>Iron and steel</c:v>
                </c:pt>
                <c:pt idx="3">
                  <c:v>Engines, gearboxes and Al components</c:v>
                </c:pt>
                <c:pt idx="4">
                  <c:v>Catalytic converters</c:v>
                </c:pt>
                <c:pt idx="5">
                  <c:v>Tyres, batteries, fluids, windows</c:v>
                </c:pt>
                <c:pt idx="6">
                  <c:v>Spare parts</c:v>
                </c:pt>
                <c:pt idx="7">
                  <c:v>Heavy fraction</c:v>
                </c:pt>
                <c:pt idx="8">
                  <c:v>Light fraction</c:v>
                </c:pt>
                <c:pt idx="9">
                  <c:v>Exported Al fraction</c:v>
                </c:pt>
                <c:pt idx="10">
                  <c:v>Exported Fe fraction</c:v>
                </c:pt>
                <c:pt idx="11">
                  <c:v>Domestic Fe</c:v>
                </c:pt>
                <c:pt idx="12">
                  <c:v>Non Fe fraction</c:v>
                </c:pt>
                <c:pt idx="13">
                  <c:v>Shredder fluff 1</c:v>
                </c:pt>
                <c:pt idx="14">
                  <c:v>Fines (LFP)</c:v>
                </c:pt>
                <c:pt idx="15">
                  <c:v>Domestic Al</c:v>
                </c:pt>
                <c:pt idx="16">
                  <c:v>Shredder fluff 2</c:v>
                </c:pt>
                <c:pt idx="17">
                  <c:v>Exported Al fraction</c:v>
                </c:pt>
                <c:pt idx="18">
                  <c:v>Domestic Al fractions</c:v>
                </c:pt>
                <c:pt idx="19">
                  <c:v>Residues</c:v>
                </c:pt>
                <c:pt idx="20">
                  <c:v>Exported Fe fractions</c:v>
                </c:pt>
                <c:pt idx="21">
                  <c:v>Exported Al fractions</c:v>
                </c:pt>
                <c:pt idx="22">
                  <c:v>Exported mixed fractions</c:v>
                </c:pt>
                <c:pt idx="23">
                  <c:v>Residues</c:v>
                </c:pt>
                <c:pt idx="24">
                  <c:v>Slags</c:v>
                </c:pt>
                <c:pt idx="25">
                  <c:v>Flue gas residues</c:v>
                </c:pt>
                <c:pt idx="26">
                  <c:v>To flue gas</c:v>
                </c:pt>
                <c:pt idx="27">
                  <c:v>Domestic Al fractions</c:v>
                </c:pt>
                <c:pt idx="28">
                  <c:v>Bottom ash</c:v>
                </c:pt>
                <c:pt idx="29">
                  <c:v>Exported Fe fraction</c:v>
                </c:pt>
                <c:pt idx="30">
                  <c:v>Exported Al fraction</c:v>
                </c:pt>
                <c:pt idx="31">
                  <c:v>Evaporated water</c:v>
                </c:pt>
                <c:pt idx="32">
                  <c:v>Crude steel (domestic steel production)</c:v>
                </c:pt>
                <c:pt idx="33">
                  <c:v>Slags (domestic steel production)</c:v>
                </c:pt>
                <c:pt idx="34">
                  <c:v>Dusts/Sludge</c:v>
                </c:pt>
                <c:pt idx="35">
                  <c:v>Cast Al</c:v>
                </c:pt>
                <c:pt idx="36">
                  <c:v>Slags (domestic aluminum production)</c:v>
                </c:pt>
                <c:pt idx="37">
                  <c:v>Domestic Al</c:v>
                </c:pt>
                <c:pt idx="38">
                  <c:v>Exported Al</c:v>
                </c:pt>
                <c:pt idx="39">
                  <c:v>Exported Fe</c:v>
                </c:pt>
                <c:pt idx="40">
                  <c:v>Domestic iron</c:v>
                </c:pt>
                <c:pt idx="41">
                  <c:v>Domestic steel from decannning</c:v>
                </c:pt>
                <c:pt idx="42">
                  <c:v>Exported steel from decanning</c:v>
                </c:pt>
                <c:pt idx="43">
                  <c:v>EAF and PGM refining slags</c:v>
                </c:pt>
                <c:pt idx="44">
                  <c:v>Pd and Pt</c:v>
                </c:pt>
                <c:pt idx="45">
                  <c:v>Slags (regulated components)</c:v>
                </c:pt>
                <c:pt idx="46">
                  <c:v>Recycled materials</c:v>
                </c:pt>
                <c:pt idx="47">
                  <c:v>Output from energy recovery</c:v>
                </c:pt>
              </c:strCache>
            </c:strRef>
          </c:cat>
          <c:val>
            <c:numRef>
              <c:f>'A2-2 Uncertainties ELV'!$C$66:$C$113</c:f>
              <c:numCache>
                <c:formatCode>_(* #,##0.00_);_(* \(#,##0.00\);_(* "-"??_);_(@_)</c:formatCode>
                <c:ptCount val="48"/>
                <c:pt idx="0">
                  <c:v>230000</c:v>
                </c:pt>
                <c:pt idx="1">
                  <c:v>163298.185459931</c:v>
                </c:pt>
                <c:pt idx="2">
                  <c:v>8234.9903649669595</c:v>
                </c:pt>
                <c:pt idx="3">
                  <c:v>11864.1110836877</c:v>
                </c:pt>
                <c:pt idx="4">
                  <c:v>1384.41133150833</c:v>
                </c:pt>
                <c:pt idx="5">
                  <c:v>7014.2735387869998</c:v>
                </c:pt>
                <c:pt idx="6">
                  <c:v>38204.028221119202</c:v>
                </c:pt>
                <c:pt idx="7">
                  <c:v>120581.12277312401</c:v>
                </c:pt>
                <c:pt idx="8">
                  <c:v>42717.062686806603</c:v>
                </c:pt>
                <c:pt idx="9">
                  <c:v>2090.1037356617398</c:v>
                </c:pt>
                <c:pt idx="10">
                  <c:v>35586.798626191201</c:v>
                </c:pt>
                <c:pt idx="11">
                  <c:v>66952.119976175396</c:v>
                </c:pt>
                <c:pt idx="12">
                  <c:v>15952.100435095899</c:v>
                </c:pt>
                <c:pt idx="13">
                  <c:v>18448.2479312836</c:v>
                </c:pt>
                <c:pt idx="14">
                  <c:v>12405.9321562926</c:v>
                </c:pt>
                <c:pt idx="15">
                  <c:v>1294.86822366611</c:v>
                </c:pt>
                <c:pt idx="16">
                  <c:v>9273.9550540013606</c:v>
                </c:pt>
                <c:pt idx="17">
                  <c:v>1294.0593215629301</c:v>
                </c:pt>
                <c:pt idx="18">
                  <c:v>2089.8846274071998</c:v>
                </c:pt>
                <c:pt idx="19">
                  <c:v>6493.9136621784201</c:v>
                </c:pt>
                <c:pt idx="20">
                  <c:v>983.28540562343801</c:v>
                </c:pt>
                <c:pt idx="21">
                  <c:v>2069.7874082230001</c:v>
                </c:pt>
                <c:pt idx="22">
                  <c:v>3018.03214227126</c:v>
                </c:pt>
                <c:pt idx="23">
                  <c:v>1297.19718939262</c:v>
                </c:pt>
                <c:pt idx="24">
                  <c:v>3250.5385079377102</c:v>
                </c:pt>
                <c:pt idx="25">
                  <c:v>998.10804898608899</c:v>
                </c:pt>
                <c:pt idx="26">
                  <c:v>6322.5056864701801</c:v>
                </c:pt>
                <c:pt idx="27">
                  <c:v>6.5005439939814096</c:v>
                </c:pt>
                <c:pt idx="28">
                  <c:v>1405.1939362002499</c:v>
                </c:pt>
                <c:pt idx="29">
                  <c:v>966.848041559492</c:v>
                </c:pt>
                <c:pt idx="30">
                  <c:v>6.5003139428774803</c:v>
                </c:pt>
                <c:pt idx="31">
                  <c:v>865.49567224110297</c:v>
                </c:pt>
                <c:pt idx="32">
                  <c:v>63677.997717547703</c:v>
                </c:pt>
                <c:pt idx="33">
                  <c:v>8602.3444178043192</c:v>
                </c:pt>
                <c:pt idx="34">
                  <c:v>789.19478334194298</c:v>
                </c:pt>
                <c:pt idx="35">
                  <c:v>8726.9093506565405</c:v>
                </c:pt>
                <c:pt idx="36">
                  <c:v>659.58886509744298</c:v>
                </c:pt>
                <c:pt idx="37">
                  <c:v>5995.2448206867002</c:v>
                </c:pt>
                <c:pt idx="38">
                  <c:v>5904.00754371529</c:v>
                </c:pt>
                <c:pt idx="39">
                  <c:v>2855.7028605924602</c:v>
                </c:pt>
                <c:pt idx="40">
                  <c:v>5344.1462236601701</c:v>
                </c:pt>
                <c:pt idx="41">
                  <c:v>773.27071885837495</c:v>
                </c:pt>
                <c:pt idx="42">
                  <c:v>410.69518948560199</c:v>
                </c:pt>
                <c:pt idx="43">
                  <c:v>200.16542284011999</c:v>
                </c:pt>
                <c:pt idx="44">
                  <c:v>0.28000032422876697</c:v>
                </c:pt>
                <c:pt idx="45">
                  <c:v>159.86155077611701</c:v>
                </c:pt>
                <c:pt idx="46">
                  <c:v>4485.5630633844803</c:v>
                </c:pt>
                <c:pt idx="47">
                  <c:v>2368.8489246263998</c:v>
                </c:pt>
              </c:numCache>
            </c:numRef>
          </c:val>
          <c:extLst>
            <c:ext xmlns:c16="http://schemas.microsoft.com/office/drawing/2014/chart" uri="{C3380CC4-5D6E-409C-BE32-E72D297353CC}">
              <c16:uniqueId val="{00000000-9DED-4CF4-9A74-7D0B72EF0866}"/>
            </c:ext>
          </c:extLst>
        </c:ser>
        <c:ser>
          <c:idx val="1"/>
          <c:order val="1"/>
          <c:tx>
            <c:strRef>
              <c:f>'A2-2 Uncertainties ELV'!$D$65</c:f>
              <c:strCache>
                <c:ptCount val="1"/>
                <c:pt idx="0">
                  <c:v>Uncertainty (absolute) [kg]</c:v>
                </c:pt>
              </c:strCache>
            </c:strRef>
          </c:tx>
          <c:spPr>
            <a:solidFill>
              <a:schemeClr val="accent2"/>
            </a:solidFill>
            <a:ln>
              <a:noFill/>
            </a:ln>
            <a:effectLst/>
          </c:spPr>
          <c:invertIfNegative val="0"/>
          <c:cat>
            <c:strRef>
              <c:f>'A2-2 Uncertainties ELV'!$B$66:$B$113</c:f>
              <c:strCache>
                <c:ptCount val="48"/>
                <c:pt idx="0">
                  <c:v>ELVs</c:v>
                </c:pt>
                <c:pt idx="1">
                  <c:v>Dismantled ELVs</c:v>
                </c:pt>
                <c:pt idx="2">
                  <c:v>Iron and steel</c:v>
                </c:pt>
                <c:pt idx="3">
                  <c:v>Engines, gearboxes and Al components</c:v>
                </c:pt>
                <c:pt idx="4">
                  <c:v>Catalytic converters</c:v>
                </c:pt>
                <c:pt idx="5">
                  <c:v>Tyres, batteries, fluids, windows</c:v>
                </c:pt>
                <c:pt idx="6">
                  <c:v>Spare parts</c:v>
                </c:pt>
                <c:pt idx="7">
                  <c:v>Heavy fraction</c:v>
                </c:pt>
                <c:pt idx="8">
                  <c:v>Light fraction</c:v>
                </c:pt>
                <c:pt idx="9">
                  <c:v>Exported Al fraction</c:v>
                </c:pt>
                <c:pt idx="10">
                  <c:v>Exported Fe fraction</c:v>
                </c:pt>
                <c:pt idx="11">
                  <c:v>Domestic Fe</c:v>
                </c:pt>
                <c:pt idx="12">
                  <c:v>Non Fe fraction</c:v>
                </c:pt>
                <c:pt idx="13">
                  <c:v>Shredder fluff 1</c:v>
                </c:pt>
                <c:pt idx="14">
                  <c:v>Fines (LFP)</c:v>
                </c:pt>
                <c:pt idx="15">
                  <c:v>Domestic Al</c:v>
                </c:pt>
                <c:pt idx="16">
                  <c:v>Shredder fluff 2</c:v>
                </c:pt>
                <c:pt idx="17">
                  <c:v>Exported Al fraction</c:v>
                </c:pt>
                <c:pt idx="18">
                  <c:v>Domestic Al fractions</c:v>
                </c:pt>
                <c:pt idx="19">
                  <c:v>Residues</c:v>
                </c:pt>
                <c:pt idx="20">
                  <c:v>Exported Fe fractions</c:v>
                </c:pt>
                <c:pt idx="21">
                  <c:v>Exported Al fractions</c:v>
                </c:pt>
                <c:pt idx="22">
                  <c:v>Exported mixed fractions</c:v>
                </c:pt>
                <c:pt idx="23">
                  <c:v>Residues</c:v>
                </c:pt>
                <c:pt idx="24">
                  <c:v>Slags</c:v>
                </c:pt>
                <c:pt idx="25">
                  <c:v>Flue gas residues</c:v>
                </c:pt>
                <c:pt idx="26">
                  <c:v>To flue gas</c:v>
                </c:pt>
                <c:pt idx="27">
                  <c:v>Domestic Al fractions</c:v>
                </c:pt>
                <c:pt idx="28">
                  <c:v>Bottom ash</c:v>
                </c:pt>
                <c:pt idx="29">
                  <c:v>Exported Fe fraction</c:v>
                </c:pt>
                <c:pt idx="30">
                  <c:v>Exported Al fraction</c:v>
                </c:pt>
                <c:pt idx="31">
                  <c:v>Evaporated water</c:v>
                </c:pt>
                <c:pt idx="32">
                  <c:v>Crude steel (domestic steel production)</c:v>
                </c:pt>
                <c:pt idx="33">
                  <c:v>Slags (domestic steel production)</c:v>
                </c:pt>
                <c:pt idx="34">
                  <c:v>Dusts/Sludge</c:v>
                </c:pt>
                <c:pt idx="35">
                  <c:v>Cast Al</c:v>
                </c:pt>
                <c:pt idx="36">
                  <c:v>Slags (domestic aluminum production)</c:v>
                </c:pt>
                <c:pt idx="37">
                  <c:v>Domestic Al</c:v>
                </c:pt>
                <c:pt idx="38">
                  <c:v>Exported Al</c:v>
                </c:pt>
                <c:pt idx="39">
                  <c:v>Exported Fe</c:v>
                </c:pt>
                <c:pt idx="40">
                  <c:v>Domestic iron</c:v>
                </c:pt>
                <c:pt idx="41">
                  <c:v>Domestic steel from decannning</c:v>
                </c:pt>
                <c:pt idx="42">
                  <c:v>Exported steel from decanning</c:v>
                </c:pt>
                <c:pt idx="43">
                  <c:v>EAF and PGM refining slags</c:v>
                </c:pt>
                <c:pt idx="44">
                  <c:v>Pd and Pt</c:v>
                </c:pt>
                <c:pt idx="45">
                  <c:v>Slags (regulated components)</c:v>
                </c:pt>
                <c:pt idx="46">
                  <c:v>Recycled materials</c:v>
                </c:pt>
                <c:pt idx="47">
                  <c:v>Output from energy recovery</c:v>
                </c:pt>
              </c:strCache>
            </c:strRef>
          </c:cat>
          <c:val>
            <c:numRef>
              <c:f>'A2-2 Uncertainties ELV'!$D$66:$D$113</c:f>
              <c:numCache>
                <c:formatCode>_(* #,##0.00_);_(* \(#,##0.00\);_(* "-"??_);_(@_)</c:formatCode>
                <c:ptCount val="48"/>
                <c:pt idx="0">
                  <c:v>35544.92754513854</c:v>
                </c:pt>
                <c:pt idx="1">
                  <c:v>22932.892928757792</c:v>
                </c:pt>
                <c:pt idx="2">
                  <c:v>1326.1818681962902</c:v>
                </c:pt>
                <c:pt idx="3">
                  <c:v>1910.6238506833267</c:v>
                </c:pt>
                <c:pt idx="4">
                  <c:v>222.94879831097376</c:v>
                </c:pt>
                <c:pt idx="5">
                  <c:v>1129.5948110979568</c:v>
                </c:pt>
                <c:pt idx="6">
                  <c:v>6152.4649420899395</c:v>
                </c:pt>
                <c:pt idx="7">
                  <c:v>23476.524491169097</c:v>
                </c:pt>
                <c:pt idx="8">
                  <c:v>8316.7924240057164</c:v>
                </c:pt>
                <c:pt idx="9">
                  <c:v>308.4105009699345</c:v>
                </c:pt>
                <c:pt idx="10">
                  <c:v>5251.0993616998367</c:v>
                </c:pt>
                <c:pt idx="11">
                  <c:v>10782.124035923227</c:v>
                </c:pt>
                <c:pt idx="12">
                  <c:v>4569.4550617745008</c:v>
                </c:pt>
                <c:pt idx="13">
                  <c:v>3874.9459278110367</c:v>
                </c:pt>
                <c:pt idx="14">
                  <c:v>2479.8562718881981</c:v>
                </c:pt>
                <c:pt idx="15">
                  <c:v>337.735389332171</c:v>
                </c:pt>
                <c:pt idx="16">
                  <c:v>1947.9396908075259</c:v>
                </c:pt>
                <c:pt idx="17">
                  <c:v>258.67311575982558</c:v>
                </c:pt>
                <c:pt idx="18">
                  <c:v>417.75284883931295</c:v>
                </c:pt>
                <c:pt idx="19">
                  <c:v>1889.6715962898345</c:v>
                </c:pt>
                <c:pt idx="20">
                  <c:v>256.46646757045227</c:v>
                </c:pt>
                <c:pt idx="21">
                  <c:v>539.85451443997454</c:v>
                </c:pt>
                <c:pt idx="22">
                  <c:v>878.22073292342282</c:v>
                </c:pt>
                <c:pt idx="23">
                  <c:v>377.47294021767829</c:v>
                </c:pt>
                <c:pt idx="24">
                  <c:v>496.29555369068976</c:v>
                </c:pt>
                <c:pt idx="25">
                  <c:v>152.39216074660868</c:v>
                </c:pt>
                <c:pt idx="26">
                  <c:v>965.32665363501133</c:v>
                </c:pt>
                <c:pt idx="27">
                  <c:v>1.8620710030282361</c:v>
                </c:pt>
                <c:pt idx="28">
                  <c:v>214.54645158219023</c:v>
                </c:pt>
                <c:pt idx="29">
                  <c:v>247.26958369374691</c:v>
                </c:pt>
                <c:pt idx="30">
                  <c:v>1.6624431693954784</c:v>
                </c:pt>
                <c:pt idx="31">
                  <c:v>221.3489042379455</c:v>
                </c:pt>
                <c:pt idx="32">
                  <c:v>9396.1667269177033</c:v>
                </c:pt>
                <c:pt idx="33">
                  <c:v>1269.3405146089442</c:v>
                </c:pt>
                <c:pt idx="34">
                  <c:v>116.45161641524308</c:v>
                </c:pt>
                <c:pt idx="35">
                  <c:v>1287.7210058203418</c:v>
                </c:pt>
                <c:pt idx="36">
                  <c:v>97.327289956011484</c:v>
                </c:pt>
                <c:pt idx="37">
                  <c:v>1426.3486477661597</c:v>
                </c:pt>
                <c:pt idx="38">
                  <c:v>1404.6420835596407</c:v>
                </c:pt>
                <c:pt idx="39">
                  <c:v>679.40977148643935</c:v>
                </c:pt>
                <c:pt idx="40">
                  <c:v>1271.4436136586683</c:v>
                </c:pt>
                <c:pt idx="41">
                  <c:v>118.06376655174486</c:v>
                </c:pt>
                <c:pt idx="42">
                  <c:v>62.705362808692335</c:v>
                </c:pt>
                <c:pt idx="43">
                  <c:v>30.561462082538124</c:v>
                </c:pt>
                <c:pt idx="44">
                  <c:v>4.2750736718653107E-2</c:v>
                </c:pt>
                <c:pt idx="45">
                  <c:v>46.518301221013935</c:v>
                </c:pt>
                <c:pt idx="46">
                  <c:v>1305.2592866473478</c:v>
                </c:pt>
                <c:pt idx="47">
                  <c:v>689.31414269320771</c:v>
                </c:pt>
              </c:numCache>
            </c:numRef>
          </c:val>
          <c:extLst>
            <c:ext xmlns:c16="http://schemas.microsoft.com/office/drawing/2014/chart" uri="{C3380CC4-5D6E-409C-BE32-E72D297353CC}">
              <c16:uniqueId val="{00000001-9DED-4CF4-9A74-7D0B72EF0866}"/>
            </c:ext>
          </c:extLst>
        </c:ser>
        <c:dLbls>
          <c:showLegendKey val="0"/>
          <c:showVal val="0"/>
          <c:showCatName val="0"/>
          <c:showSerName val="0"/>
          <c:showPercent val="0"/>
          <c:showBubbleSize val="0"/>
        </c:dLbls>
        <c:gapWidth val="83"/>
        <c:overlap val="46"/>
        <c:axId val="664218928"/>
        <c:axId val="664226472"/>
      </c:barChart>
      <c:barChart>
        <c:barDir val="col"/>
        <c:grouping val="clustered"/>
        <c:varyColors val="0"/>
        <c:ser>
          <c:idx val="2"/>
          <c:order val="2"/>
          <c:tx>
            <c:strRef>
              <c:f>'A2-2 Uncertainties ELV'!$E$65</c:f>
              <c:strCache>
                <c:ptCount val="1"/>
                <c:pt idx="0">
                  <c:v>Relative uncertainty [%]</c:v>
                </c:pt>
              </c:strCache>
            </c:strRef>
          </c:tx>
          <c:spPr>
            <a:solidFill>
              <a:schemeClr val="bg1">
                <a:lumMod val="75000"/>
              </a:schemeClr>
            </a:solidFill>
            <a:ln>
              <a:noFill/>
            </a:ln>
            <a:effectLst/>
          </c:spPr>
          <c:invertIfNegative val="0"/>
          <c:cat>
            <c:strRef>
              <c:f>'A2-2 Uncertainties ELV'!$B$66:$B$113</c:f>
              <c:strCache>
                <c:ptCount val="48"/>
                <c:pt idx="0">
                  <c:v>ELVs</c:v>
                </c:pt>
                <c:pt idx="1">
                  <c:v>Dismantled ELVs</c:v>
                </c:pt>
                <c:pt idx="2">
                  <c:v>Iron and steel</c:v>
                </c:pt>
                <c:pt idx="3">
                  <c:v>Engines, gearboxes and Al components</c:v>
                </c:pt>
                <c:pt idx="4">
                  <c:v>Catalytic converters</c:v>
                </c:pt>
                <c:pt idx="5">
                  <c:v>Tyres, batteries, fluids, windows</c:v>
                </c:pt>
                <c:pt idx="6">
                  <c:v>Spare parts</c:v>
                </c:pt>
                <c:pt idx="7">
                  <c:v>Heavy fraction</c:v>
                </c:pt>
                <c:pt idx="8">
                  <c:v>Light fraction</c:v>
                </c:pt>
                <c:pt idx="9">
                  <c:v>Exported Al fraction</c:v>
                </c:pt>
                <c:pt idx="10">
                  <c:v>Exported Fe fraction</c:v>
                </c:pt>
                <c:pt idx="11">
                  <c:v>Domestic Fe</c:v>
                </c:pt>
                <c:pt idx="12">
                  <c:v>Non Fe fraction</c:v>
                </c:pt>
                <c:pt idx="13">
                  <c:v>Shredder fluff 1</c:v>
                </c:pt>
                <c:pt idx="14">
                  <c:v>Fines (LFP)</c:v>
                </c:pt>
                <c:pt idx="15">
                  <c:v>Domestic Al</c:v>
                </c:pt>
                <c:pt idx="16">
                  <c:v>Shredder fluff 2</c:v>
                </c:pt>
                <c:pt idx="17">
                  <c:v>Exported Al fraction</c:v>
                </c:pt>
                <c:pt idx="18">
                  <c:v>Domestic Al fractions</c:v>
                </c:pt>
                <c:pt idx="19">
                  <c:v>Residues</c:v>
                </c:pt>
                <c:pt idx="20">
                  <c:v>Exported Fe fractions</c:v>
                </c:pt>
                <c:pt idx="21">
                  <c:v>Exported Al fractions</c:v>
                </c:pt>
                <c:pt idx="22">
                  <c:v>Exported mixed fractions</c:v>
                </c:pt>
                <c:pt idx="23">
                  <c:v>Residues</c:v>
                </c:pt>
                <c:pt idx="24">
                  <c:v>Slags</c:v>
                </c:pt>
                <c:pt idx="25">
                  <c:v>Flue gas residues</c:v>
                </c:pt>
                <c:pt idx="26">
                  <c:v>To flue gas</c:v>
                </c:pt>
                <c:pt idx="27">
                  <c:v>Domestic Al fractions</c:v>
                </c:pt>
                <c:pt idx="28">
                  <c:v>Bottom ash</c:v>
                </c:pt>
                <c:pt idx="29">
                  <c:v>Exported Fe fraction</c:v>
                </c:pt>
                <c:pt idx="30">
                  <c:v>Exported Al fraction</c:v>
                </c:pt>
                <c:pt idx="31">
                  <c:v>Evaporated water</c:v>
                </c:pt>
                <c:pt idx="32">
                  <c:v>Crude steel (domestic steel production)</c:v>
                </c:pt>
                <c:pt idx="33">
                  <c:v>Slags (domestic steel production)</c:v>
                </c:pt>
                <c:pt idx="34">
                  <c:v>Dusts/Sludge</c:v>
                </c:pt>
                <c:pt idx="35">
                  <c:v>Cast Al</c:v>
                </c:pt>
                <c:pt idx="36">
                  <c:v>Slags (domestic aluminum production)</c:v>
                </c:pt>
                <c:pt idx="37">
                  <c:v>Domestic Al</c:v>
                </c:pt>
                <c:pt idx="38">
                  <c:v>Exported Al</c:v>
                </c:pt>
                <c:pt idx="39">
                  <c:v>Exported Fe</c:v>
                </c:pt>
                <c:pt idx="40">
                  <c:v>Domestic iron</c:v>
                </c:pt>
                <c:pt idx="41">
                  <c:v>Domestic steel from decannning</c:v>
                </c:pt>
                <c:pt idx="42">
                  <c:v>Exported steel from decanning</c:v>
                </c:pt>
                <c:pt idx="43">
                  <c:v>EAF and PGM refining slags</c:v>
                </c:pt>
                <c:pt idx="44">
                  <c:v>Pd and Pt</c:v>
                </c:pt>
                <c:pt idx="45">
                  <c:v>Slags (regulated components)</c:v>
                </c:pt>
                <c:pt idx="46">
                  <c:v>Recycled materials</c:v>
                </c:pt>
                <c:pt idx="47">
                  <c:v>Output from energy recovery</c:v>
                </c:pt>
              </c:strCache>
            </c:strRef>
          </c:cat>
          <c:val>
            <c:numRef>
              <c:f>'A2-2 Uncertainties ELV'!$E$66:$E$113</c:f>
              <c:numCache>
                <c:formatCode>0.00%</c:formatCode>
                <c:ptCount val="48"/>
                <c:pt idx="0">
                  <c:v>0.15454316323973277</c:v>
                </c:pt>
                <c:pt idx="1">
                  <c:v>0.14043568741543003</c:v>
                </c:pt>
                <c:pt idx="2">
                  <c:v>0.16104230963500479</c:v>
                </c:pt>
                <c:pt idx="3">
                  <c:v>0.16104230963500479</c:v>
                </c:pt>
                <c:pt idx="4">
                  <c:v>0.16104230963500479</c:v>
                </c:pt>
                <c:pt idx="5">
                  <c:v>0.16104230963500479</c:v>
                </c:pt>
                <c:pt idx="6">
                  <c:v>0.16104230963500479</c:v>
                </c:pt>
                <c:pt idx="7">
                  <c:v>0.19469485729819158</c:v>
                </c:pt>
                <c:pt idx="8">
                  <c:v>0.19469485729819158</c:v>
                </c:pt>
                <c:pt idx="9">
                  <c:v>0.14755750908807874</c:v>
                </c:pt>
                <c:pt idx="10">
                  <c:v>0.14755750908807874</c:v>
                </c:pt>
                <c:pt idx="11">
                  <c:v>0.16104230963500479</c:v>
                </c:pt>
                <c:pt idx="12">
                  <c:v>0.28644848873452011</c:v>
                </c:pt>
                <c:pt idx="13">
                  <c:v>0.21004411596399356</c:v>
                </c:pt>
                <c:pt idx="14">
                  <c:v>0.19989278037687419</c:v>
                </c:pt>
                <c:pt idx="15">
                  <c:v>0.26082606952540233</c:v>
                </c:pt>
                <c:pt idx="16">
                  <c:v>0.21004411596399356</c:v>
                </c:pt>
                <c:pt idx="17">
                  <c:v>0.19989278037687419</c:v>
                </c:pt>
                <c:pt idx="18">
                  <c:v>0.19989278037687419</c:v>
                </c:pt>
                <c:pt idx="19">
                  <c:v>0.29099117952484965</c:v>
                </c:pt>
                <c:pt idx="20">
                  <c:v>0.26082606952540233</c:v>
                </c:pt>
                <c:pt idx="21">
                  <c:v>0.26082606952540233</c:v>
                </c:pt>
                <c:pt idx="22">
                  <c:v>0.29099117952484965</c:v>
                </c:pt>
                <c:pt idx="23">
                  <c:v>0.29099117952484965</c:v>
                </c:pt>
                <c:pt idx="24">
                  <c:v>0.15268102576811565</c:v>
                </c:pt>
                <c:pt idx="25">
                  <c:v>0.15268102576811565</c:v>
                </c:pt>
                <c:pt idx="26">
                  <c:v>0.15268102576811565</c:v>
                </c:pt>
                <c:pt idx="27">
                  <c:v>0.28644848873452011</c:v>
                </c:pt>
                <c:pt idx="28">
                  <c:v>0.15268102576811565</c:v>
                </c:pt>
                <c:pt idx="29">
                  <c:v>0.25574813524461376</c:v>
                </c:pt>
                <c:pt idx="30">
                  <c:v>0.25574813524461376</c:v>
                </c:pt>
                <c:pt idx="31">
                  <c:v>0.25574813524461376</c:v>
                </c:pt>
                <c:pt idx="32">
                  <c:v>0.14755750908807874</c:v>
                </c:pt>
                <c:pt idx="33">
                  <c:v>0.14755750908807874</c:v>
                </c:pt>
                <c:pt idx="34">
                  <c:v>0.14755750908807874</c:v>
                </c:pt>
                <c:pt idx="35">
                  <c:v>0.14755750908807874</c:v>
                </c:pt>
                <c:pt idx="36">
                  <c:v>0.14755750908807874</c:v>
                </c:pt>
                <c:pt idx="37">
                  <c:v>0.23791332805034385</c:v>
                </c:pt>
                <c:pt idx="38">
                  <c:v>0.23791332805034385</c:v>
                </c:pt>
                <c:pt idx="39">
                  <c:v>0.23791332805034385</c:v>
                </c:pt>
                <c:pt idx="40">
                  <c:v>0.23791332805034385</c:v>
                </c:pt>
                <c:pt idx="41">
                  <c:v>0.15268102576811565</c:v>
                </c:pt>
                <c:pt idx="42">
                  <c:v>0.15268102576811565</c:v>
                </c:pt>
                <c:pt idx="43">
                  <c:v>0.15268102576811565</c:v>
                </c:pt>
                <c:pt idx="44">
                  <c:v>0.15268102576811565</c:v>
                </c:pt>
                <c:pt idx="45">
                  <c:v>0.29099117952484965</c:v>
                </c:pt>
                <c:pt idx="46">
                  <c:v>0.29099117952484965</c:v>
                </c:pt>
                <c:pt idx="47">
                  <c:v>0.29099117952484965</c:v>
                </c:pt>
              </c:numCache>
            </c:numRef>
          </c:val>
          <c:extLst>
            <c:ext xmlns:c16="http://schemas.microsoft.com/office/drawing/2014/chart" uri="{C3380CC4-5D6E-409C-BE32-E72D297353CC}">
              <c16:uniqueId val="{00000002-9DED-4CF4-9A74-7D0B72EF0866}"/>
            </c:ext>
          </c:extLst>
        </c:ser>
        <c:dLbls>
          <c:showLegendKey val="0"/>
          <c:showVal val="0"/>
          <c:showCatName val="0"/>
          <c:showSerName val="0"/>
          <c:showPercent val="0"/>
          <c:showBubbleSize val="0"/>
        </c:dLbls>
        <c:gapWidth val="495"/>
        <c:overlap val="-38"/>
        <c:axId val="664237952"/>
        <c:axId val="664234016"/>
      </c:barChart>
      <c:catAx>
        <c:axId val="6642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26472"/>
        <c:crosses val="autoZero"/>
        <c:auto val="1"/>
        <c:lblAlgn val="ctr"/>
        <c:lblOffset val="100"/>
        <c:noMultiLvlLbl val="0"/>
      </c:catAx>
      <c:valAx>
        <c:axId val="66422647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18928"/>
        <c:crosses val="autoZero"/>
        <c:crossBetween val="between"/>
      </c:valAx>
      <c:valAx>
        <c:axId val="6642340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37952"/>
        <c:crosses val="max"/>
        <c:crossBetween val="between"/>
      </c:valAx>
      <c:catAx>
        <c:axId val="664237952"/>
        <c:scaling>
          <c:orientation val="minMax"/>
        </c:scaling>
        <c:delete val="1"/>
        <c:axPos val="b"/>
        <c:numFmt formatCode="General" sourceLinked="1"/>
        <c:majorTickMark val="out"/>
        <c:minorTickMark val="none"/>
        <c:tickLblPos val="nextTo"/>
        <c:crossAx val="664234016"/>
        <c:crosses val="autoZero"/>
        <c:auto val="1"/>
        <c:lblAlgn val="ctr"/>
        <c:lblOffset val="100"/>
        <c:noMultiLvlLbl val="0"/>
      </c:catAx>
      <c:spPr>
        <a:noFill/>
        <a:ln>
          <a:noFill/>
        </a:ln>
        <a:effectLst/>
      </c:spPr>
    </c:plotArea>
    <c:legend>
      <c:legendPos val="b"/>
      <c:layout>
        <c:manualLayout>
          <c:xMode val="edge"/>
          <c:yMode val="edge"/>
          <c:x val="0.53476504076515607"/>
          <c:y val="9.3757206254160536E-2"/>
          <c:w val="0.33767354127519145"/>
          <c:h val="3.18023403687643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'A2-6 RSE components'!$C$44</c:f>
              <c:strCache>
                <c:ptCount val="1"/>
                <c:pt idx="0">
                  <c:v>Iron</c:v>
                </c:pt>
              </c:strCache>
            </c:strRef>
          </c:tx>
          <c:spPr>
            <a:solidFill>
              <a:schemeClr val="accent2">
                <a:lumMod val="75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components'!$C$45:$C$55</c:f>
              <c:numCache>
                <c:formatCode>_(* #,##0.0000_);_(* \(#,##0.0000\);_(* "-"??_);_(@_)</c:formatCode>
                <c:ptCount val="11"/>
                <c:pt idx="0">
                  <c:v>0</c:v>
                </c:pt>
                <c:pt idx="1">
                  <c:v>0</c:v>
                </c:pt>
                <c:pt idx="2">
                  <c:v>1.4486532193953489E-3</c:v>
                </c:pt>
                <c:pt idx="3">
                  <c:v>0</c:v>
                </c:pt>
                <c:pt idx="4">
                  <c:v>0</c:v>
                </c:pt>
                <c:pt idx="5">
                  <c:v>0</c:v>
                </c:pt>
                <c:pt idx="6">
                  <c:v>0</c:v>
                </c:pt>
                <c:pt idx="7">
                  <c:v>3.4057167255335695E-3</c:v>
                </c:pt>
                <c:pt idx="8">
                  <c:v>7.8476417640124477E-3</c:v>
                </c:pt>
                <c:pt idx="9">
                  <c:v>0</c:v>
                </c:pt>
                <c:pt idx="10">
                  <c:v>0</c:v>
                </c:pt>
              </c:numCache>
            </c:numRef>
          </c:val>
          <c:extLst>
            <c:ext xmlns:c16="http://schemas.microsoft.com/office/drawing/2014/chart" uri="{C3380CC4-5D6E-409C-BE32-E72D297353CC}">
              <c16:uniqueId val="{00000000-67D5-40E2-ABBD-E7AF6570C762}"/>
            </c:ext>
          </c:extLst>
        </c:ser>
        <c:ser>
          <c:idx val="1"/>
          <c:order val="1"/>
          <c:tx>
            <c:strRef>
              <c:f>'A2-6 RSE components'!$D$44</c:f>
              <c:strCache>
                <c:ptCount val="1"/>
                <c:pt idx="0">
                  <c:v>Steel</c:v>
                </c:pt>
              </c:strCache>
            </c:strRef>
          </c:tx>
          <c:spPr>
            <a:solidFill>
              <a:schemeClr val="accent2">
                <a:lumMod val="50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components'!$D$45:$D$55</c:f>
              <c:numCache>
                <c:formatCode>_(* #,##0.0000_);_(* \(#,##0.0000\);_(* "-"??_);_(@_)</c:formatCode>
                <c:ptCount val="11"/>
                <c:pt idx="0">
                  <c:v>1.4807049992534302E-2</c:v>
                </c:pt>
                <c:pt idx="1">
                  <c:v>3.6395927636769586E-3</c:v>
                </c:pt>
                <c:pt idx="2">
                  <c:v>1.8362244582580073E-3</c:v>
                </c:pt>
                <c:pt idx="3">
                  <c:v>1.6838249674927591E-3</c:v>
                </c:pt>
                <c:pt idx="4">
                  <c:v>8.7517154345748693E-3</c:v>
                </c:pt>
                <c:pt idx="5">
                  <c:v>0</c:v>
                </c:pt>
                <c:pt idx="6">
                  <c:v>0</c:v>
                </c:pt>
                <c:pt idx="7">
                  <c:v>1.4146373556322913E-2</c:v>
                </c:pt>
                <c:pt idx="8">
                  <c:v>8.2133611691778373E-3</c:v>
                </c:pt>
                <c:pt idx="9">
                  <c:v>2.1868202399277291E-3</c:v>
                </c:pt>
                <c:pt idx="10">
                  <c:v>4.7915401978441546E-3</c:v>
                </c:pt>
              </c:numCache>
            </c:numRef>
          </c:val>
          <c:extLst>
            <c:ext xmlns:c16="http://schemas.microsoft.com/office/drawing/2014/chart" uri="{C3380CC4-5D6E-409C-BE32-E72D297353CC}">
              <c16:uniqueId val="{00000001-67D5-40E2-ABBD-E7AF6570C762}"/>
            </c:ext>
          </c:extLst>
        </c:ser>
        <c:ser>
          <c:idx val="2"/>
          <c:order val="2"/>
          <c:tx>
            <c:strRef>
              <c:f>'A2-6 RSE components'!$E$44</c:f>
              <c:strCache>
                <c:ptCount val="1"/>
                <c:pt idx="0">
                  <c:v>Plastic</c:v>
                </c:pt>
              </c:strCache>
            </c:strRef>
          </c:tx>
          <c:spPr>
            <a:solidFill>
              <a:schemeClr val="accent6">
                <a:lumMod val="60000"/>
                <a:lumOff val="40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components'!$E$45:$E$55</c:f>
              <c:numCache>
                <c:formatCode>_(* #,##0.0000_);_(* \(#,##0.0000\);_(* "-"??_);_(@_)</c:formatCode>
                <c:ptCount val="11"/>
                <c:pt idx="0">
                  <c:v>1.4189362366194742E-2</c:v>
                </c:pt>
                <c:pt idx="1">
                  <c:v>0</c:v>
                </c:pt>
                <c:pt idx="2">
                  <c:v>0</c:v>
                </c:pt>
                <c:pt idx="3">
                  <c:v>3.5088376411096115E-3</c:v>
                </c:pt>
                <c:pt idx="4">
                  <c:v>1.2472571525289576E-2</c:v>
                </c:pt>
                <c:pt idx="5">
                  <c:v>3.3087931424241585E-4</c:v>
                </c:pt>
                <c:pt idx="6">
                  <c:v>9.4913421645161679E-3</c:v>
                </c:pt>
                <c:pt idx="7">
                  <c:v>5.3083157805806072E-3</c:v>
                </c:pt>
                <c:pt idx="8">
                  <c:v>0</c:v>
                </c:pt>
                <c:pt idx="9">
                  <c:v>1.6438285290537181E-3</c:v>
                </c:pt>
                <c:pt idx="10">
                  <c:v>5.6774137728340789E-3</c:v>
                </c:pt>
              </c:numCache>
            </c:numRef>
          </c:val>
          <c:extLst>
            <c:ext xmlns:c16="http://schemas.microsoft.com/office/drawing/2014/chart" uri="{C3380CC4-5D6E-409C-BE32-E72D297353CC}">
              <c16:uniqueId val="{00000002-67D5-40E2-ABBD-E7AF6570C762}"/>
            </c:ext>
          </c:extLst>
        </c:ser>
        <c:ser>
          <c:idx val="3"/>
          <c:order val="3"/>
          <c:tx>
            <c:strRef>
              <c:f>'A2-6 RSE components'!$F$44</c:f>
              <c:strCache>
                <c:ptCount val="1"/>
                <c:pt idx="0">
                  <c:v>Copper</c:v>
                </c:pt>
              </c:strCache>
            </c:strRef>
          </c:tx>
          <c:spPr>
            <a:solidFill>
              <a:schemeClr val="accent2"/>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components'!$F$45:$F$55</c:f>
              <c:numCache>
                <c:formatCode>_(* #,##0.0000_);_(* \(#,##0.0000\);_(* "-"??_);_(@_)</c:formatCode>
                <c:ptCount val="11"/>
                <c:pt idx="0">
                  <c:v>6.0399495692313992E-3</c:v>
                </c:pt>
                <c:pt idx="1">
                  <c:v>0</c:v>
                </c:pt>
                <c:pt idx="2">
                  <c:v>0</c:v>
                </c:pt>
                <c:pt idx="3">
                  <c:v>2.6968165670750326E-3</c:v>
                </c:pt>
                <c:pt idx="4">
                  <c:v>0</c:v>
                </c:pt>
                <c:pt idx="5">
                  <c:v>0</c:v>
                </c:pt>
                <c:pt idx="6">
                  <c:v>1.5777829269257779E-2</c:v>
                </c:pt>
                <c:pt idx="7">
                  <c:v>2.19698118972463E-2</c:v>
                </c:pt>
                <c:pt idx="8">
                  <c:v>0</c:v>
                </c:pt>
                <c:pt idx="9">
                  <c:v>0</c:v>
                </c:pt>
                <c:pt idx="10">
                  <c:v>2.9569629947565302E-3</c:v>
                </c:pt>
              </c:numCache>
            </c:numRef>
          </c:val>
          <c:extLst>
            <c:ext xmlns:c16="http://schemas.microsoft.com/office/drawing/2014/chart" uri="{C3380CC4-5D6E-409C-BE32-E72D297353CC}">
              <c16:uniqueId val="{00000003-67D5-40E2-ABBD-E7AF6570C762}"/>
            </c:ext>
          </c:extLst>
        </c:ser>
        <c:ser>
          <c:idx val="4"/>
          <c:order val="4"/>
          <c:tx>
            <c:strRef>
              <c:f>'A2-6 RSE components'!$G$44</c:f>
              <c:strCache>
                <c:ptCount val="1"/>
                <c:pt idx="0">
                  <c:v>Glass</c:v>
                </c:pt>
              </c:strCache>
            </c:strRef>
          </c:tx>
          <c:spPr>
            <a:solidFill>
              <a:srgbClr val="54BAC8"/>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components'!$G$45:$G$55</c:f>
              <c:numCache>
                <c:formatCode>_(* #,##0.0000_);_(* \(#,##0.0000\);_(* "-"??_);_(@_)</c:formatCode>
                <c:ptCount val="11"/>
                <c:pt idx="0">
                  <c:v>0</c:v>
                </c:pt>
                <c:pt idx="1">
                  <c:v>0</c:v>
                </c:pt>
                <c:pt idx="2">
                  <c:v>0</c:v>
                </c:pt>
                <c:pt idx="3">
                  <c:v>0</c:v>
                </c:pt>
                <c:pt idx="4">
                  <c:v>1.3671500375779083E-2</c:v>
                </c:pt>
                <c:pt idx="5">
                  <c:v>0</c:v>
                </c:pt>
                <c:pt idx="6">
                  <c:v>0</c:v>
                </c:pt>
                <c:pt idx="7">
                  <c:v>0</c:v>
                </c:pt>
                <c:pt idx="8">
                  <c:v>0</c:v>
                </c:pt>
                <c:pt idx="9">
                  <c:v>0</c:v>
                </c:pt>
                <c:pt idx="10">
                  <c:v>0</c:v>
                </c:pt>
              </c:numCache>
            </c:numRef>
          </c:val>
          <c:extLst>
            <c:ext xmlns:c16="http://schemas.microsoft.com/office/drawing/2014/chart" uri="{C3380CC4-5D6E-409C-BE32-E72D297353CC}">
              <c16:uniqueId val="{00000004-67D5-40E2-ABBD-E7AF6570C762}"/>
            </c:ext>
          </c:extLst>
        </c:ser>
        <c:ser>
          <c:idx val="5"/>
          <c:order val="5"/>
          <c:tx>
            <c:strRef>
              <c:f>'A2-6 RSE components'!$H$44</c:f>
              <c:strCache>
                <c:ptCount val="1"/>
                <c:pt idx="0">
                  <c:v>Aluminum</c:v>
                </c:pt>
              </c:strCache>
            </c:strRef>
          </c:tx>
          <c:spPr>
            <a:solidFill>
              <a:schemeClr val="accent3"/>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components'!$H$45:$H$55</c:f>
              <c:numCache>
                <c:formatCode>_(* #,##0.0000_);_(* \(#,##0.0000\);_(* "-"??_);_(@_)</c:formatCode>
                <c:ptCount val="11"/>
                <c:pt idx="0">
                  <c:v>8.1708425117458638E-3</c:v>
                </c:pt>
                <c:pt idx="1">
                  <c:v>0</c:v>
                </c:pt>
                <c:pt idx="2">
                  <c:v>0</c:v>
                </c:pt>
                <c:pt idx="3">
                  <c:v>0</c:v>
                </c:pt>
                <c:pt idx="4">
                  <c:v>0</c:v>
                </c:pt>
                <c:pt idx="5">
                  <c:v>0</c:v>
                </c:pt>
                <c:pt idx="6">
                  <c:v>1.2735573868450957E-2</c:v>
                </c:pt>
                <c:pt idx="7">
                  <c:v>2.0313127940919974E-2</c:v>
                </c:pt>
                <c:pt idx="8">
                  <c:v>0</c:v>
                </c:pt>
                <c:pt idx="9">
                  <c:v>2.6487195610922988E-3</c:v>
                </c:pt>
                <c:pt idx="10">
                  <c:v>0</c:v>
                </c:pt>
              </c:numCache>
            </c:numRef>
          </c:val>
          <c:extLst>
            <c:ext xmlns:c16="http://schemas.microsoft.com/office/drawing/2014/chart" uri="{C3380CC4-5D6E-409C-BE32-E72D297353CC}">
              <c16:uniqueId val="{00000005-67D5-40E2-ABBD-E7AF6570C762}"/>
            </c:ext>
          </c:extLst>
        </c:ser>
        <c:ser>
          <c:idx val="6"/>
          <c:order val="6"/>
          <c:tx>
            <c:strRef>
              <c:f>'A2-6 RSE components'!$I$44</c:f>
              <c:strCache>
                <c:ptCount val="1"/>
                <c:pt idx="0">
                  <c:v>Cast aluminum</c:v>
                </c:pt>
              </c:strCache>
            </c:strRef>
          </c:tx>
          <c:spPr>
            <a:solidFill>
              <a:schemeClr val="bg2">
                <a:lumMod val="90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components'!$I$45:$I$55</c:f>
              <c:numCache>
                <c:formatCode>_(* #,##0.0000_);_(* \(#,##0.0000\);_(* "-"??_);_(@_)</c:formatCode>
                <c:ptCount val="11"/>
                <c:pt idx="0">
                  <c:v>0</c:v>
                </c:pt>
                <c:pt idx="1">
                  <c:v>0</c:v>
                </c:pt>
                <c:pt idx="2">
                  <c:v>0</c:v>
                </c:pt>
                <c:pt idx="3">
                  <c:v>0</c:v>
                </c:pt>
                <c:pt idx="4">
                  <c:v>0</c:v>
                </c:pt>
                <c:pt idx="5">
                  <c:v>0</c:v>
                </c:pt>
                <c:pt idx="6">
                  <c:v>0</c:v>
                </c:pt>
                <c:pt idx="7">
                  <c:v>0</c:v>
                </c:pt>
                <c:pt idx="8">
                  <c:v>8.2971827658063352E-3</c:v>
                </c:pt>
                <c:pt idx="9">
                  <c:v>0</c:v>
                </c:pt>
                <c:pt idx="10">
                  <c:v>0</c:v>
                </c:pt>
              </c:numCache>
            </c:numRef>
          </c:val>
          <c:extLst>
            <c:ext xmlns:c16="http://schemas.microsoft.com/office/drawing/2014/chart" uri="{C3380CC4-5D6E-409C-BE32-E72D297353CC}">
              <c16:uniqueId val="{00000006-67D5-40E2-ABBD-E7AF6570C762}"/>
            </c:ext>
          </c:extLst>
        </c:ser>
        <c:ser>
          <c:idx val="7"/>
          <c:order val="7"/>
          <c:tx>
            <c:strRef>
              <c:f>'A2-6 RSE components'!$J$44</c:f>
              <c:strCache>
                <c:ptCount val="1"/>
                <c:pt idx="0">
                  <c:v>Paint</c:v>
                </c:pt>
              </c:strCache>
            </c:strRef>
          </c:tx>
          <c:spPr>
            <a:solidFill>
              <a:srgbClr val="C00DC9"/>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components'!$J$45:$J$55</c:f>
              <c:numCache>
                <c:formatCode>_(* #,##0.0000_);_(* \(#,##0.0000\);_(* "-"??_);_(@_)</c:formatCode>
                <c:ptCount val="11"/>
                <c:pt idx="0">
                  <c:v>6.1367882551199215E-3</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7-67D5-40E2-ABBD-E7AF6570C762}"/>
            </c:ext>
          </c:extLst>
        </c:ser>
        <c:ser>
          <c:idx val="8"/>
          <c:order val="8"/>
          <c:tx>
            <c:strRef>
              <c:f>'A2-6 RSE components'!$K$44</c:f>
              <c:strCache>
                <c:ptCount val="1"/>
                <c:pt idx="0">
                  <c:v>Rubber</c:v>
                </c:pt>
              </c:strCache>
            </c:strRef>
          </c:tx>
          <c:spPr>
            <a:solidFill>
              <a:schemeClr val="accent6">
                <a:lumMod val="75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components'!$K$45:$K$55</c:f>
              <c:numCache>
                <c:formatCode>_(* #,##0.0000_);_(* \(#,##0.0000\);_(* "-"??_);_(@_)</c:formatCode>
                <c:ptCount val="11"/>
                <c:pt idx="0">
                  <c:v>3.4888757426260473E-3</c:v>
                </c:pt>
                <c:pt idx="1">
                  <c:v>4.3980252802721395E-3</c:v>
                </c:pt>
                <c:pt idx="2">
                  <c:v>0</c:v>
                </c:pt>
                <c:pt idx="3">
                  <c:v>0</c:v>
                </c:pt>
                <c:pt idx="4">
                  <c:v>0</c:v>
                </c:pt>
                <c:pt idx="5">
                  <c:v>0</c:v>
                </c:pt>
                <c:pt idx="6">
                  <c:v>0</c:v>
                </c:pt>
                <c:pt idx="7">
                  <c:v>2.9179024361331348E-3</c:v>
                </c:pt>
                <c:pt idx="8">
                  <c:v>0</c:v>
                </c:pt>
                <c:pt idx="9">
                  <c:v>0</c:v>
                </c:pt>
                <c:pt idx="10">
                  <c:v>0</c:v>
                </c:pt>
              </c:numCache>
            </c:numRef>
          </c:val>
          <c:extLst>
            <c:ext xmlns:c16="http://schemas.microsoft.com/office/drawing/2014/chart" uri="{C3380CC4-5D6E-409C-BE32-E72D297353CC}">
              <c16:uniqueId val="{00000008-67D5-40E2-ABBD-E7AF6570C762}"/>
            </c:ext>
          </c:extLst>
        </c:ser>
        <c:ser>
          <c:idx val="9"/>
          <c:order val="9"/>
          <c:tx>
            <c:strRef>
              <c:f>'A2-6 RSE components'!$L$44</c:f>
              <c:strCache>
                <c:ptCount val="1"/>
                <c:pt idx="0">
                  <c:v>Carbon black</c:v>
                </c:pt>
              </c:strCache>
            </c:strRef>
          </c:tx>
          <c:spPr>
            <a:solidFill>
              <a:schemeClr val="tx1"/>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components'!$L$45:$L$55</c:f>
              <c:numCache>
                <c:formatCode>_(* #,##0.0000_);_(* \(#,##0.0000\);_(* "-"??_);_(@_)</c:formatCode>
                <c:ptCount val="11"/>
                <c:pt idx="0">
                  <c:v>0</c:v>
                </c:pt>
                <c:pt idx="1">
                  <c:v>3.145629478922574E-3</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9-67D5-40E2-ABBD-E7AF6570C762}"/>
            </c:ext>
          </c:extLst>
        </c:ser>
        <c:ser>
          <c:idx val="10"/>
          <c:order val="10"/>
          <c:tx>
            <c:strRef>
              <c:f>'A2-6 RSE components'!$M$44</c:f>
              <c:strCache>
                <c:ptCount val="1"/>
                <c:pt idx="0">
                  <c:v>Lead</c:v>
                </c:pt>
              </c:strCache>
            </c:strRef>
          </c:tx>
          <c:spPr>
            <a:solidFill>
              <a:schemeClr val="accent5">
                <a:lumMod val="60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components'!$M$45:$M$55</c:f>
              <c:numCache>
                <c:formatCode>_(* #,##0.0000_);_(* \(#,##0.0000\);_(* "-"??_);_(@_)</c:formatCode>
                <c:ptCount val="11"/>
                <c:pt idx="0">
                  <c:v>0</c:v>
                </c:pt>
                <c:pt idx="1">
                  <c:v>0</c:v>
                </c:pt>
                <c:pt idx="2">
                  <c:v>0</c:v>
                </c:pt>
                <c:pt idx="3">
                  <c:v>0</c:v>
                </c:pt>
                <c:pt idx="4">
                  <c:v>0</c:v>
                </c:pt>
                <c:pt idx="5">
                  <c:v>1.1110922521179833E-4</c:v>
                </c:pt>
                <c:pt idx="6">
                  <c:v>0</c:v>
                </c:pt>
                <c:pt idx="7">
                  <c:v>0</c:v>
                </c:pt>
                <c:pt idx="8">
                  <c:v>0</c:v>
                </c:pt>
                <c:pt idx="9">
                  <c:v>0</c:v>
                </c:pt>
                <c:pt idx="10">
                  <c:v>0</c:v>
                </c:pt>
              </c:numCache>
            </c:numRef>
          </c:val>
          <c:extLst>
            <c:ext xmlns:c16="http://schemas.microsoft.com/office/drawing/2014/chart" uri="{C3380CC4-5D6E-409C-BE32-E72D297353CC}">
              <c16:uniqueId val="{0000000A-67D5-40E2-ABBD-E7AF6570C762}"/>
            </c:ext>
          </c:extLst>
        </c:ser>
        <c:ser>
          <c:idx val="11"/>
          <c:order val="11"/>
          <c:tx>
            <c:strRef>
              <c:f>'A2-6 RSE components'!$N$44</c:f>
              <c:strCache>
                <c:ptCount val="1"/>
                <c:pt idx="0">
                  <c:v>Ethylen carbonate</c:v>
                </c:pt>
              </c:strCache>
            </c:strRef>
          </c:tx>
          <c:spPr>
            <a:solidFill>
              <a:schemeClr val="accent6"/>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components'!$N$45:$N$55</c:f>
              <c:numCache>
                <c:formatCode>_(* #,##0.0000_);_(* \(#,##0.0000\);_(* "-"??_);_(@_)</c:formatCode>
                <c:ptCount val="11"/>
                <c:pt idx="0">
                  <c:v>0</c:v>
                </c:pt>
                <c:pt idx="1">
                  <c:v>0</c:v>
                </c:pt>
                <c:pt idx="2">
                  <c:v>0</c:v>
                </c:pt>
                <c:pt idx="3">
                  <c:v>0</c:v>
                </c:pt>
                <c:pt idx="4">
                  <c:v>0</c:v>
                </c:pt>
                <c:pt idx="5">
                  <c:v>0</c:v>
                </c:pt>
                <c:pt idx="6">
                  <c:v>1.4427992621845959E-2</c:v>
                </c:pt>
                <c:pt idx="7">
                  <c:v>0</c:v>
                </c:pt>
                <c:pt idx="8">
                  <c:v>0</c:v>
                </c:pt>
                <c:pt idx="9">
                  <c:v>0</c:v>
                </c:pt>
                <c:pt idx="10">
                  <c:v>0</c:v>
                </c:pt>
              </c:numCache>
            </c:numRef>
          </c:val>
          <c:extLst>
            <c:ext xmlns:c16="http://schemas.microsoft.com/office/drawing/2014/chart" uri="{C3380CC4-5D6E-409C-BE32-E72D297353CC}">
              <c16:uniqueId val="{0000000B-67D5-40E2-ABBD-E7AF6570C762}"/>
            </c:ext>
          </c:extLst>
        </c:ser>
        <c:ser>
          <c:idx val="12"/>
          <c:order val="12"/>
          <c:tx>
            <c:strRef>
              <c:f>'A2-6 RSE components'!$O$44</c:f>
              <c:strCache>
                <c:ptCount val="1"/>
                <c:pt idx="0">
                  <c:v>Graphite</c:v>
                </c:pt>
              </c:strCache>
            </c:strRef>
          </c:tx>
          <c:spPr>
            <a:solidFill>
              <a:schemeClr val="bg2">
                <a:lumMod val="25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components'!$O$45:$O$55</c:f>
              <c:numCache>
                <c:formatCode>_(* #,##0.0000_);_(* \(#,##0.0000\);_(* "-"??_);_(@_)</c:formatCode>
                <c:ptCount val="11"/>
                <c:pt idx="0">
                  <c:v>0</c:v>
                </c:pt>
                <c:pt idx="1">
                  <c:v>0</c:v>
                </c:pt>
                <c:pt idx="2">
                  <c:v>0</c:v>
                </c:pt>
                <c:pt idx="3">
                  <c:v>0</c:v>
                </c:pt>
                <c:pt idx="4">
                  <c:v>0</c:v>
                </c:pt>
                <c:pt idx="5">
                  <c:v>0</c:v>
                </c:pt>
                <c:pt idx="6">
                  <c:v>1.5433376080447864E-2</c:v>
                </c:pt>
                <c:pt idx="7">
                  <c:v>0</c:v>
                </c:pt>
                <c:pt idx="8">
                  <c:v>0</c:v>
                </c:pt>
                <c:pt idx="9">
                  <c:v>0</c:v>
                </c:pt>
                <c:pt idx="10">
                  <c:v>0</c:v>
                </c:pt>
              </c:numCache>
            </c:numRef>
          </c:val>
          <c:extLst>
            <c:ext xmlns:c16="http://schemas.microsoft.com/office/drawing/2014/chart" uri="{C3380CC4-5D6E-409C-BE32-E72D297353CC}">
              <c16:uniqueId val="{0000000C-67D5-40E2-ABBD-E7AF6570C762}"/>
            </c:ext>
          </c:extLst>
        </c:ser>
        <c:ser>
          <c:idx val="13"/>
          <c:order val="13"/>
          <c:tx>
            <c:strRef>
              <c:f>'A2-6 RSE components'!$P$44</c:f>
              <c:strCache>
                <c:ptCount val="1"/>
                <c:pt idx="0">
                  <c:v>Nd</c:v>
                </c:pt>
              </c:strCache>
            </c:strRef>
          </c:tx>
          <c:spPr>
            <a:solidFill>
              <a:srgbClr val="F91F96"/>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components'!$P$45:$P$55</c:f>
              <c:numCache>
                <c:formatCode>_(* #,##0.0000_);_(* \(#,##0.0000\);_(* "-"??_);_(@_)</c:formatCode>
                <c:ptCount val="11"/>
                <c:pt idx="0">
                  <c:v>0</c:v>
                </c:pt>
                <c:pt idx="1">
                  <c:v>0</c:v>
                </c:pt>
                <c:pt idx="2">
                  <c:v>0</c:v>
                </c:pt>
                <c:pt idx="3">
                  <c:v>0</c:v>
                </c:pt>
                <c:pt idx="4">
                  <c:v>0</c:v>
                </c:pt>
                <c:pt idx="5">
                  <c:v>0</c:v>
                </c:pt>
                <c:pt idx="6">
                  <c:v>0</c:v>
                </c:pt>
                <c:pt idx="7">
                  <c:v>1.5450792445841654E-3</c:v>
                </c:pt>
                <c:pt idx="8">
                  <c:v>0</c:v>
                </c:pt>
                <c:pt idx="9">
                  <c:v>0</c:v>
                </c:pt>
                <c:pt idx="10">
                  <c:v>0</c:v>
                </c:pt>
              </c:numCache>
            </c:numRef>
          </c:val>
          <c:extLst>
            <c:ext xmlns:c16="http://schemas.microsoft.com/office/drawing/2014/chart" uri="{C3380CC4-5D6E-409C-BE32-E72D297353CC}">
              <c16:uniqueId val="{0000000D-67D5-40E2-ABBD-E7AF6570C762}"/>
            </c:ext>
          </c:extLst>
        </c:ser>
        <c:ser>
          <c:idx val="14"/>
          <c:order val="14"/>
          <c:tx>
            <c:strRef>
              <c:f>'A2-6 RSE components'!$Q$44</c:f>
              <c:strCache>
                <c:ptCount val="1"/>
                <c:pt idx="0">
                  <c:v>LiMn04</c:v>
                </c:pt>
              </c:strCache>
            </c:strRef>
          </c:tx>
          <c:spPr>
            <a:solidFill>
              <a:schemeClr val="accent5">
                <a:lumMod val="75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components'!$Q$45:$Q$55</c:f>
              <c:numCache>
                <c:formatCode>_(* #,##0.0000_);_(* \(#,##0.0000\);_(* "-"??_);_(@_)</c:formatCode>
                <c:ptCount val="11"/>
                <c:pt idx="0">
                  <c:v>0</c:v>
                </c:pt>
                <c:pt idx="1">
                  <c:v>0</c:v>
                </c:pt>
                <c:pt idx="2">
                  <c:v>0</c:v>
                </c:pt>
                <c:pt idx="3">
                  <c:v>0</c:v>
                </c:pt>
                <c:pt idx="4">
                  <c:v>0</c:v>
                </c:pt>
                <c:pt idx="5">
                  <c:v>0</c:v>
                </c:pt>
                <c:pt idx="6">
                  <c:v>1.5654395628651969E-2</c:v>
                </c:pt>
                <c:pt idx="7">
                  <c:v>0</c:v>
                </c:pt>
                <c:pt idx="8">
                  <c:v>0</c:v>
                </c:pt>
                <c:pt idx="9">
                  <c:v>0</c:v>
                </c:pt>
                <c:pt idx="10">
                  <c:v>0</c:v>
                </c:pt>
              </c:numCache>
            </c:numRef>
          </c:val>
          <c:extLst>
            <c:ext xmlns:c16="http://schemas.microsoft.com/office/drawing/2014/chart" uri="{C3380CC4-5D6E-409C-BE32-E72D297353CC}">
              <c16:uniqueId val="{0000000E-67D5-40E2-ABBD-E7AF6570C762}"/>
            </c:ext>
          </c:extLst>
        </c:ser>
        <c:ser>
          <c:idx val="15"/>
          <c:order val="15"/>
          <c:tx>
            <c:strRef>
              <c:f>'A2-6 RSE components'!$R$44</c:f>
              <c:strCache>
                <c:ptCount val="1"/>
                <c:pt idx="0">
                  <c:v>LiPF6</c:v>
                </c:pt>
              </c:strCache>
            </c:strRef>
          </c:tx>
          <c:spPr>
            <a:solidFill>
              <a:schemeClr val="accent5">
                <a:lumMod val="60000"/>
                <a:lumOff val="40000"/>
              </a:schemeClr>
            </a:solidFill>
            <a:ln>
              <a:noFill/>
            </a:ln>
            <a:effectLst/>
          </c:spPr>
          <c:invertIfNegative val="0"/>
          <c:cat>
            <c:strRef>
              <c:f>'A2-6 RSE components'!$B$45:$B$55</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components'!$R$45:$R$55</c:f>
              <c:numCache>
                <c:formatCode>_(* #,##0.0000_);_(* \(#,##0.0000\);_(* "-"??_);_(@_)</c:formatCode>
                <c:ptCount val="11"/>
                <c:pt idx="0">
                  <c:v>0</c:v>
                </c:pt>
                <c:pt idx="1">
                  <c:v>0</c:v>
                </c:pt>
                <c:pt idx="2">
                  <c:v>0</c:v>
                </c:pt>
                <c:pt idx="3">
                  <c:v>0</c:v>
                </c:pt>
                <c:pt idx="4">
                  <c:v>0</c:v>
                </c:pt>
                <c:pt idx="5">
                  <c:v>0</c:v>
                </c:pt>
                <c:pt idx="6">
                  <c:v>3.7520765077587977E-3</c:v>
                </c:pt>
                <c:pt idx="7">
                  <c:v>0</c:v>
                </c:pt>
                <c:pt idx="8">
                  <c:v>0</c:v>
                </c:pt>
                <c:pt idx="9">
                  <c:v>0</c:v>
                </c:pt>
                <c:pt idx="10">
                  <c:v>0</c:v>
                </c:pt>
              </c:numCache>
            </c:numRef>
          </c:val>
          <c:extLst>
            <c:ext xmlns:c16="http://schemas.microsoft.com/office/drawing/2014/chart" uri="{C3380CC4-5D6E-409C-BE32-E72D297353CC}">
              <c16:uniqueId val="{0000000F-67D5-40E2-ABBD-E7AF6570C762}"/>
            </c:ext>
          </c:extLst>
        </c:ser>
        <c:dLbls>
          <c:showLegendKey val="0"/>
          <c:showVal val="0"/>
          <c:showCatName val="0"/>
          <c:showSerName val="0"/>
          <c:showPercent val="0"/>
          <c:showBubbleSize val="0"/>
        </c:dLbls>
        <c:gapWidth val="150"/>
        <c:overlap val="100"/>
        <c:axId val="434414152"/>
        <c:axId val="434408576"/>
      </c:barChart>
      <c:catAx>
        <c:axId val="434414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4408576"/>
        <c:crossesAt val="0"/>
        <c:auto val="1"/>
        <c:lblAlgn val="ctr"/>
        <c:lblOffset val="100"/>
        <c:noMultiLvlLbl val="0"/>
      </c:catAx>
      <c:valAx>
        <c:axId val="434408576"/>
        <c:scaling>
          <c:orientation val="minMax"/>
          <c:max val="0.1"/>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r>
                  <a:rPr lang="en-US" sz="1000"/>
                  <a:t>RSE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4414152"/>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7.4509238416933049E-2"/>
          <c:y val="0.90172365784828346"/>
          <c:w val="0.89999994639268321"/>
          <c:h val="5.551191045112460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'A2-6 RSE components'!$C$2</c:f>
              <c:strCache>
                <c:ptCount val="1"/>
                <c:pt idx="0">
                  <c:v>Iron</c:v>
                </c:pt>
              </c:strCache>
            </c:strRef>
          </c:tx>
          <c:spPr>
            <a:solidFill>
              <a:schemeClr val="accent2">
                <a:lumMod val="75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components'!$C$3:$C$13</c:f>
              <c:numCache>
                <c:formatCode>_(* #,##0.0_);_(* \(#,##0.0\);_(* "-"??_);_(@_)</c:formatCode>
                <c:ptCount val="11"/>
                <c:pt idx="0">
                  <c:v>0</c:v>
                </c:pt>
                <c:pt idx="1">
                  <c:v>0</c:v>
                </c:pt>
                <c:pt idx="2">
                  <c:v>18.162164574763061</c:v>
                </c:pt>
                <c:pt idx="3">
                  <c:v>0</c:v>
                </c:pt>
                <c:pt idx="4">
                  <c:v>0</c:v>
                </c:pt>
                <c:pt idx="5">
                  <c:v>0</c:v>
                </c:pt>
                <c:pt idx="6">
                  <c:v>0</c:v>
                </c:pt>
                <c:pt idx="7">
                  <c:v>4.5168882849655434</c:v>
                </c:pt>
                <c:pt idx="8">
                  <c:v>89.262000002200011</c:v>
                </c:pt>
                <c:pt idx="9">
                  <c:v>0</c:v>
                </c:pt>
                <c:pt idx="10">
                  <c:v>0</c:v>
                </c:pt>
              </c:numCache>
            </c:numRef>
          </c:val>
          <c:extLst>
            <c:ext xmlns:c16="http://schemas.microsoft.com/office/drawing/2014/chart" uri="{C3380CC4-5D6E-409C-BE32-E72D297353CC}">
              <c16:uniqueId val="{00000011-FC1F-46A0-8E31-BE018B63A251}"/>
            </c:ext>
          </c:extLst>
        </c:ser>
        <c:ser>
          <c:idx val="1"/>
          <c:order val="1"/>
          <c:tx>
            <c:strRef>
              <c:f>'A2-6 RSE components'!$D$2</c:f>
              <c:strCache>
                <c:ptCount val="1"/>
                <c:pt idx="0">
                  <c:v>Steel</c:v>
                </c:pt>
              </c:strCache>
            </c:strRef>
          </c:tx>
          <c:spPr>
            <a:solidFill>
              <a:schemeClr val="accent2">
                <a:lumMod val="50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components'!$D$3:$D$13</c:f>
              <c:numCache>
                <c:formatCode>_(* #,##0.0_);_(* \(#,##0.0\);_(* "-"??_);_(@_)</c:formatCode>
                <c:ptCount val="11"/>
                <c:pt idx="0">
                  <c:v>70.560906011270006</c:v>
                </c:pt>
                <c:pt idx="1">
                  <c:v>46.9498924563404</c:v>
                </c:pt>
                <c:pt idx="2">
                  <c:v>10.594596001986787</c:v>
                </c:pt>
                <c:pt idx="3">
                  <c:v>172.45581907409999</c:v>
                </c:pt>
                <c:pt idx="4">
                  <c:v>389.00000526122892</c:v>
                </c:pt>
                <c:pt idx="5">
                  <c:v>0</c:v>
                </c:pt>
                <c:pt idx="6">
                  <c:v>0</c:v>
                </c:pt>
                <c:pt idx="7">
                  <c:v>35.876233158997508</c:v>
                </c:pt>
                <c:pt idx="8">
                  <c:v>29.042000007800002</c:v>
                </c:pt>
                <c:pt idx="9">
                  <c:v>26.568726921509828</c:v>
                </c:pt>
                <c:pt idx="10">
                  <c:v>53.147808862085498</c:v>
                </c:pt>
              </c:numCache>
            </c:numRef>
          </c:val>
          <c:extLst>
            <c:ext xmlns:c16="http://schemas.microsoft.com/office/drawing/2014/chart" uri="{C3380CC4-5D6E-409C-BE32-E72D297353CC}">
              <c16:uniqueId val="{00000013-FC1F-46A0-8E31-BE018B63A251}"/>
            </c:ext>
          </c:extLst>
        </c:ser>
        <c:ser>
          <c:idx val="2"/>
          <c:order val="2"/>
          <c:tx>
            <c:strRef>
              <c:f>'A2-6 RSE components'!$E$2</c:f>
              <c:strCache>
                <c:ptCount val="1"/>
                <c:pt idx="0">
                  <c:v>Plastic</c:v>
                </c:pt>
              </c:strCache>
            </c:strRef>
          </c:tx>
          <c:spPr>
            <a:solidFill>
              <a:schemeClr val="accent6">
                <a:lumMod val="60000"/>
                <a:lumOff val="40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components'!$E$3:$E$13</c:f>
              <c:numCache>
                <c:formatCode>_(* #,##0.0_);_(* \(#,##0.0\);_(* "-"??_);_(@_)</c:formatCode>
                <c:ptCount val="11"/>
                <c:pt idx="0">
                  <c:v>118.76382461456001</c:v>
                </c:pt>
                <c:pt idx="1">
                  <c:v>0</c:v>
                </c:pt>
                <c:pt idx="2">
                  <c:v>0</c:v>
                </c:pt>
                <c:pt idx="3">
                  <c:v>5.8876289631000001</c:v>
                </c:pt>
                <c:pt idx="4">
                  <c:v>25.000000000599996</c:v>
                </c:pt>
                <c:pt idx="5">
                  <c:v>0.65870942655685827</c:v>
                </c:pt>
                <c:pt idx="6">
                  <c:v>21.266924564796906</c:v>
                </c:pt>
                <c:pt idx="7">
                  <c:v>8.1461191787681528</c:v>
                </c:pt>
                <c:pt idx="8">
                  <c:v>0</c:v>
                </c:pt>
                <c:pt idx="9">
                  <c:v>4.0000000005</c:v>
                </c:pt>
                <c:pt idx="10">
                  <c:v>29.694507020211585</c:v>
                </c:pt>
              </c:numCache>
            </c:numRef>
          </c:val>
          <c:extLst>
            <c:ext xmlns:c16="http://schemas.microsoft.com/office/drawing/2014/chart" uri="{C3380CC4-5D6E-409C-BE32-E72D297353CC}">
              <c16:uniqueId val="{00000015-FC1F-46A0-8E31-BE018B63A251}"/>
            </c:ext>
          </c:extLst>
        </c:ser>
        <c:ser>
          <c:idx val="3"/>
          <c:order val="3"/>
          <c:tx>
            <c:strRef>
              <c:f>'A2-6 RSE components'!$F$2</c:f>
              <c:strCache>
                <c:ptCount val="1"/>
                <c:pt idx="0">
                  <c:v>Copper</c:v>
                </c:pt>
              </c:strCache>
            </c:strRef>
          </c:tx>
          <c:spPr>
            <a:solidFill>
              <a:schemeClr val="accent2"/>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components'!$F$3:$F$13</c:f>
              <c:numCache>
                <c:formatCode>_(* #,##0.0_);_(* \(#,##0.0\);_(* "-"??_);_(@_)</c:formatCode>
                <c:ptCount val="11"/>
                <c:pt idx="0">
                  <c:v>11.515803093260001</c:v>
                </c:pt>
                <c:pt idx="1">
                  <c:v>0</c:v>
                </c:pt>
                <c:pt idx="2">
                  <c:v>0</c:v>
                </c:pt>
                <c:pt idx="3">
                  <c:v>4.0914031779000002</c:v>
                </c:pt>
                <c:pt idx="4">
                  <c:v>0</c:v>
                </c:pt>
                <c:pt idx="5">
                  <c:v>0</c:v>
                </c:pt>
                <c:pt idx="6">
                  <c:v>57.928933920588257</c:v>
                </c:pt>
                <c:pt idx="7">
                  <c:v>109.53167751627441</c:v>
                </c:pt>
                <c:pt idx="8">
                  <c:v>0</c:v>
                </c:pt>
                <c:pt idx="9">
                  <c:v>0</c:v>
                </c:pt>
                <c:pt idx="10">
                  <c:v>6.5009017651230492</c:v>
                </c:pt>
              </c:numCache>
            </c:numRef>
          </c:val>
          <c:extLst>
            <c:ext xmlns:c16="http://schemas.microsoft.com/office/drawing/2014/chart" uri="{C3380CC4-5D6E-409C-BE32-E72D297353CC}">
              <c16:uniqueId val="{00000017-FC1F-46A0-8E31-BE018B63A251}"/>
            </c:ext>
          </c:extLst>
        </c:ser>
        <c:ser>
          <c:idx val="4"/>
          <c:order val="4"/>
          <c:tx>
            <c:strRef>
              <c:f>'A2-6 RSE components'!$G$2</c:f>
              <c:strCache>
                <c:ptCount val="1"/>
                <c:pt idx="0">
                  <c:v>Glass</c:v>
                </c:pt>
              </c:strCache>
            </c:strRef>
          </c:tx>
          <c:spPr>
            <a:solidFill>
              <a:srgbClr val="54BAC8"/>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components'!$G$3:$G$13</c:f>
              <c:numCache>
                <c:formatCode>_(* #,##0.0_);_(* \(#,##0.0\);_(* "-"??_);_(@_)</c:formatCode>
                <c:ptCount val="11"/>
                <c:pt idx="0">
                  <c:v>0</c:v>
                </c:pt>
                <c:pt idx="1">
                  <c:v>0</c:v>
                </c:pt>
                <c:pt idx="2">
                  <c:v>0</c:v>
                </c:pt>
                <c:pt idx="3">
                  <c:v>0</c:v>
                </c:pt>
                <c:pt idx="4">
                  <c:v>28.834716934390002</c:v>
                </c:pt>
                <c:pt idx="5">
                  <c:v>0</c:v>
                </c:pt>
                <c:pt idx="6">
                  <c:v>0</c:v>
                </c:pt>
                <c:pt idx="7">
                  <c:v>0</c:v>
                </c:pt>
                <c:pt idx="8">
                  <c:v>0</c:v>
                </c:pt>
                <c:pt idx="9">
                  <c:v>0</c:v>
                </c:pt>
                <c:pt idx="10">
                  <c:v>0</c:v>
                </c:pt>
              </c:numCache>
            </c:numRef>
          </c:val>
          <c:extLst>
            <c:ext xmlns:c16="http://schemas.microsoft.com/office/drawing/2014/chart" uri="{C3380CC4-5D6E-409C-BE32-E72D297353CC}">
              <c16:uniqueId val="{00000019-FC1F-46A0-8E31-BE018B63A251}"/>
            </c:ext>
          </c:extLst>
        </c:ser>
        <c:ser>
          <c:idx val="5"/>
          <c:order val="5"/>
          <c:tx>
            <c:strRef>
              <c:f>'A2-6 RSE components'!$H$2</c:f>
              <c:strCache>
                <c:ptCount val="1"/>
                <c:pt idx="0">
                  <c:v>Aluminum</c:v>
                </c:pt>
              </c:strCache>
            </c:strRef>
          </c:tx>
          <c:spPr>
            <a:solidFill>
              <a:schemeClr val="accent3"/>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components'!$H$3:$H$13</c:f>
              <c:numCache>
                <c:formatCode>_(* #,##0.0_);_(* \(#,##0.0\);_(* "-"??_);_(@_)</c:formatCode>
                <c:ptCount val="11"/>
                <c:pt idx="0">
                  <c:v>18.462629997730001</c:v>
                </c:pt>
                <c:pt idx="1">
                  <c:v>0</c:v>
                </c:pt>
                <c:pt idx="2">
                  <c:v>0</c:v>
                </c:pt>
                <c:pt idx="3">
                  <c:v>0</c:v>
                </c:pt>
                <c:pt idx="4">
                  <c:v>0</c:v>
                </c:pt>
                <c:pt idx="5">
                  <c:v>0</c:v>
                </c:pt>
                <c:pt idx="6">
                  <c:v>35.768984978868886</c:v>
                </c:pt>
                <c:pt idx="7">
                  <c:v>184.42561442163245</c:v>
                </c:pt>
                <c:pt idx="8">
                  <c:v>0</c:v>
                </c:pt>
                <c:pt idx="9">
                  <c:v>12.120000000899999</c:v>
                </c:pt>
                <c:pt idx="10">
                  <c:v>0</c:v>
                </c:pt>
              </c:numCache>
            </c:numRef>
          </c:val>
          <c:extLst>
            <c:ext xmlns:c16="http://schemas.microsoft.com/office/drawing/2014/chart" uri="{C3380CC4-5D6E-409C-BE32-E72D297353CC}">
              <c16:uniqueId val="{0000001B-FC1F-46A0-8E31-BE018B63A251}"/>
            </c:ext>
          </c:extLst>
        </c:ser>
        <c:ser>
          <c:idx val="6"/>
          <c:order val="6"/>
          <c:tx>
            <c:strRef>
              <c:f>'A2-6 RSE components'!$I$2</c:f>
              <c:strCache>
                <c:ptCount val="1"/>
                <c:pt idx="0">
                  <c:v>Cast aluminum</c:v>
                </c:pt>
              </c:strCache>
            </c:strRef>
          </c:tx>
          <c:spPr>
            <a:solidFill>
              <a:schemeClr val="bg2">
                <a:lumMod val="90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components'!$I$3:$I$13</c:f>
              <c:numCache>
                <c:formatCode>_(* #,##0.0_);_(* \(#,##0.0\);_(* "-"??_);_(@_)</c:formatCode>
                <c:ptCount val="11"/>
                <c:pt idx="0">
                  <c:v>0</c:v>
                </c:pt>
                <c:pt idx="1">
                  <c:v>0</c:v>
                </c:pt>
                <c:pt idx="2">
                  <c:v>0</c:v>
                </c:pt>
                <c:pt idx="3">
                  <c:v>0</c:v>
                </c:pt>
                <c:pt idx="4">
                  <c:v>0</c:v>
                </c:pt>
                <c:pt idx="5">
                  <c:v>0</c:v>
                </c:pt>
                <c:pt idx="6">
                  <c:v>0</c:v>
                </c:pt>
                <c:pt idx="7">
                  <c:v>0</c:v>
                </c:pt>
                <c:pt idx="8">
                  <c:v>29.826000003499999</c:v>
                </c:pt>
                <c:pt idx="9">
                  <c:v>0</c:v>
                </c:pt>
                <c:pt idx="10">
                  <c:v>0</c:v>
                </c:pt>
              </c:numCache>
            </c:numRef>
          </c:val>
          <c:extLst>
            <c:ext xmlns:c16="http://schemas.microsoft.com/office/drawing/2014/chart" uri="{C3380CC4-5D6E-409C-BE32-E72D297353CC}">
              <c16:uniqueId val="{0000001D-FC1F-46A0-8E31-BE018B63A251}"/>
            </c:ext>
          </c:extLst>
        </c:ser>
        <c:ser>
          <c:idx val="7"/>
          <c:order val="7"/>
          <c:tx>
            <c:strRef>
              <c:f>'A2-6 RSE components'!$J$2</c:f>
              <c:strCache>
                <c:ptCount val="1"/>
                <c:pt idx="0">
                  <c:v>Paint</c:v>
                </c:pt>
              </c:strCache>
            </c:strRef>
          </c:tx>
          <c:spPr>
            <a:solidFill>
              <a:srgbClr val="C00DC9"/>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components'!$J$3:$J$13</c:f>
              <c:numCache>
                <c:formatCode>_(* #,##0.0_);_(* \(#,##0.0\);_(* "-"??_);_(@_)</c:formatCode>
                <c:ptCount val="11"/>
                <c:pt idx="0">
                  <c:v>11.793401623899999</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F-FC1F-46A0-8E31-BE018B63A251}"/>
            </c:ext>
          </c:extLst>
        </c:ser>
        <c:ser>
          <c:idx val="8"/>
          <c:order val="8"/>
          <c:tx>
            <c:strRef>
              <c:f>'A2-6 RSE components'!$K$2</c:f>
              <c:strCache>
                <c:ptCount val="1"/>
                <c:pt idx="0">
                  <c:v>Rubber</c:v>
                </c:pt>
              </c:strCache>
            </c:strRef>
          </c:tx>
          <c:spPr>
            <a:solidFill>
              <a:schemeClr val="accent6">
                <a:lumMod val="75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components'!$K$3:$K$13</c:f>
              <c:numCache>
                <c:formatCode>_(* #,##0.0_);_(* \(#,##0.0\);_(* "-"??_);_(@_)</c:formatCode>
                <c:ptCount val="11"/>
                <c:pt idx="0">
                  <c:v>5.2900894457000005</c:v>
                </c:pt>
                <c:pt idx="1">
                  <c:v>18.105263157994699</c:v>
                </c:pt>
                <c:pt idx="2">
                  <c:v>0</c:v>
                </c:pt>
                <c:pt idx="3">
                  <c:v>0</c:v>
                </c:pt>
                <c:pt idx="4">
                  <c:v>0</c:v>
                </c:pt>
                <c:pt idx="5">
                  <c:v>0</c:v>
                </c:pt>
                <c:pt idx="6">
                  <c:v>0</c:v>
                </c:pt>
                <c:pt idx="7">
                  <c:v>3.6999999999999997</c:v>
                </c:pt>
                <c:pt idx="8">
                  <c:v>0</c:v>
                </c:pt>
                <c:pt idx="9">
                  <c:v>0</c:v>
                </c:pt>
                <c:pt idx="10">
                  <c:v>0</c:v>
                </c:pt>
              </c:numCache>
            </c:numRef>
          </c:val>
          <c:extLst>
            <c:ext xmlns:c16="http://schemas.microsoft.com/office/drawing/2014/chart" uri="{C3380CC4-5D6E-409C-BE32-E72D297353CC}">
              <c16:uniqueId val="{00000021-FC1F-46A0-8E31-BE018B63A251}"/>
            </c:ext>
          </c:extLst>
        </c:ser>
        <c:ser>
          <c:idx val="9"/>
          <c:order val="9"/>
          <c:tx>
            <c:strRef>
              <c:f>'A2-6 RSE components'!$L$2</c:f>
              <c:strCache>
                <c:ptCount val="1"/>
                <c:pt idx="0">
                  <c:v>Carbon black</c:v>
                </c:pt>
              </c:strCache>
            </c:strRef>
          </c:tx>
          <c:spPr>
            <a:solidFill>
              <a:schemeClr val="tx1"/>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components'!$L$3:$L$13</c:f>
              <c:numCache>
                <c:formatCode>_(* #,##0.0_);_(* \(#,##0.0\);_(* "-"??_);_(@_)</c:formatCode>
                <c:ptCount val="11"/>
                <c:pt idx="0">
                  <c:v>0</c:v>
                </c:pt>
                <c:pt idx="1">
                  <c:v>8.3284210527315796</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3-FC1F-46A0-8E31-BE018B63A251}"/>
            </c:ext>
          </c:extLst>
        </c:ser>
        <c:ser>
          <c:idx val="10"/>
          <c:order val="10"/>
          <c:tx>
            <c:strRef>
              <c:f>'A2-6 RSE components'!$M$2</c:f>
              <c:strCache>
                <c:ptCount val="1"/>
                <c:pt idx="0">
                  <c:v>Lead</c:v>
                </c:pt>
              </c:strCache>
            </c:strRef>
          </c:tx>
          <c:spPr>
            <a:solidFill>
              <a:schemeClr val="accent5">
                <a:lumMod val="60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components'!$M$3:$M$13</c:f>
              <c:numCache>
                <c:formatCode>_(* #,##0.0_);_(* \(#,##0.0\);_(* "-"??_);_(@_)</c:formatCode>
                <c:ptCount val="11"/>
                <c:pt idx="0">
                  <c:v>0</c:v>
                </c:pt>
                <c:pt idx="1">
                  <c:v>0</c:v>
                </c:pt>
                <c:pt idx="2">
                  <c:v>0</c:v>
                </c:pt>
                <c:pt idx="3">
                  <c:v>0</c:v>
                </c:pt>
                <c:pt idx="4">
                  <c:v>0</c:v>
                </c:pt>
                <c:pt idx="5">
                  <c:v>11.24087636419279</c:v>
                </c:pt>
                <c:pt idx="6">
                  <c:v>0</c:v>
                </c:pt>
                <c:pt idx="7">
                  <c:v>0</c:v>
                </c:pt>
                <c:pt idx="8">
                  <c:v>0</c:v>
                </c:pt>
                <c:pt idx="9">
                  <c:v>0</c:v>
                </c:pt>
                <c:pt idx="10">
                  <c:v>0</c:v>
                </c:pt>
              </c:numCache>
            </c:numRef>
          </c:val>
          <c:extLst>
            <c:ext xmlns:c16="http://schemas.microsoft.com/office/drawing/2014/chart" uri="{C3380CC4-5D6E-409C-BE32-E72D297353CC}">
              <c16:uniqueId val="{00000025-FC1F-46A0-8E31-BE018B63A251}"/>
            </c:ext>
          </c:extLst>
        </c:ser>
        <c:ser>
          <c:idx val="11"/>
          <c:order val="11"/>
          <c:tx>
            <c:strRef>
              <c:f>'A2-6 RSE components'!$N$2</c:f>
              <c:strCache>
                <c:ptCount val="1"/>
                <c:pt idx="0">
                  <c:v>Ethylen carbonate</c:v>
                </c:pt>
              </c:strCache>
            </c:strRef>
          </c:tx>
          <c:spPr>
            <a:solidFill>
              <a:schemeClr val="accent6"/>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components'!$N$3:$N$13</c:f>
              <c:numCache>
                <c:formatCode>_(* #,##0.0_);_(* \(#,##0.0\);_(* "-"??_);_(@_)</c:formatCode>
                <c:ptCount val="11"/>
                <c:pt idx="0">
                  <c:v>0</c:v>
                </c:pt>
                <c:pt idx="1">
                  <c:v>0</c:v>
                </c:pt>
                <c:pt idx="2">
                  <c:v>0</c:v>
                </c:pt>
                <c:pt idx="3">
                  <c:v>0</c:v>
                </c:pt>
                <c:pt idx="4">
                  <c:v>0</c:v>
                </c:pt>
                <c:pt idx="5">
                  <c:v>0</c:v>
                </c:pt>
                <c:pt idx="6">
                  <c:v>46.421663442940044</c:v>
                </c:pt>
                <c:pt idx="7">
                  <c:v>0</c:v>
                </c:pt>
                <c:pt idx="8">
                  <c:v>0</c:v>
                </c:pt>
                <c:pt idx="9">
                  <c:v>0</c:v>
                </c:pt>
                <c:pt idx="10">
                  <c:v>0</c:v>
                </c:pt>
              </c:numCache>
            </c:numRef>
          </c:val>
          <c:extLst>
            <c:ext xmlns:c16="http://schemas.microsoft.com/office/drawing/2014/chart" uri="{C3380CC4-5D6E-409C-BE32-E72D297353CC}">
              <c16:uniqueId val="{00000027-FC1F-46A0-8E31-BE018B63A251}"/>
            </c:ext>
          </c:extLst>
        </c:ser>
        <c:ser>
          <c:idx val="12"/>
          <c:order val="12"/>
          <c:tx>
            <c:strRef>
              <c:f>'A2-6 RSE components'!$O$2</c:f>
              <c:strCache>
                <c:ptCount val="1"/>
                <c:pt idx="0">
                  <c:v>Graphite</c:v>
                </c:pt>
              </c:strCache>
            </c:strRef>
          </c:tx>
          <c:spPr>
            <a:solidFill>
              <a:schemeClr val="bg2">
                <a:lumMod val="25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components'!$O$3:$O$13</c:f>
              <c:numCache>
                <c:formatCode>_(* #,##0.0_);_(* \(#,##0.0\);_(* "-"??_);_(@_)</c:formatCode>
                <c:ptCount val="11"/>
                <c:pt idx="0">
                  <c:v>0</c:v>
                </c:pt>
                <c:pt idx="1">
                  <c:v>0</c:v>
                </c:pt>
                <c:pt idx="2">
                  <c:v>0</c:v>
                </c:pt>
                <c:pt idx="3">
                  <c:v>0</c:v>
                </c:pt>
                <c:pt idx="4">
                  <c:v>0</c:v>
                </c:pt>
                <c:pt idx="5">
                  <c:v>0</c:v>
                </c:pt>
                <c:pt idx="6">
                  <c:v>54.612391902233966</c:v>
                </c:pt>
                <c:pt idx="7">
                  <c:v>0</c:v>
                </c:pt>
                <c:pt idx="8">
                  <c:v>0</c:v>
                </c:pt>
                <c:pt idx="9">
                  <c:v>0</c:v>
                </c:pt>
                <c:pt idx="10">
                  <c:v>0</c:v>
                </c:pt>
              </c:numCache>
            </c:numRef>
          </c:val>
          <c:extLst>
            <c:ext xmlns:c16="http://schemas.microsoft.com/office/drawing/2014/chart" uri="{C3380CC4-5D6E-409C-BE32-E72D297353CC}">
              <c16:uniqueId val="{00000029-FC1F-46A0-8E31-BE018B63A251}"/>
            </c:ext>
          </c:extLst>
        </c:ser>
        <c:ser>
          <c:idx val="13"/>
          <c:order val="13"/>
          <c:tx>
            <c:strRef>
              <c:f>'A2-6 RSE components'!$P$2</c:f>
              <c:strCache>
                <c:ptCount val="1"/>
                <c:pt idx="0">
                  <c:v>Nd</c:v>
                </c:pt>
              </c:strCache>
            </c:strRef>
          </c:tx>
          <c:spPr>
            <a:solidFill>
              <a:srgbClr val="F91F96"/>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components'!$P$3:$P$13</c:f>
              <c:numCache>
                <c:formatCode>_(* #,##0.0_);_(* \(#,##0.0\);_(* "-"??_);_(@_)</c:formatCode>
                <c:ptCount val="11"/>
                <c:pt idx="0">
                  <c:v>0</c:v>
                </c:pt>
                <c:pt idx="1">
                  <c:v>0</c:v>
                </c:pt>
                <c:pt idx="2">
                  <c:v>0</c:v>
                </c:pt>
                <c:pt idx="3">
                  <c:v>0</c:v>
                </c:pt>
                <c:pt idx="4">
                  <c:v>0</c:v>
                </c:pt>
                <c:pt idx="5">
                  <c:v>0</c:v>
                </c:pt>
                <c:pt idx="6">
                  <c:v>0</c:v>
                </c:pt>
                <c:pt idx="7">
                  <c:v>1.6666666666666701</c:v>
                </c:pt>
                <c:pt idx="8">
                  <c:v>0</c:v>
                </c:pt>
                <c:pt idx="9">
                  <c:v>0</c:v>
                </c:pt>
                <c:pt idx="10">
                  <c:v>0</c:v>
                </c:pt>
              </c:numCache>
            </c:numRef>
          </c:val>
          <c:extLst>
            <c:ext xmlns:c16="http://schemas.microsoft.com/office/drawing/2014/chart" uri="{C3380CC4-5D6E-409C-BE32-E72D297353CC}">
              <c16:uniqueId val="{0000002B-FC1F-46A0-8E31-BE018B63A251}"/>
            </c:ext>
          </c:extLst>
        </c:ser>
        <c:ser>
          <c:idx val="14"/>
          <c:order val="14"/>
          <c:tx>
            <c:strRef>
              <c:f>'A2-6 RSE components'!$Q$2</c:f>
              <c:strCache>
                <c:ptCount val="1"/>
                <c:pt idx="0">
                  <c:v>LiMn04</c:v>
                </c:pt>
              </c:strCache>
            </c:strRef>
          </c:tx>
          <c:spPr>
            <a:solidFill>
              <a:schemeClr val="accent5">
                <a:lumMod val="75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components'!$Q$3:$Q$13</c:f>
              <c:numCache>
                <c:formatCode>_(* #,##0.0_);_(* \(#,##0.0\);_(* "-"??_);_(@_)</c:formatCode>
                <c:ptCount val="11"/>
                <c:pt idx="0">
                  <c:v>0</c:v>
                </c:pt>
                <c:pt idx="1">
                  <c:v>0</c:v>
                </c:pt>
                <c:pt idx="2">
                  <c:v>0</c:v>
                </c:pt>
                <c:pt idx="3">
                  <c:v>0</c:v>
                </c:pt>
                <c:pt idx="4">
                  <c:v>0</c:v>
                </c:pt>
                <c:pt idx="5">
                  <c:v>0</c:v>
                </c:pt>
                <c:pt idx="6">
                  <c:v>56.702487638257786</c:v>
                </c:pt>
                <c:pt idx="7">
                  <c:v>0</c:v>
                </c:pt>
                <c:pt idx="8">
                  <c:v>0</c:v>
                </c:pt>
                <c:pt idx="9">
                  <c:v>0</c:v>
                </c:pt>
                <c:pt idx="10">
                  <c:v>0</c:v>
                </c:pt>
              </c:numCache>
            </c:numRef>
          </c:val>
          <c:extLst>
            <c:ext xmlns:c16="http://schemas.microsoft.com/office/drawing/2014/chart" uri="{C3380CC4-5D6E-409C-BE32-E72D297353CC}">
              <c16:uniqueId val="{0000002D-FC1F-46A0-8E31-BE018B63A251}"/>
            </c:ext>
          </c:extLst>
        </c:ser>
        <c:ser>
          <c:idx val="15"/>
          <c:order val="15"/>
          <c:tx>
            <c:strRef>
              <c:f>'A2-6 RSE components'!$R$2</c:f>
              <c:strCache>
                <c:ptCount val="1"/>
                <c:pt idx="0">
                  <c:v>LiPF6</c:v>
                </c:pt>
              </c:strCache>
            </c:strRef>
          </c:tx>
          <c:spPr>
            <a:solidFill>
              <a:schemeClr val="accent5">
                <a:lumMod val="60000"/>
                <a:lumOff val="40000"/>
              </a:schemeClr>
            </a:solidFill>
            <a:ln>
              <a:noFill/>
            </a:ln>
            <a:effectLst/>
          </c:spPr>
          <c:invertIfNegative val="0"/>
          <c:cat>
            <c:strRef>
              <c:f>'A2-6 RSE components'!$B$3:$B$13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components'!$R$3:$R$13</c:f>
              <c:numCache>
                <c:formatCode>_(* #,##0.0_);_(* \(#,##0.0\);_(* "-"??_);_(@_)</c:formatCode>
                <c:ptCount val="11"/>
                <c:pt idx="0">
                  <c:v>0</c:v>
                </c:pt>
                <c:pt idx="1">
                  <c:v>0</c:v>
                </c:pt>
                <c:pt idx="2">
                  <c:v>0</c:v>
                </c:pt>
                <c:pt idx="3">
                  <c:v>0</c:v>
                </c:pt>
                <c:pt idx="4">
                  <c:v>0</c:v>
                </c:pt>
                <c:pt idx="5">
                  <c:v>0</c:v>
                </c:pt>
                <c:pt idx="6">
                  <c:v>5.5125725338491298</c:v>
                </c:pt>
                <c:pt idx="7">
                  <c:v>0</c:v>
                </c:pt>
                <c:pt idx="8">
                  <c:v>0</c:v>
                </c:pt>
                <c:pt idx="9">
                  <c:v>0</c:v>
                </c:pt>
                <c:pt idx="10">
                  <c:v>0</c:v>
                </c:pt>
              </c:numCache>
            </c:numRef>
          </c:val>
          <c:extLst>
            <c:ext xmlns:c16="http://schemas.microsoft.com/office/drawing/2014/chart" uri="{C3380CC4-5D6E-409C-BE32-E72D297353CC}">
              <c16:uniqueId val="{0000002F-FC1F-46A0-8E31-BE018B63A251}"/>
            </c:ext>
          </c:extLst>
        </c:ser>
        <c:dLbls>
          <c:showLegendKey val="0"/>
          <c:showVal val="0"/>
          <c:showCatName val="0"/>
          <c:showSerName val="0"/>
          <c:showPercent val="0"/>
          <c:showBubbleSize val="0"/>
        </c:dLbls>
        <c:gapWidth val="150"/>
        <c:overlap val="100"/>
        <c:axId val="434414152"/>
        <c:axId val="434408576"/>
      </c:barChart>
      <c:catAx>
        <c:axId val="434414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4408576"/>
        <c:crosses val="autoZero"/>
        <c:auto val="1"/>
        <c:lblAlgn val="ctr"/>
        <c:lblOffset val="100"/>
        <c:noMultiLvlLbl val="0"/>
      </c:catAx>
      <c:valAx>
        <c:axId val="4344085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r>
                  <a:rPr lang="en-US" sz="1000"/>
                  <a:t>Mass</a:t>
                </a:r>
                <a:r>
                  <a:rPr lang="en-US" sz="1000" baseline="0"/>
                  <a:t> in kg</a:t>
                </a:r>
                <a:endParaRPr lang="en-US" sz="1000"/>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4414152"/>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7.1692151964461534E-2"/>
          <c:y val="0.9217846015436546"/>
          <c:w val="0.89999996797412996"/>
          <c:h val="4.73502598902111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'A2-6 RSE components'!$C$62</c:f>
              <c:strCache>
                <c:ptCount val="1"/>
                <c:pt idx="0">
                  <c:v>Iron</c:v>
                </c:pt>
              </c:strCache>
            </c:strRef>
          </c:tx>
          <c:spPr>
            <a:solidFill>
              <a:schemeClr val="accent2">
                <a:lumMod val="75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components'!$C$63:$C$73</c:f>
              <c:numCache>
                <c:formatCode>_(* #,##0.00000_);_(* \(#,##0.00000\);_(* "-"??_);_(@_)</c:formatCode>
                <c:ptCount val="11"/>
                <c:pt idx="0">
                  <c:v>0</c:v>
                </c:pt>
                <c:pt idx="1">
                  <c:v>0</c:v>
                </c:pt>
                <c:pt idx="2">
                  <c:v>7.9762145829704757E-5</c:v>
                </c:pt>
                <c:pt idx="3">
                  <c:v>0</c:v>
                </c:pt>
                <c:pt idx="4">
                  <c:v>0</c:v>
                </c:pt>
                <c:pt idx="5">
                  <c:v>0</c:v>
                </c:pt>
                <c:pt idx="6">
                  <c:v>0</c:v>
                </c:pt>
                <c:pt idx="7">
                  <c:v>7.539962271968277E-4</c:v>
                </c:pt>
                <c:pt idx="8">
                  <c:v>8.7916938493637042E-5</c:v>
                </c:pt>
                <c:pt idx="9">
                  <c:v>0</c:v>
                </c:pt>
                <c:pt idx="10">
                  <c:v>0</c:v>
                </c:pt>
              </c:numCache>
            </c:numRef>
          </c:val>
          <c:extLst>
            <c:ext xmlns:c16="http://schemas.microsoft.com/office/drawing/2014/chart" uri="{C3380CC4-5D6E-409C-BE32-E72D297353CC}">
              <c16:uniqueId val="{00000031-0D93-451F-9184-42BCEF89AED2}"/>
            </c:ext>
          </c:extLst>
        </c:ser>
        <c:ser>
          <c:idx val="1"/>
          <c:order val="1"/>
          <c:tx>
            <c:strRef>
              <c:f>'A2-6 RSE components'!$D$62</c:f>
              <c:strCache>
                <c:ptCount val="1"/>
                <c:pt idx="0">
                  <c:v>Steel</c:v>
                </c:pt>
              </c:strCache>
            </c:strRef>
          </c:tx>
          <c:spPr>
            <a:solidFill>
              <a:schemeClr val="accent2">
                <a:lumMod val="50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components'!$D$63:$D$73</c:f>
              <c:numCache>
                <c:formatCode>_(* #,##0.00000_);_(* \(#,##0.00000\);_(* "-"??_);_(@_)</c:formatCode>
                <c:ptCount val="11"/>
                <c:pt idx="0">
                  <c:v>2.0984778724594772E-4</c:v>
                </c:pt>
                <c:pt idx="1">
                  <c:v>7.7520790213981533E-5</c:v>
                </c:pt>
                <c:pt idx="2">
                  <c:v>1.7331708145489107E-4</c:v>
                </c:pt>
                <c:pt idx="3">
                  <c:v>9.7638048778699734E-6</c:v>
                </c:pt>
                <c:pt idx="4">
                  <c:v>2.2497982818014992E-5</c:v>
                </c:pt>
                <c:pt idx="5">
                  <c:v>0</c:v>
                </c:pt>
                <c:pt idx="6">
                  <c:v>0</c:v>
                </c:pt>
                <c:pt idx="7">
                  <c:v>3.9431044763335479E-4</c:v>
                </c:pt>
                <c:pt idx="8">
                  <c:v>2.8280976403043595E-4</c:v>
                </c:pt>
                <c:pt idx="9">
                  <c:v>8.230805512014567E-5</c:v>
                </c:pt>
                <c:pt idx="10">
                  <c:v>9.0154990401915445E-5</c:v>
                </c:pt>
              </c:numCache>
            </c:numRef>
          </c:val>
          <c:extLst>
            <c:ext xmlns:c16="http://schemas.microsoft.com/office/drawing/2014/chart" uri="{C3380CC4-5D6E-409C-BE32-E72D297353CC}">
              <c16:uniqueId val="{00000033-0D93-451F-9184-42BCEF89AED2}"/>
            </c:ext>
          </c:extLst>
        </c:ser>
        <c:ser>
          <c:idx val="2"/>
          <c:order val="2"/>
          <c:tx>
            <c:strRef>
              <c:f>'A2-6 RSE components'!$E$62</c:f>
              <c:strCache>
                <c:ptCount val="1"/>
                <c:pt idx="0">
                  <c:v>Plastic</c:v>
                </c:pt>
              </c:strCache>
            </c:strRef>
          </c:tx>
          <c:spPr>
            <a:solidFill>
              <a:schemeClr val="accent6">
                <a:lumMod val="60000"/>
                <a:lumOff val="40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components'!$E$63:$E$73</c:f>
              <c:numCache>
                <c:formatCode>_(* #,##0.00000_);_(* \(#,##0.00000\);_(* "-"??_);_(@_)</c:formatCode>
                <c:ptCount val="11"/>
                <c:pt idx="0">
                  <c:v>1.1947545822345619E-4</c:v>
                </c:pt>
                <c:pt idx="1">
                  <c:v>0</c:v>
                </c:pt>
                <c:pt idx="2">
                  <c:v>0</c:v>
                </c:pt>
                <c:pt idx="3">
                  <c:v>5.9596786127332846E-4</c:v>
                </c:pt>
                <c:pt idx="4">
                  <c:v>4.9890286099960946E-4</c:v>
                </c:pt>
                <c:pt idx="5">
                  <c:v>5.023145273204241E-4</c:v>
                </c:pt>
                <c:pt idx="6">
                  <c:v>4.4629594352477115E-4</c:v>
                </c:pt>
                <c:pt idx="7">
                  <c:v>6.5163738267125682E-4</c:v>
                </c:pt>
                <c:pt idx="8">
                  <c:v>0</c:v>
                </c:pt>
                <c:pt idx="9">
                  <c:v>4.1095713221205987E-4</c:v>
                </c:pt>
                <c:pt idx="10">
                  <c:v>1.9119407400734902E-4</c:v>
                </c:pt>
              </c:numCache>
            </c:numRef>
          </c:val>
          <c:extLst>
            <c:ext xmlns:c16="http://schemas.microsoft.com/office/drawing/2014/chart" uri="{C3380CC4-5D6E-409C-BE32-E72D297353CC}">
              <c16:uniqueId val="{00000035-0D93-451F-9184-42BCEF89AED2}"/>
            </c:ext>
          </c:extLst>
        </c:ser>
        <c:ser>
          <c:idx val="3"/>
          <c:order val="3"/>
          <c:tx>
            <c:strRef>
              <c:f>'A2-6 RSE components'!$F$62</c:f>
              <c:strCache>
                <c:ptCount val="1"/>
                <c:pt idx="0">
                  <c:v>Copper</c:v>
                </c:pt>
              </c:strCache>
            </c:strRef>
          </c:tx>
          <c:spPr>
            <a:solidFill>
              <a:schemeClr val="accent2"/>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components'!$F$63:$F$73</c:f>
              <c:numCache>
                <c:formatCode>_(* #,##0.00000_);_(* \(#,##0.00000\);_(* "-"??_);_(@_)</c:formatCode>
                <c:ptCount val="11"/>
                <c:pt idx="0">
                  <c:v>5.2449225818792231E-4</c:v>
                </c:pt>
                <c:pt idx="1">
                  <c:v>0</c:v>
                </c:pt>
                <c:pt idx="2">
                  <c:v>0</c:v>
                </c:pt>
                <c:pt idx="3">
                  <c:v>6.5914221840616331E-4</c:v>
                </c:pt>
                <c:pt idx="4">
                  <c:v>0</c:v>
                </c:pt>
                <c:pt idx="5">
                  <c:v>0</c:v>
                </c:pt>
                <c:pt idx="6">
                  <c:v>2.7236526207933984E-4</c:v>
                </c:pt>
                <c:pt idx="7">
                  <c:v>2.005795254435137E-4</c:v>
                </c:pt>
                <c:pt idx="8">
                  <c:v>0</c:v>
                </c:pt>
                <c:pt idx="9">
                  <c:v>0</c:v>
                </c:pt>
                <c:pt idx="10">
                  <c:v>4.5485428046620558E-4</c:v>
                </c:pt>
              </c:numCache>
            </c:numRef>
          </c:val>
          <c:extLst>
            <c:ext xmlns:c16="http://schemas.microsoft.com/office/drawing/2014/chart" uri="{C3380CC4-5D6E-409C-BE32-E72D297353CC}">
              <c16:uniqueId val="{00000037-0D93-451F-9184-42BCEF89AED2}"/>
            </c:ext>
          </c:extLst>
        </c:ser>
        <c:ser>
          <c:idx val="4"/>
          <c:order val="4"/>
          <c:tx>
            <c:strRef>
              <c:f>'A2-6 RSE components'!$G$62</c:f>
              <c:strCache>
                <c:ptCount val="1"/>
                <c:pt idx="0">
                  <c:v>Glass</c:v>
                </c:pt>
              </c:strCache>
            </c:strRef>
          </c:tx>
          <c:spPr>
            <a:solidFill>
              <a:srgbClr val="54BAC8"/>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components'!$G$63:$G$73</c:f>
              <c:numCache>
                <c:formatCode>_(* #,##0.00000_);_(* \(#,##0.00000\);_(* "-"??_);_(@_)</c:formatCode>
                <c:ptCount val="11"/>
                <c:pt idx="0">
                  <c:v>0</c:v>
                </c:pt>
                <c:pt idx="1">
                  <c:v>0</c:v>
                </c:pt>
                <c:pt idx="2">
                  <c:v>0</c:v>
                </c:pt>
                <c:pt idx="3">
                  <c:v>0</c:v>
                </c:pt>
                <c:pt idx="4">
                  <c:v>4.7413333055729211E-4</c:v>
                </c:pt>
                <c:pt idx="5">
                  <c:v>0</c:v>
                </c:pt>
                <c:pt idx="6">
                  <c:v>0</c:v>
                </c:pt>
                <c:pt idx="7">
                  <c:v>0</c:v>
                </c:pt>
                <c:pt idx="8">
                  <c:v>0</c:v>
                </c:pt>
                <c:pt idx="9">
                  <c:v>0</c:v>
                </c:pt>
                <c:pt idx="10">
                  <c:v>0</c:v>
                </c:pt>
              </c:numCache>
            </c:numRef>
          </c:val>
          <c:extLst>
            <c:ext xmlns:c16="http://schemas.microsoft.com/office/drawing/2014/chart" uri="{C3380CC4-5D6E-409C-BE32-E72D297353CC}">
              <c16:uniqueId val="{00000039-0D93-451F-9184-42BCEF89AED2}"/>
            </c:ext>
          </c:extLst>
        </c:ser>
        <c:ser>
          <c:idx val="5"/>
          <c:order val="5"/>
          <c:tx>
            <c:strRef>
              <c:f>'A2-6 RSE components'!$H$62</c:f>
              <c:strCache>
                <c:ptCount val="1"/>
                <c:pt idx="0">
                  <c:v>Aluminum</c:v>
                </c:pt>
              </c:strCache>
            </c:strRef>
          </c:tx>
          <c:spPr>
            <a:solidFill>
              <a:schemeClr val="accent3"/>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components'!$H$63:$H$73</c:f>
              <c:numCache>
                <c:formatCode>_(* #,##0.00000_);_(* \(#,##0.00000\);_(* "-"??_);_(@_)</c:formatCode>
                <c:ptCount val="11"/>
                <c:pt idx="0">
                  <c:v>4.4256113634679768E-4</c:v>
                </c:pt>
                <c:pt idx="1">
                  <c:v>0</c:v>
                </c:pt>
                <c:pt idx="2">
                  <c:v>0</c:v>
                </c:pt>
                <c:pt idx="3">
                  <c:v>0</c:v>
                </c:pt>
                <c:pt idx="4">
                  <c:v>0</c:v>
                </c:pt>
                <c:pt idx="5">
                  <c:v>0</c:v>
                </c:pt>
                <c:pt idx="6">
                  <c:v>3.5605074832217648E-4</c:v>
                </c:pt>
                <c:pt idx="7">
                  <c:v>1.1014266106485759E-4</c:v>
                </c:pt>
                <c:pt idx="8">
                  <c:v>0</c:v>
                </c:pt>
                <c:pt idx="9">
                  <c:v>2.1854121789567754E-4</c:v>
                </c:pt>
                <c:pt idx="10">
                  <c:v>0</c:v>
                </c:pt>
              </c:numCache>
            </c:numRef>
          </c:val>
          <c:extLst>
            <c:ext xmlns:c16="http://schemas.microsoft.com/office/drawing/2014/chart" uri="{C3380CC4-5D6E-409C-BE32-E72D297353CC}">
              <c16:uniqueId val="{0000003B-0D93-451F-9184-42BCEF89AED2}"/>
            </c:ext>
          </c:extLst>
        </c:ser>
        <c:ser>
          <c:idx val="6"/>
          <c:order val="6"/>
          <c:tx>
            <c:strRef>
              <c:f>'A2-6 RSE components'!$I$62</c:f>
              <c:strCache>
                <c:ptCount val="1"/>
                <c:pt idx="0">
                  <c:v>Cast aluminum</c:v>
                </c:pt>
              </c:strCache>
            </c:strRef>
          </c:tx>
          <c:spPr>
            <a:solidFill>
              <a:schemeClr val="bg2">
                <a:lumMod val="90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components'!$I$63:$I$73</c:f>
              <c:numCache>
                <c:formatCode>_(* #,##0.00000_);_(* \(#,##0.00000\);_(* "-"??_);_(@_)</c:formatCode>
                <c:ptCount val="11"/>
                <c:pt idx="0">
                  <c:v>0</c:v>
                </c:pt>
                <c:pt idx="1">
                  <c:v>0</c:v>
                </c:pt>
                <c:pt idx="2">
                  <c:v>0</c:v>
                </c:pt>
                <c:pt idx="3">
                  <c:v>0</c:v>
                </c:pt>
                <c:pt idx="4">
                  <c:v>0</c:v>
                </c:pt>
                <c:pt idx="5">
                  <c:v>0</c:v>
                </c:pt>
                <c:pt idx="6">
                  <c:v>0</c:v>
                </c:pt>
                <c:pt idx="7">
                  <c:v>0</c:v>
                </c:pt>
                <c:pt idx="8">
                  <c:v>2.7818623901403755E-4</c:v>
                </c:pt>
                <c:pt idx="9">
                  <c:v>0</c:v>
                </c:pt>
                <c:pt idx="10">
                  <c:v>0</c:v>
                </c:pt>
              </c:numCache>
            </c:numRef>
          </c:val>
          <c:extLst>
            <c:ext xmlns:c16="http://schemas.microsoft.com/office/drawing/2014/chart" uri="{C3380CC4-5D6E-409C-BE32-E72D297353CC}">
              <c16:uniqueId val="{0000003D-0D93-451F-9184-42BCEF89AED2}"/>
            </c:ext>
          </c:extLst>
        </c:ser>
        <c:ser>
          <c:idx val="7"/>
          <c:order val="7"/>
          <c:tx>
            <c:strRef>
              <c:f>'A2-6 RSE components'!$J$62</c:f>
              <c:strCache>
                <c:ptCount val="1"/>
                <c:pt idx="0">
                  <c:v>Paint</c:v>
                </c:pt>
              </c:strCache>
            </c:strRef>
          </c:tx>
          <c:spPr>
            <a:solidFill>
              <a:srgbClr val="C00DC9"/>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components'!$J$63:$J$73</c:f>
              <c:numCache>
                <c:formatCode>_(* #,##0.00000_);_(* \(#,##0.00000\);_(* "-"??_);_(@_)</c:formatCode>
                <c:ptCount val="11"/>
                <c:pt idx="0">
                  <c:v>5.2035777724073861E-4</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3F-0D93-451F-9184-42BCEF89AED2}"/>
            </c:ext>
          </c:extLst>
        </c:ser>
        <c:ser>
          <c:idx val="8"/>
          <c:order val="8"/>
          <c:tx>
            <c:strRef>
              <c:f>'A2-6 RSE components'!$K$62</c:f>
              <c:strCache>
                <c:ptCount val="1"/>
                <c:pt idx="0">
                  <c:v>Rubber</c:v>
                </c:pt>
              </c:strCache>
            </c:strRef>
          </c:tx>
          <c:spPr>
            <a:solidFill>
              <a:schemeClr val="accent6">
                <a:lumMod val="75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components'!$K$63:$K$73</c:f>
              <c:numCache>
                <c:formatCode>_(* #,##0.00000_);_(* \(#,##0.00000\);_(* "-"??_);_(@_)</c:formatCode>
                <c:ptCount val="11"/>
                <c:pt idx="0">
                  <c:v>6.5951167337292328E-4</c:v>
                </c:pt>
                <c:pt idx="1">
                  <c:v>2.4291418699043399E-4</c:v>
                </c:pt>
                <c:pt idx="2">
                  <c:v>0</c:v>
                </c:pt>
                <c:pt idx="3">
                  <c:v>0</c:v>
                </c:pt>
                <c:pt idx="4">
                  <c:v>0</c:v>
                </c:pt>
                <c:pt idx="5">
                  <c:v>0</c:v>
                </c:pt>
                <c:pt idx="6">
                  <c:v>0</c:v>
                </c:pt>
                <c:pt idx="7">
                  <c:v>7.8862228003598247E-4</c:v>
                </c:pt>
                <c:pt idx="8">
                  <c:v>0</c:v>
                </c:pt>
                <c:pt idx="9">
                  <c:v>0</c:v>
                </c:pt>
                <c:pt idx="10">
                  <c:v>0</c:v>
                </c:pt>
              </c:numCache>
            </c:numRef>
          </c:val>
          <c:extLst>
            <c:ext xmlns:c16="http://schemas.microsoft.com/office/drawing/2014/chart" uri="{C3380CC4-5D6E-409C-BE32-E72D297353CC}">
              <c16:uniqueId val="{00000041-0D93-451F-9184-42BCEF89AED2}"/>
            </c:ext>
          </c:extLst>
        </c:ser>
        <c:ser>
          <c:idx val="9"/>
          <c:order val="9"/>
          <c:tx>
            <c:strRef>
              <c:f>'A2-6 RSE components'!$L$62</c:f>
              <c:strCache>
                <c:ptCount val="1"/>
                <c:pt idx="0">
                  <c:v>Carbon black</c:v>
                </c:pt>
              </c:strCache>
            </c:strRef>
          </c:tx>
          <c:spPr>
            <a:solidFill>
              <a:schemeClr val="tx1"/>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components'!$L$63:$L$73</c:f>
              <c:numCache>
                <c:formatCode>_(* #,##0.00000_);_(* \(#,##0.00000\);_(* "-"??_);_(@_)</c:formatCode>
                <c:ptCount val="11"/>
                <c:pt idx="0">
                  <c:v>0</c:v>
                </c:pt>
                <c:pt idx="1">
                  <c:v>3.7769818060421685E-4</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43-0D93-451F-9184-42BCEF89AED2}"/>
            </c:ext>
          </c:extLst>
        </c:ser>
        <c:ser>
          <c:idx val="10"/>
          <c:order val="10"/>
          <c:tx>
            <c:strRef>
              <c:f>'A2-6 RSE components'!$M$62</c:f>
              <c:strCache>
                <c:ptCount val="1"/>
                <c:pt idx="0">
                  <c:v>Lead</c:v>
                </c:pt>
              </c:strCache>
            </c:strRef>
          </c:tx>
          <c:spPr>
            <a:solidFill>
              <a:schemeClr val="accent5">
                <a:lumMod val="60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components'!$M$63:$M$73</c:f>
              <c:numCache>
                <c:formatCode>_(* #,##0.00000_);_(* \(#,##0.00000\);_(* "-"??_);_(@_)</c:formatCode>
                <c:ptCount val="11"/>
                <c:pt idx="0">
                  <c:v>0</c:v>
                </c:pt>
                <c:pt idx="1">
                  <c:v>0</c:v>
                </c:pt>
                <c:pt idx="2">
                  <c:v>0</c:v>
                </c:pt>
                <c:pt idx="3">
                  <c:v>0</c:v>
                </c:pt>
                <c:pt idx="4">
                  <c:v>0</c:v>
                </c:pt>
                <c:pt idx="5">
                  <c:v>9.8843917157323086E-6</c:v>
                </c:pt>
                <c:pt idx="6">
                  <c:v>0</c:v>
                </c:pt>
                <c:pt idx="7">
                  <c:v>0</c:v>
                </c:pt>
                <c:pt idx="8">
                  <c:v>0</c:v>
                </c:pt>
                <c:pt idx="9">
                  <c:v>0</c:v>
                </c:pt>
                <c:pt idx="10">
                  <c:v>0</c:v>
                </c:pt>
              </c:numCache>
            </c:numRef>
          </c:val>
          <c:extLst>
            <c:ext xmlns:c16="http://schemas.microsoft.com/office/drawing/2014/chart" uri="{C3380CC4-5D6E-409C-BE32-E72D297353CC}">
              <c16:uniqueId val="{00000045-0D93-451F-9184-42BCEF89AED2}"/>
            </c:ext>
          </c:extLst>
        </c:ser>
        <c:ser>
          <c:idx val="11"/>
          <c:order val="11"/>
          <c:tx>
            <c:strRef>
              <c:f>'A2-6 RSE components'!$N$62</c:f>
              <c:strCache>
                <c:ptCount val="1"/>
                <c:pt idx="0">
                  <c:v>Ethylen carbonate</c:v>
                </c:pt>
              </c:strCache>
            </c:strRef>
          </c:tx>
          <c:spPr>
            <a:solidFill>
              <a:schemeClr val="accent6"/>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components'!$N$63:$N$73</c:f>
              <c:numCache>
                <c:formatCode>_(* #,##0.00000_);_(* \(#,##0.00000\);_(* "-"??_);_(@_)</c:formatCode>
                <c:ptCount val="11"/>
                <c:pt idx="0">
                  <c:v>0</c:v>
                </c:pt>
                <c:pt idx="1">
                  <c:v>0</c:v>
                </c:pt>
                <c:pt idx="2">
                  <c:v>0</c:v>
                </c:pt>
                <c:pt idx="3">
                  <c:v>0</c:v>
                </c:pt>
                <c:pt idx="4">
                  <c:v>0</c:v>
                </c:pt>
                <c:pt idx="5">
                  <c:v>0</c:v>
                </c:pt>
                <c:pt idx="6">
                  <c:v>3.1080300772893166E-4</c:v>
                </c:pt>
                <c:pt idx="7">
                  <c:v>0</c:v>
                </c:pt>
                <c:pt idx="8">
                  <c:v>0</c:v>
                </c:pt>
                <c:pt idx="9">
                  <c:v>0</c:v>
                </c:pt>
                <c:pt idx="10">
                  <c:v>0</c:v>
                </c:pt>
              </c:numCache>
            </c:numRef>
          </c:val>
          <c:extLst>
            <c:ext xmlns:c16="http://schemas.microsoft.com/office/drawing/2014/chart" uri="{C3380CC4-5D6E-409C-BE32-E72D297353CC}">
              <c16:uniqueId val="{00000047-0D93-451F-9184-42BCEF89AED2}"/>
            </c:ext>
          </c:extLst>
        </c:ser>
        <c:ser>
          <c:idx val="12"/>
          <c:order val="12"/>
          <c:tx>
            <c:strRef>
              <c:f>'A2-6 RSE components'!$O$62</c:f>
              <c:strCache>
                <c:ptCount val="1"/>
                <c:pt idx="0">
                  <c:v>Graphite</c:v>
                </c:pt>
              </c:strCache>
            </c:strRef>
          </c:tx>
          <c:spPr>
            <a:solidFill>
              <a:schemeClr val="bg2">
                <a:lumMod val="25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components'!$O$63:$O$73</c:f>
              <c:numCache>
                <c:formatCode>_(* #,##0.00000_);_(* \(#,##0.00000\);_(* "-"??_);_(@_)</c:formatCode>
                <c:ptCount val="11"/>
                <c:pt idx="0">
                  <c:v>0</c:v>
                </c:pt>
                <c:pt idx="1">
                  <c:v>0</c:v>
                </c:pt>
                <c:pt idx="2">
                  <c:v>0</c:v>
                </c:pt>
                <c:pt idx="3">
                  <c:v>0</c:v>
                </c:pt>
                <c:pt idx="4">
                  <c:v>0</c:v>
                </c:pt>
                <c:pt idx="5">
                  <c:v>0</c:v>
                </c:pt>
                <c:pt idx="6">
                  <c:v>2.82598427625664E-4</c:v>
                </c:pt>
                <c:pt idx="7">
                  <c:v>0</c:v>
                </c:pt>
                <c:pt idx="8">
                  <c:v>0</c:v>
                </c:pt>
                <c:pt idx="9">
                  <c:v>0</c:v>
                </c:pt>
                <c:pt idx="10">
                  <c:v>0</c:v>
                </c:pt>
              </c:numCache>
            </c:numRef>
          </c:val>
          <c:extLst>
            <c:ext xmlns:c16="http://schemas.microsoft.com/office/drawing/2014/chart" uri="{C3380CC4-5D6E-409C-BE32-E72D297353CC}">
              <c16:uniqueId val="{00000049-0D93-451F-9184-42BCEF89AED2}"/>
            </c:ext>
          </c:extLst>
        </c:ser>
        <c:ser>
          <c:idx val="13"/>
          <c:order val="13"/>
          <c:tx>
            <c:strRef>
              <c:f>'A2-6 RSE components'!$P$62</c:f>
              <c:strCache>
                <c:ptCount val="1"/>
                <c:pt idx="0">
                  <c:v>Nd</c:v>
                </c:pt>
              </c:strCache>
            </c:strRef>
          </c:tx>
          <c:spPr>
            <a:solidFill>
              <a:srgbClr val="F91F96"/>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components'!$P$63:$P$73</c:f>
              <c:numCache>
                <c:formatCode>_(* #,##0.00000_);_(* \(#,##0.00000\);_(* "-"??_);_(@_)</c:formatCode>
                <c:ptCount val="11"/>
                <c:pt idx="0">
                  <c:v>0</c:v>
                </c:pt>
                <c:pt idx="1">
                  <c:v>0</c:v>
                </c:pt>
                <c:pt idx="2">
                  <c:v>0</c:v>
                </c:pt>
                <c:pt idx="3">
                  <c:v>0</c:v>
                </c:pt>
                <c:pt idx="4">
                  <c:v>0</c:v>
                </c:pt>
                <c:pt idx="5">
                  <c:v>0</c:v>
                </c:pt>
                <c:pt idx="6">
                  <c:v>0</c:v>
                </c:pt>
                <c:pt idx="7">
                  <c:v>9.2704754675049738E-4</c:v>
                </c:pt>
                <c:pt idx="8">
                  <c:v>0</c:v>
                </c:pt>
                <c:pt idx="9">
                  <c:v>0</c:v>
                </c:pt>
                <c:pt idx="10">
                  <c:v>0</c:v>
                </c:pt>
              </c:numCache>
            </c:numRef>
          </c:val>
          <c:extLst>
            <c:ext xmlns:c16="http://schemas.microsoft.com/office/drawing/2014/chart" uri="{C3380CC4-5D6E-409C-BE32-E72D297353CC}">
              <c16:uniqueId val="{0000004B-0D93-451F-9184-42BCEF89AED2}"/>
            </c:ext>
          </c:extLst>
        </c:ser>
        <c:ser>
          <c:idx val="14"/>
          <c:order val="14"/>
          <c:tx>
            <c:strRef>
              <c:f>'A2-6 RSE components'!$Q$62</c:f>
              <c:strCache>
                <c:ptCount val="1"/>
                <c:pt idx="0">
                  <c:v>LiMn04</c:v>
                </c:pt>
              </c:strCache>
            </c:strRef>
          </c:tx>
          <c:spPr>
            <a:solidFill>
              <a:schemeClr val="accent5">
                <a:lumMod val="75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components'!$Q$63:$Q$73</c:f>
              <c:numCache>
                <c:formatCode>_(* #,##0.00000_);_(* \(#,##0.00000\);_(* "-"??_);_(@_)</c:formatCode>
                <c:ptCount val="11"/>
                <c:pt idx="0">
                  <c:v>0</c:v>
                </c:pt>
                <c:pt idx="1">
                  <c:v>0</c:v>
                </c:pt>
                <c:pt idx="2">
                  <c:v>0</c:v>
                </c:pt>
                <c:pt idx="3">
                  <c:v>0</c:v>
                </c:pt>
                <c:pt idx="4">
                  <c:v>0</c:v>
                </c:pt>
                <c:pt idx="5">
                  <c:v>0</c:v>
                </c:pt>
                <c:pt idx="6">
                  <c:v>2.760795210348016E-4</c:v>
                </c:pt>
                <c:pt idx="7">
                  <c:v>0</c:v>
                </c:pt>
                <c:pt idx="8">
                  <c:v>0</c:v>
                </c:pt>
                <c:pt idx="9">
                  <c:v>0</c:v>
                </c:pt>
                <c:pt idx="10">
                  <c:v>0</c:v>
                </c:pt>
              </c:numCache>
            </c:numRef>
          </c:val>
          <c:extLst>
            <c:ext xmlns:c16="http://schemas.microsoft.com/office/drawing/2014/chart" uri="{C3380CC4-5D6E-409C-BE32-E72D297353CC}">
              <c16:uniqueId val="{0000004D-0D93-451F-9184-42BCEF89AED2}"/>
            </c:ext>
          </c:extLst>
        </c:ser>
        <c:ser>
          <c:idx val="15"/>
          <c:order val="15"/>
          <c:tx>
            <c:strRef>
              <c:f>'A2-6 RSE components'!$R$62</c:f>
              <c:strCache>
                <c:ptCount val="1"/>
                <c:pt idx="0">
                  <c:v>LiPF6</c:v>
                </c:pt>
              </c:strCache>
            </c:strRef>
          </c:tx>
          <c:spPr>
            <a:solidFill>
              <a:schemeClr val="accent5">
                <a:lumMod val="60000"/>
                <a:lumOff val="40000"/>
              </a:schemeClr>
            </a:solidFill>
            <a:ln>
              <a:noFill/>
            </a:ln>
            <a:effectLst/>
          </c:spPr>
          <c:invertIfNegative val="0"/>
          <c:cat>
            <c:strRef>
              <c:f>'A2-6 RSE components'!$B$63:$B$73</c:f>
              <c:strCache>
                <c:ptCount val="11"/>
                <c:pt idx="0">
                  <c:v>Interior and exterior</c:v>
                </c:pt>
                <c:pt idx="1">
                  <c:v>Tires and wheels</c:v>
                </c:pt>
                <c:pt idx="2">
                  <c:v>Brakes</c:v>
                </c:pt>
                <c:pt idx="3">
                  <c:v>Chassis</c:v>
                </c:pt>
                <c:pt idx="4">
                  <c:v>Body and doors</c:v>
                </c:pt>
                <c:pt idx="5">
                  <c:v>Lead battery</c:v>
                </c:pt>
                <c:pt idx="6">
                  <c:v>EV battery</c:v>
                </c:pt>
                <c:pt idx="7">
                  <c:v>EV motor and transmission</c:v>
                </c:pt>
                <c:pt idx="8">
                  <c:v>Engine</c:v>
                </c:pt>
                <c:pt idx="9">
                  <c:v>Transmission</c:v>
                </c:pt>
                <c:pt idx="10">
                  <c:v>Other powertrain</c:v>
                </c:pt>
              </c:strCache>
            </c:strRef>
          </c:cat>
          <c:val>
            <c:numRef>
              <c:f>'A2-6 RSE components'!$R$63:$R$73</c:f>
              <c:numCache>
                <c:formatCode>_(* #,##0.00000_);_(* \(#,##0.00000\);_(* "-"??_);_(@_)</c:formatCode>
                <c:ptCount val="11"/>
                <c:pt idx="0">
                  <c:v>0</c:v>
                </c:pt>
                <c:pt idx="1">
                  <c:v>0</c:v>
                </c:pt>
                <c:pt idx="2">
                  <c:v>0</c:v>
                </c:pt>
                <c:pt idx="3">
                  <c:v>0</c:v>
                </c:pt>
                <c:pt idx="4">
                  <c:v>0</c:v>
                </c:pt>
                <c:pt idx="5">
                  <c:v>0</c:v>
                </c:pt>
                <c:pt idx="6">
                  <c:v>6.8063984368817491E-4</c:v>
                </c:pt>
                <c:pt idx="7">
                  <c:v>0</c:v>
                </c:pt>
                <c:pt idx="8">
                  <c:v>0</c:v>
                </c:pt>
                <c:pt idx="9">
                  <c:v>0</c:v>
                </c:pt>
                <c:pt idx="10">
                  <c:v>0</c:v>
                </c:pt>
              </c:numCache>
            </c:numRef>
          </c:val>
          <c:extLst>
            <c:ext xmlns:c16="http://schemas.microsoft.com/office/drawing/2014/chart" uri="{C3380CC4-5D6E-409C-BE32-E72D297353CC}">
              <c16:uniqueId val="{0000004F-0D93-451F-9184-42BCEF89AED2}"/>
            </c:ext>
          </c:extLst>
        </c:ser>
        <c:dLbls>
          <c:showLegendKey val="0"/>
          <c:showVal val="0"/>
          <c:showCatName val="0"/>
          <c:showSerName val="0"/>
          <c:showPercent val="0"/>
          <c:showBubbleSize val="0"/>
        </c:dLbls>
        <c:gapWidth val="150"/>
        <c:overlap val="100"/>
        <c:axId val="434414152"/>
        <c:axId val="434408576"/>
      </c:barChart>
      <c:catAx>
        <c:axId val="43441415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4408576"/>
        <c:crossesAt val="0"/>
        <c:auto val="1"/>
        <c:lblAlgn val="ctr"/>
        <c:lblOffset val="100"/>
        <c:noMultiLvlLbl val="0"/>
      </c:catAx>
      <c:valAx>
        <c:axId val="434408576"/>
        <c:scaling>
          <c:orientation val="minMax"/>
          <c:max val="4.5000000000000014E-3"/>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r>
                  <a:rPr lang="en-US" sz="1000"/>
                  <a:t>RSE/kg</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dk1">
                      <a:lumMod val="65000"/>
                      <a:lumOff val="35000"/>
                    </a:schemeClr>
                  </a:solidFill>
                  <a:latin typeface="+mn-lt"/>
                  <a:ea typeface="+mn-ea"/>
                  <a:cs typeface="+mn-cs"/>
                </a:defRPr>
              </a:pPr>
              <a:endParaRPr lang="en-US"/>
            </a:p>
          </c:txPr>
        </c:title>
        <c:numFmt formatCode="0.0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4414152"/>
        <c:crosses val="autoZero"/>
        <c:crossBetween val="between"/>
      </c:valAx>
      <c:spPr>
        <a:pattFill prst="ltDnDiag">
          <a:fgClr>
            <a:schemeClr val="dk1">
              <a:lumMod val="15000"/>
              <a:lumOff val="85000"/>
            </a:schemeClr>
          </a:fgClr>
          <a:bgClr>
            <a:schemeClr val="lt1"/>
          </a:bgClr>
        </a:pattFill>
        <a:ln>
          <a:noFill/>
        </a:ln>
        <a:effectLst/>
      </c:spPr>
    </c:plotArea>
    <c:legend>
      <c:legendPos val="b"/>
      <c:layout>
        <c:manualLayout>
          <c:xMode val="edge"/>
          <c:yMode val="edge"/>
          <c:x val="8.2556927441845257E-2"/>
          <c:y val="0.91810783841153476"/>
          <c:w val="0.89999998931857761"/>
          <c:h val="5.14207935176123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342900</xdr:colOff>
      <xdr:row>3</xdr:row>
      <xdr:rowOff>167640</xdr:rowOff>
    </xdr:from>
    <xdr:to>
      <xdr:col>15</xdr:col>
      <xdr:colOff>595121</xdr:colOff>
      <xdr:row>17</xdr:row>
      <xdr:rowOff>23069</xdr:rowOff>
    </xdr:to>
    <xdr:pic>
      <xdr:nvPicPr>
        <xdr:cNvPr id="3" name="Picture 2">
          <a:extLst>
            <a:ext uri="{FF2B5EF4-FFF2-40B4-BE49-F238E27FC236}">
              <a16:creationId xmlns:a16="http://schemas.microsoft.com/office/drawing/2014/main" id="{87238C65-F3E5-4038-88A1-8543278AC33C}"/>
            </a:ext>
          </a:extLst>
        </xdr:cNvPr>
        <xdr:cNvPicPr>
          <a:picLocks noChangeAspect="1"/>
        </xdr:cNvPicPr>
      </xdr:nvPicPr>
      <xdr:blipFill>
        <a:blip xmlns:r="http://schemas.openxmlformats.org/officeDocument/2006/relationships" r:embed="rId1"/>
        <a:stretch>
          <a:fillRect/>
        </a:stretch>
      </xdr:blipFill>
      <xdr:spPr>
        <a:xfrm>
          <a:off x="952500" y="716280"/>
          <a:ext cx="8786621" cy="24157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238125</xdr:colOff>
      <xdr:row>2</xdr:row>
      <xdr:rowOff>137160</xdr:rowOff>
    </xdr:from>
    <xdr:to>
      <xdr:col>26</xdr:col>
      <xdr:colOff>298745</xdr:colOff>
      <xdr:row>25</xdr:row>
      <xdr:rowOff>175490</xdr:rowOff>
    </xdr:to>
    <xdr:pic>
      <xdr:nvPicPr>
        <xdr:cNvPr id="2" name="Picture 1">
          <a:extLst>
            <a:ext uri="{FF2B5EF4-FFF2-40B4-BE49-F238E27FC236}">
              <a16:creationId xmlns:a16="http://schemas.microsoft.com/office/drawing/2014/main" id="{F5AFCDFC-7E1B-4D3A-B1E1-530CF3A507F4}"/>
            </a:ext>
          </a:extLst>
        </xdr:cNvPr>
        <xdr:cNvPicPr>
          <a:picLocks noChangeAspect="1"/>
        </xdr:cNvPicPr>
      </xdr:nvPicPr>
      <xdr:blipFill>
        <a:blip xmlns:r="http://schemas.openxmlformats.org/officeDocument/2006/relationships" r:embed="rId1"/>
        <a:stretch>
          <a:fillRect/>
        </a:stretch>
      </xdr:blipFill>
      <xdr:spPr>
        <a:xfrm>
          <a:off x="15066645" y="502920"/>
          <a:ext cx="5547020" cy="4465550"/>
        </a:xfrm>
        <a:prstGeom prst="rect">
          <a:avLst/>
        </a:prstGeom>
      </xdr:spPr>
    </xdr:pic>
    <xdr:clientData/>
  </xdr:twoCellAnchor>
  <xdr:twoCellAnchor editAs="oneCell">
    <xdr:from>
      <xdr:col>17</xdr:col>
      <xdr:colOff>346710</xdr:colOff>
      <xdr:row>26</xdr:row>
      <xdr:rowOff>42545</xdr:rowOff>
    </xdr:from>
    <xdr:to>
      <xdr:col>26</xdr:col>
      <xdr:colOff>248571</xdr:colOff>
      <xdr:row>41</xdr:row>
      <xdr:rowOff>125241</xdr:rowOff>
    </xdr:to>
    <xdr:pic>
      <xdr:nvPicPr>
        <xdr:cNvPr id="3" name="Picture 2">
          <a:extLst>
            <a:ext uri="{FF2B5EF4-FFF2-40B4-BE49-F238E27FC236}">
              <a16:creationId xmlns:a16="http://schemas.microsoft.com/office/drawing/2014/main" id="{CC893066-94F2-4AC6-A657-0208DCECC589}"/>
            </a:ext>
          </a:extLst>
        </xdr:cNvPr>
        <xdr:cNvPicPr>
          <a:picLocks noChangeAspect="1"/>
        </xdr:cNvPicPr>
      </xdr:nvPicPr>
      <xdr:blipFill>
        <a:blip xmlns:r="http://schemas.openxmlformats.org/officeDocument/2006/relationships" r:embed="rId2"/>
        <a:stretch>
          <a:fillRect/>
        </a:stretch>
      </xdr:blipFill>
      <xdr:spPr>
        <a:xfrm>
          <a:off x="15175230" y="5018405"/>
          <a:ext cx="5388261" cy="2825896"/>
        </a:xfrm>
        <a:prstGeom prst="rect">
          <a:avLst/>
        </a:prstGeom>
      </xdr:spPr>
    </xdr:pic>
    <xdr:clientData/>
  </xdr:twoCellAnchor>
  <xdr:twoCellAnchor>
    <xdr:from>
      <xdr:col>5</xdr:col>
      <xdr:colOff>714373</xdr:colOff>
      <xdr:row>65</xdr:row>
      <xdr:rowOff>14287</xdr:rowOff>
    </xdr:from>
    <xdr:to>
      <xdr:col>23</xdr:col>
      <xdr:colOff>142875</xdr:colOff>
      <xdr:row>100</xdr:row>
      <xdr:rowOff>85725</xdr:rowOff>
    </xdr:to>
    <xdr:graphicFrame macro="">
      <xdr:nvGraphicFramePr>
        <xdr:cNvPr id="8" name="Chart 7">
          <a:extLst>
            <a:ext uri="{FF2B5EF4-FFF2-40B4-BE49-F238E27FC236}">
              <a16:creationId xmlns:a16="http://schemas.microsoft.com/office/drawing/2014/main" id="{E231EC0B-9E59-42B8-B316-10FB263242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76200</xdr:colOff>
      <xdr:row>1</xdr:row>
      <xdr:rowOff>127000</xdr:rowOff>
    </xdr:from>
    <xdr:to>
      <xdr:col>8</xdr:col>
      <xdr:colOff>1155700</xdr:colOff>
      <xdr:row>2</xdr:row>
      <xdr:rowOff>88900</xdr:rowOff>
    </xdr:to>
    <xdr:cxnSp macro="">
      <xdr:nvCxnSpPr>
        <xdr:cNvPr id="2" name="Connector: Elbow 1">
          <a:extLst>
            <a:ext uri="{FF2B5EF4-FFF2-40B4-BE49-F238E27FC236}">
              <a16:creationId xmlns:a16="http://schemas.microsoft.com/office/drawing/2014/main" id="{55956165-FC86-4049-9228-BA46C1874DF4}"/>
            </a:ext>
          </a:extLst>
        </xdr:cNvPr>
        <xdr:cNvCxnSpPr/>
      </xdr:nvCxnSpPr>
      <xdr:spPr>
        <a:xfrm>
          <a:off x="5501640" y="508000"/>
          <a:ext cx="896620" cy="1447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101600</xdr:colOff>
      <xdr:row>1</xdr:row>
      <xdr:rowOff>69850</xdr:rowOff>
    </xdr:from>
    <xdr:to>
      <xdr:col>8</xdr:col>
      <xdr:colOff>1187450</xdr:colOff>
      <xdr:row>1</xdr:row>
      <xdr:rowOff>69850</xdr:rowOff>
    </xdr:to>
    <xdr:cxnSp macro="">
      <xdr:nvCxnSpPr>
        <xdr:cNvPr id="3" name="Straight Arrow Connector 2">
          <a:extLst>
            <a:ext uri="{FF2B5EF4-FFF2-40B4-BE49-F238E27FC236}">
              <a16:creationId xmlns:a16="http://schemas.microsoft.com/office/drawing/2014/main" id="{71554D65-7FD4-4CFC-9A60-8375E46D9198}"/>
            </a:ext>
          </a:extLst>
        </xdr:cNvPr>
        <xdr:cNvCxnSpPr/>
      </xdr:nvCxnSpPr>
      <xdr:spPr>
        <a:xfrm>
          <a:off x="5527040" y="450850"/>
          <a:ext cx="87249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198120</xdr:colOff>
      <xdr:row>48</xdr:row>
      <xdr:rowOff>91440</xdr:rowOff>
    </xdr:from>
    <xdr:to>
      <xdr:col>6</xdr:col>
      <xdr:colOff>472440</xdr:colOff>
      <xdr:row>52</xdr:row>
      <xdr:rowOff>129540</xdr:rowOff>
    </xdr:to>
    <xdr:sp macro="" textlink="">
      <xdr:nvSpPr>
        <xdr:cNvPr id="13" name="Arrow: Right 12">
          <a:extLst>
            <a:ext uri="{FF2B5EF4-FFF2-40B4-BE49-F238E27FC236}">
              <a16:creationId xmlns:a16="http://schemas.microsoft.com/office/drawing/2014/main" id="{0BA6B320-55AA-4D42-8CC2-1E24D11470AC}"/>
            </a:ext>
          </a:extLst>
        </xdr:cNvPr>
        <xdr:cNvSpPr/>
      </xdr:nvSpPr>
      <xdr:spPr>
        <a:xfrm>
          <a:off x="6332220" y="7787640"/>
          <a:ext cx="274320" cy="769620"/>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48</xdr:row>
      <xdr:rowOff>114300</xdr:rowOff>
    </xdr:from>
    <xdr:to>
      <xdr:col>9</xdr:col>
      <xdr:colOff>464820</xdr:colOff>
      <xdr:row>52</xdr:row>
      <xdr:rowOff>152400</xdr:rowOff>
    </xdr:to>
    <xdr:sp macro="" textlink="">
      <xdr:nvSpPr>
        <xdr:cNvPr id="14" name="Arrow: Right 13">
          <a:extLst>
            <a:ext uri="{FF2B5EF4-FFF2-40B4-BE49-F238E27FC236}">
              <a16:creationId xmlns:a16="http://schemas.microsoft.com/office/drawing/2014/main" id="{210B7BED-AF84-4202-B482-6A93196674B5}"/>
            </a:ext>
          </a:extLst>
        </xdr:cNvPr>
        <xdr:cNvSpPr/>
      </xdr:nvSpPr>
      <xdr:spPr>
        <a:xfrm>
          <a:off x="8244840" y="7810500"/>
          <a:ext cx="274320" cy="769620"/>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162262</xdr:colOff>
      <xdr:row>65</xdr:row>
      <xdr:rowOff>28687</xdr:rowOff>
    </xdr:from>
    <xdr:to>
      <xdr:col>6</xdr:col>
      <xdr:colOff>436582</xdr:colOff>
      <xdr:row>69</xdr:row>
      <xdr:rowOff>66787</xdr:rowOff>
    </xdr:to>
    <xdr:sp macro="" textlink="">
      <xdr:nvSpPr>
        <xdr:cNvPr id="15" name="Arrow: Right 14">
          <a:extLst>
            <a:ext uri="{FF2B5EF4-FFF2-40B4-BE49-F238E27FC236}">
              <a16:creationId xmlns:a16="http://schemas.microsoft.com/office/drawing/2014/main" id="{E6D14A71-F267-41B7-8411-050CE0B68983}"/>
            </a:ext>
          </a:extLst>
        </xdr:cNvPr>
        <xdr:cNvSpPr/>
      </xdr:nvSpPr>
      <xdr:spPr>
        <a:xfrm>
          <a:off x="6285156" y="12543416"/>
          <a:ext cx="274320" cy="755277"/>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180191</xdr:colOff>
      <xdr:row>64</xdr:row>
      <xdr:rowOff>64545</xdr:rowOff>
    </xdr:from>
    <xdr:to>
      <xdr:col>11</xdr:col>
      <xdr:colOff>454511</xdr:colOff>
      <xdr:row>68</xdr:row>
      <xdr:rowOff>102645</xdr:rowOff>
    </xdr:to>
    <xdr:sp macro="" textlink="">
      <xdr:nvSpPr>
        <xdr:cNvPr id="17" name="Arrow: Right 16">
          <a:extLst>
            <a:ext uri="{FF2B5EF4-FFF2-40B4-BE49-F238E27FC236}">
              <a16:creationId xmlns:a16="http://schemas.microsoft.com/office/drawing/2014/main" id="{F3C3A7A5-A6CB-4102-A4ED-0252914F5D91}"/>
            </a:ext>
          </a:extLst>
        </xdr:cNvPr>
        <xdr:cNvSpPr/>
      </xdr:nvSpPr>
      <xdr:spPr>
        <a:xfrm>
          <a:off x="9485556" y="10768404"/>
          <a:ext cx="274320" cy="755276"/>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511886</xdr:colOff>
      <xdr:row>64</xdr:row>
      <xdr:rowOff>64545</xdr:rowOff>
    </xdr:from>
    <xdr:to>
      <xdr:col>14</xdr:col>
      <xdr:colOff>149712</xdr:colOff>
      <xdr:row>68</xdr:row>
      <xdr:rowOff>102645</xdr:rowOff>
    </xdr:to>
    <xdr:sp macro="" textlink="">
      <xdr:nvSpPr>
        <xdr:cNvPr id="18" name="Arrow: Right 17">
          <a:extLst>
            <a:ext uri="{FF2B5EF4-FFF2-40B4-BE49-F238E27FC236}">
              <a16:creationId xmlns:a16="http://schemas.microsoft.com/office/drawing/2014/main" id="{07B63A3B-6991-45F5-8AF9-951CC30C6908}"/>
            </a:ext>
          </a:extLst>
        </xdr:cNvPr>
        <xdr:cNvSpPr/>
      </xdr:nvSpPr>
      <xdr:spPr>
        <a:xfrm>
          <a:off x="11090239" y="10768404"/>
          <a:ext cx="274320" cy="755276"/>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189155</xdr:colOff>
      <xdr:row>85</xdr:row>
      <xdr:rowOff>73514</xdr:rowOff>
    </xdr:from>
    <xdr:to>
      <xdr:col>7</xdr:col>
      <xdr:colOff>463475</xdr:colOff>
      <xdr:row>89</xdr:row>
      <xdr:rowOff>111612</xdr:rowOff>
    </xdr:to>
    <xdr:sp macro="" textlink="">
      <xdr:nvSpPr>
        <xdr:cNvPr id="19" name="Arrow: Right 18">
          <a:extLst>
            <a:ext uri="{FF2B5EF4-FFF2-40B4-BE49-F238E27FC236}">
              <a16:creationId xmlns:a16="http://schemas.microsoft.com/office/drawing/2014/main" id="{18C7159F-7CDA-4068-A755-2A3A1BB4A453}"/>
            </a:ext>
          </a:extLst>
        </xdr:cNvPr>
        <xdr:cNvSpPr/>
      </xdr:nvSpPr>
      <xdr:spPr>
        <a:xfrm>
          <a:off x="6948543" y="14569443"/>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126401</xdr:colOff>
      <xdr:row>79</xdr:row>
      <xdr:rowOff>46617</xdr:rowOff>
    </xdr:from>
    <xdr:to>
      <xdr:col>18</xdr:col>
      <xdr:colOff>400721</xdr:colOff>
      <xdr:row>83</xdr:row>
      <xdr:rowOff>93680</xdr:rowOff>
    </xdr:to>
    <xdr:sp macro="" textlink="">
      <xdr:nvSpPr>
        <xdr:cNvPr id="20" name="Arrow: Right 19">
          <a:extLst>
            <a:ext uri="{FF2B5EF4-FFF2-40B4-BE49-F238E27FC236}">
              <a16:creationId xmlns:a16="http://schemas.microsoft.com/office/drawing/2014/main" id="{A46AE4A6-2F42-4D19-AE0C-D5AA8648605C}"/>
            </a:ext>
          </a:extLst>
        </xdr:cNvPr>
        <xdr:cNvSpPr/>
      </xdr:nvSpPr>
      <xdr:spPr>
        <a:xfrm rot="10800000">
          <a:off x="13887225" y="13475746"/>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520849</xdr:colOff>
      <xdr:row>97</xdr:row>
      <xdr:rowOff>28688</xdr:rowOff>
    </xdr:from>
    <xdr:to>
      <xdr:col>7</xdr:col>
      <xdr:colOff>158675</xdr:colOff>
      <xdr:row>101</xdr:row>
      <xdr:rowOff>66786</xdr:rowOff>
    </xdr:to>
    <xdr:sp macro="" textlink="">
      <xdr:nvSpPr>
        <xdr:cNvPr id="21" name="Arrow: Right 20">
          <a:extLst>
            <a:ext uri="{FF2B5EF4-FFF2-40B4-BE49-F238E27FC236}">
              <a16:creationId xmlns:a16="http://schemas.microsoft.com/office/drawing/2014/main" id="{4260E838-19F9-41AA-9FB5-0DAEAD05FEDE}"/>
            </a:ext>
          </a:extLst>
        </xdr:cNvPr>
        <xdr:cNvSpPr/>
      </xdr:nvSpPr>
      <xdr:spPr>
        <a:xfrm>
          <a:off x="6643743" y="16694076"/>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207084</xdr:colOff>
      <xdr:row>102</xdr:row>
      <xdr:rowOff>19722</xdr:rowOff>
    </xdr:from>
    <xdr:to>
      <xdr:col>16</xdr:col>
      <xdr:colOff>510988</xdr:colOff>
      <xdr:row>105</xdr:row>
      <xdr:rowOff>161365</xdr:rowOff>
    </xdr:to>
    <xdr:sp macro="" textlink="">
      <xdr:nvSpPr>
        <xdr:cNvPr id="22" name="Arrow: Right 21">
          <a:extLst>
            <a:ext uri="{FF2B5EF4-FFF2-40B4-BE49-F238E27FC236}">
              <a16:creationId xmlns:a16="http://schemas.microsoft.com/office/drawing/2014/main" id="{82087B56-04D8-4953-8B44-D088279916FA}"/>
            </a:ext>
          </a:extLst>
        </xdr:cNvPr>
        <xdr:cNvSpPr/>
      </xdr:nvSpPr>
      <xdr:spPr>
        <a:xfrm>
          <a:off x="12694919" y="17581581"/>
          <a:ext cx="303904" cy="67952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198120</xdr:colOff>
      <xdr:row>49</xdr:row>
      <xdr:rowOff>28689</xdr:rowOff>
    </xdr:from>
    <xdr:to>
      <xdr:col>15</xdr:col>
      <xdr:colOff>472440</xdr:colOff>
      <xdr:row>53</xdr:row>
      <xdr:rowOff>66787</xdr:rowOff>
    </xdr:to>
    <xdr:sp macro="" textlink="">
      <xdr:nvSpPr>
        <xdr:cNvPr id="23" name="Arrow: Right 22">
          <a:extLst>
            <a:ext uri="{FF2B5EF4-FFF2-40B4-BE49-F238E27FC236}">
              <a16:creationId xmlns:a16="http://schemas.microsoft.com/office/drawing/2014/main" id="{3BC16AE9-B443-43DE-8766-2BF8BA17C4F4}"/>
            </a:ext>
          </a:extLst>
        </xdr:cNvPr>
        <xdr:cNvSpPr/>
      </xdr:nvSpPr>
      <xdr:spPr>
        <a:xfrm rot="10800000">
          <a:off x="12049461" y="9585065"/>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180190</xdr:colOff>
      <xdr:row>96</xdr:row>
      <xdr:rowOff>100405</xdr:rowOff>
    </xdr:from>
    <xdr:to>
      <xdr:col>14</xdr:col>
      <xdr:colOff>454510</xdr:colOff>
      <xdr:row>100</xdr:row>
      <xdr:rowOff>138503</xdr:rowOff>
    </xdr:to>
    <xdr:sp macro="" textlink="">
      <xdr:nvSpPr>
        <xdr:cNvPr id="24" name="Arrow: Right 23">
          <a:extLst>
            <a:ext uri="{FF2B5EF4-FFF2-40B4-BE49-F238E27FC236}">
              <a16:creationId xmlns:a16="http://schemas.microsoft.com/office/drawing/2014/main" id="{D4A85A9B-0BBF-4E88-83A3-B9670DB232AB}"/>
            </a:ext>
          </a:extLst>
        </xdr:cNvPr>
        <xdr:cNvSpPr/>
      </xdr:nvSpPr>
      <xdr:spPr>
        <a:xfrm rot="10800000">
          <a:off x="11395037" y="16586499"/>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162260</xdr:colOff>
      <xdr:row>160</xdr:row>
      <xdr:rowOff>172122</xdr:rowOff>
    </xdr:from>
    <xdr:to>
      <xdr:col>14</xdr:col>
      <xdr:colOff>436580</xdr:colOff>
      <xdr:row>165</xdr:row>
      <xdr:rowOff>21962</xdr:rowOff>
    </xdr:to>
    <xdr:sp macro="" textlink="">
      <xdr:nvSpPr>
        <xdr:cNvPr id="25" name="Arrow: Right 24">
          <a:extLst>
            <a:ext uri="{FF2B5EF4-FFF2-40B4-BE49-F238E27FC236}">
              <a16:creationId xmlns:a16="http://schemas.microsoft.com/office/drawing/2014/main" id="{635ABD76-6C3D-43BB-BFCA-74D717EB159E}"/>
            </a:ext>
          </a:extLst>
        </xdr:cNvPr>
        <xdr:cNvSpPr/>
      </xdr:nvSpPr>
      <xdr:spPr>
        <a:xfrm rot="10800000">
          <a:off x="11377107" y="24224428"/>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189154</xdr:colOff>
      <xdr:row>160</xdr:row>
      <xdr:rowOff>145228</xdr:rowOff>
    </xdr:from>
    <xdr:to>
      <xdr:col>10</xdr:col>
      <xdr:colOff>463474</xdr:colOff>
      <xdr:row>164</xdr:row>
      <xdr:rowOff>174362</xdr:rowOff>
    </xdr:to>
    <xdr:sp macro="" textlink="">
      <xdr:nvSpPr>
        <xdr:cNvPr id="26" name="Arrow: Right 25">
          <a:extLst>
            <a:ext uri="{FF2B5EF4-FFF2-40B4-BE49-F238E27FC236}">
              <a16:creationId xmlns:a16="http://schemas.microsoft.com/office/drawing/2014/main" id="{B4525DA2-842E-491D-97AC-9C4D34AC1041}"/>
            </a:ext>
          </a:extLst>
        </xdr:cNvPr>
        <xdr:cNvSpPr/>
      </xdr:nvSpPr>
      <xdr:spPr>
        <a:xfrm rot="10800000">
          <a:off x="8858025" y="24197534"/>
          <a:ext cx="274320" cy="755275"/>
        </a:xfrm>
        <a:prstGeom prst="rightArrow">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17931</xdr:colOff>
      <xdr:row>111</xdr:row>
      <xdr:rowOff>32218</xdr:rowOff>
    </xdr:from>
    <xdr:to>
      <xdr:col>16</xdr:col>
      <xdr:colOff>89647</xdr:colOff>
      <xdr:row>132</xdr:row>
      <xdr:rowOff>77042</xdr:rowOff>
    </xdr:to>
    <xdr:graphicFrame macro="">
      <xdr:nvGraphicFramePr>
        <xdr:cNvPr id="3" name="Chart 2">
          <a:extLst>
            <a:ext uri="{FF2B5EF4-FFF2-40B4-BE49-F238E27FC236}">
              <a16:creationId xmlns:a16="http://schemas.microsoft.com/office/drawing/2014/main" id="{6F5276AB-79A2-44B3-AC32-C35E0C6A4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88</xdr:row>
      <xdr:rowOff>80682</xdr:rowOff>
    </xdr:from>
    <xdr:to>
      <xdr:col>16</xdr:col>
      <xdr:colOff>112058</xdr:colOff>
      <xdr:row>110</xdr:row>
      <xdr:rowOff>134470</xdr:rowOff>
    </xdr:to>
    <xdr:graphicFrame macro="">
      <xdr:nvGraphicFramePr>
        <xdr:cNvPr id="5" name="Chart 4">
          <a:extLst>
            <a:ext uri="{FF2B5EF4-FFF2-40B4-BE49-F238E27FC236}">
              <a16:creationId xmlns:a16="http://schemas.microsoft.com/office/drawing/2014/main" id="{1973F421-DD95-4A29-B0F3-D129F9275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416168</xdr:colOff>
      <xdr:row>91</xdr:row>
      <xdr:rowOff>26895</xdr:rowOff>
    </xdr:from>
    <xdr:to>
      <xdr:col>15</xdr:col>
      <xdr:colOff>533400</xdr:colOff>
      <xdr:row>106</xdr:row>
      <xdr:rowOff>134816</xdr:rowOff>
    </xdr:to>
    <xdr:sp macro="" textlink="">
      <xdr:nvSpPr>
        <xdr:cNvPr id="6" name="Rectangle 5">
          <a:extLst>
            <a:ext uri="{FF2B5EF4-FFF2-40B4-BE49-F238E27FC236}">
              <a16:creationId xmlns:a16="http://schemas.microsoft.com/office/drawing/2014/main" id="{BFC28F8C-E123-45A1-BBB0-79DB92AF40C3}"/>
            </a:ext>
          </a:extLst>
        </xdr:cNvPr>
        <xdr:cNvSpPr/>
      </xdr:nvSpPr>
      <xdr:spPr>
        <a:xfrm>
          <a:off x="10333891" y="18654864"/>
          <a:ext cx="2157047" cy="3308321"/>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128607</xdr:colOff>
      <xdr:row>91</xdr:row>
      <xdr:rowOff>146539</xdr:rowOff>
    </xdr:from>
    <xdr:to>
      <xdr:col>12</xdr:col>
      <xdr:colOff>357553</xdr:colOff>
      <xdr:row>106</xdr:row>
      <xdr:rowOff>134816</xdr:rowOff>
    </xdr:to>
    <xdr:sp macro="" textlink="">
      <xdr:nvSpPr>
        <xdr:cNvPr id="7" name="Rectangle 6">
          <a:extLst>
            <a:ext uri="{FF2B5EF4-FFF2-40B4-BE49-F238E27FC236}">
              <a16:creationId xmlns:a16="http://schemas.microsoft.com/office/drawing/2014/main" id="{60D7E97B-F223-45F2-B653-433B368CFB6C}"/>
            </a:ext>
          </a:extLst>
        </xdr:cNvPr>
        <xdr:cNvSpPr/>
      </xdr:nvSpPr>
      <xdr:spPr>
        <a:xfrm>
          <a:off x="8745069" y="18774508"/>
          <a:ext cx="1530207" cy="3188677"/>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169984</xdr:colOff>
      <xdr:row>91</xdr:row>
      <xdr:rowOff>52754</xdr:rowOff>
    </xdr:from>
    <xdr:to>
      <xdr:col>10</xdr:col>
      <xdr:colOff>52753</xdr:colOff>
      <xdr:row>106</xdr:row>
      <xdr:rowOff>134816</xdr:rowOff>
    </xdr:to>
    <xdr:sp macro="" textlink="">
      <xdr:nvSpPr>
        <xdr:cNvPr id="8" name="Rectangle 7">
          <a:extLst>
            <a:ext uri="{FF2B5EF4-FFF2-40B4-BE49-F238E27FC236}">
              <a16:creationId xmlns:a16="http://schemas.microsoft.com/office/drawing/2014/main" id="{A2EA5F26-7825-43C1-B50C-6721C5BF5C46}"/>
            </a:ext>
          </a:extLst>
        </xdr:cNvPr>
        <xdr:cNvSpPr/>
      </xdr:nvSpPr>
      <xdr:spPr>
        <a:xfrm>
          <a:off x="4173415" y="18680723"/>
          <a:ext cx="4495800" cy="3282462"/>
        </a:xfrm>
        <a:prstGeom prst="rect">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121017</xdr:colOff>
      <xdr:row>90</xdr:row>
      <xdr:rowOff>5521</xdr:rowOff>
    </xdr:from>
    <xdr:ext cx="2614562" cy="264560"/>
    <xdr:sp macro="" textlink="">
      <xdr:nvSpPr>
        <xdr:cNvPr id="12" name="TextBox 11">
          <a:extLst>
            <a:ext uri="{FF2B5EF4-FFF2-40B4-BE49-F238E27FC236}">
              <a16:creationId xmlns:a16="http://schemas.microsoft.com/office/drawing/2014/main" id="{9ADCD192-466F-4443-BDD3-7AA2CB4B6CFB}"/>
            </a:ext>
          </a:extLst>
        </xdr:cNvPr>
        <xdr:cNvSpPr txBox="1"/>
      </xdr:nvSpPr>
      <xdr:spPr>
        <a:xfrm>
          <a:off x="4124448" y="18451783"/>
          <a:ext cx="2614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Glider -</a:t>
          </a:r>
          <a:r>
            <a:rPr lang="en-US" sz="1100" baseline="0"/>
            <a:t> common EV and ICEV components</a:t>
          </a:r>
          <a:endParaRPr lang="en-US" sz="1100"/>
        </a:p>
      </xdr:txBody>
    </xdr:sp>
    <xdr:clientData/>
  </xdr:oneCellAnchor>
  <xdr:oneCellAnchor>
    <xdr:from>
      <xdr:col>10</xdr:col>
      <xdr:colOff>98611</xdr:colOff>
      <xdr:row>90</xdr:row>
      <xdr:rowOff>107576</xdr:rowOff>
    </xdr:from>
    <xdr:ext cx="1539845" cy="264560"/>
    <xdr:sp macro="" textlink="">
      <xdr:nvSpPr>
        <xdr:cNvPr id="13" name="TextBox 12">
          <a:extLst>
            <a:ext uri="{FF2B5EF4-FFF2-40B4-BE49-F238E27FC236}">
              <a16:creationId xmlns:a16="http://schemas.microsoft.com/office/drawing/2014/main" id="{C044EA64-D03F-40B7-924D-5071C207BF02}"/>
            </a:ext>
          </a:extLst>
        </xdr:cNvPr>
        <xdr:cNvSpPr txBox="1"/>
      </xdr:nvSpPr>
      <xdr:spPr>
        <a:xfrm>
          <a:off x="8677835" y="14720047"/>
          <a:ext cx="15398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EV</a:t>
          </a:r>
          <a:r>
            <a:rPr lang="en-US" sz="1100" baseline="0"/>
            <a:t> specific components</a:t>
          </a:r>
          <a:endParaRPr lang="en-US" sz="1100"/>
        </a:p>
      </xdr:txBody>
    </xdr:sp>
    <xdr:clientData/>
  </xdr:oneCellAnchor>
  <xdr:oneCellAnchor>
    <xdr:from>
      <xdr:col>12</xdr:col>
      <xdr:colOff>385482</xdr:colOff>
      <xdr:row>89</xdr:row>
      <xdr:rowOff>161367</xdr:rowOff>
    </xdr:from>
    <xdr:ext cx="1650580" cy="264560"/>
    <xdr:sp macro="" textlink="">
      <xdr:nvSpPr>
        <xdr:cNvPr id="14" name="TextBox 13">
          <a:extLst>
            <a:ext uri="{FF2B5EF4-FFF2-40B4-BE49-F238E27FC236}">
              <a16:creationId xmlns:a16="http://schemas.microsoft.com/office/drawing/2014/main" id="{EEB5C5C3-1F17-4F58-B2D9-AB90AD6CD63C}"/>
            </a:ext>
          </a:extLst>
        </xdr:cNvPr>
        <xdr:cNvSpPr txBox="1"/>
      </xdr:nvSpPr>
      <xdr:spPr>
        <a:xfrm>
          <a:off x="10255623" y="14594543"/>
          <a:ext cx="1650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ICEV specific components</a:t>
          </a:r>
          <a:endParaRPr lang="en-US" sz="1100"/>
        </a:p>
      </xdr:txBody>
    </xdr:sp>
    <xdr:clientData/>
  </xdr:oneCellAnchor>
  <xdr:oneCellAnchor>
    <xdr:from>
      <xdr:col>3</xdr:col>
      <xdr:colOff>111708</xdr:colOff>
      <xdr:row>111</xdr:row>
      <xdr:rowOff>144111</xdr:rowOff>
    </xdr:from>
    <xdr:ext cx="2614562" cy="264560"/>
    <xdr:sp macro="" textlink="">
      <xdr:nvSpPr>
        <xdr:cNvPr id="15" name="TextBox 14">
          <a:extLst>
            <a:ext uri="{FF2B5EF4-FFF2-40B4-BE49-F238E27FC236}">
              <a16:creationId xmlns:a16="http://schemas.microsoft.com/office/drawing/2014/main" id="{BCB8DB43-EEAD-44ED-B360-5B7CFE711D64}"/>
            </a:ext>
          </a:extLst>
        </xdr:cNvPr>
        <xdr:cNvSpPr txBox="1"/>
      </xdr:nvSpPr>
      <xdr:spPr>
        <a:xfrm>
          <a:off x="4112208" y="22927911"/>
          <a:ext cx="2614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Glider -</a:t>
          </a:r>
          <a:r>
            <a:rPr lang="en-US" sz="1100" baseline="0"/>
            <a:t> common EV and ICEV components</a:t>
          </a:r>
          <a:endParaRPr lang="en-US" sz="1100"/>
        </a:p>
      </xdr:txBody>
    </xdr:sp>
    <xdr:clientData/>
  </xdr:oneCellAnchor>
  <xdr:oneCellAnchor>
    <xdr:from>
      <xdr:col>10</xdr:col>
      <xdr:colOff>66542</xdr:colOff>
      <xdr:row>112</xdr:row>
      <xdr:rowOff>54912</xdr:rowOff>
    </xdr:from>
    <xdr:ext cx="1539845" cy="264560"/>
    <xdr:sp macro="" textlink="">
      <xdr:nvSpPr>
        <xdr:cNvPr id="16" name="TextBox 15">
          <a:extLst>
            <a:ext uri="{FF2B5EF4-FFF2-40B4-BE49-F238E27FC236}">
              <a16:creationId xmlns:a16="http://schemas.microsoft.com/office/drawing/2014/main" id="{85C8F6FA-944F-4AB7-A7DB-8E5CB9BA8443}"/>
            </a:ext>
          </a:extLst>
        </xdr:cNvPr>
        <xdr:cNvSpPr txBox="1"/>
      </xdr:nvSpPr>
      <xdr:spPr>
        <a:xfrm>
          <a:off x="8662855" y="23019687"/>
          <a:ext cx="15398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EV</a:t>
          </a:r>
          <a:r>
            <a:rPr lang="en-US" sz="1100" baseline="0"/>
            <a:t> specific components</a:t>
          </a:r>
          <a:endParaRPr lang="en-US" sz="1100"/>
        </a:p>
      </xdr:txBody>
    </xdr:sp>
    <xdr:clientData/>
  </xdr:oneCellAnchor>
  <xdr:oneCellAnchor>
    <xdr:from>
      <xdr:col>12</xdr:col>
      <xdr:colOff>341345</xdr:colOff>
      <xdr:row>111</xdr:row>
      <xdr:rowOff>122430</xdr:rowOff>
    </xdr:from>
    <xdr:ext cx="1650580" cy="264560"/>
    <xdr:sp macro="" textlink="">
      <xdr:nvSpPr>
        <xdr:cNvPr id="17" name="TextBox 16">
          <a:extLst>
            <a:ext uri="{FF2B5EF4-FFF2-40B4-BE49-F238E27FC236}">
              <a16:creationId xmlns:a16="http://schemas.microsoft.com/office/drawing/2014/main" id="{156F18A1-A944-4F83-BA2D-B839D9005E13}"/>
            </a:ext>
          </a:extLst>
        </xdr:cNvPr>
        <xdr:cNvSpPr txBox="1"/>
      </xdr:nvSpPr>
      <xdr:spPr>
        <a:xfrm>
          <a:off x="10233058" y="22906230"/>
          <a:ext cx="1650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ICEV specific components</a:t>
          </a:r>
          <a:endParaRPr lang="en-US" sz="1100"/>
        </a:p>
      </xdr:txBody>
    </xdr:sp>
    <xdr:clientData/>
  </xdr:oneCellAnchor>
  <xdr:twoCellAnchor>
    <xdr:from>
      <xdr:col>2</xdr:col>
      <xdr:colOff>15240</xdr:colOff>
      <xdr:row>137</xdr:row>
      <xdr:rowOff>49530</xdr:rowOff>
    </xdr:from>
    <xdr:to>
      <xdr:col>16</xdr:col>
      <xdr:colOff>121920</xdr:colOff>
      <xdr:row>160</xdr:row>
      <xdr:rowOff>38100</xdr:rowOff>
    </xdr:to>
    <xdr:graphicFrame macro="">
      <xdr:nvGraphicFramePr>
        <xdr:cNvPr id="2" name="Chart 1">
          <a:extLst>
            <a:ext uri="{FF2B5EF4-FFF2-40B4-BE49-F238E27FC236}">
              <a16:creationId xmlns:a16="http://schemas.microsoft.com/office/drawing/2014/main" id="{1CCA0F68-AAFD-4682-8F2B-F5F7C756D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429987</xdr:colOff>
      <xdr:row>139</xdr:row>
      <xdr:rowOff>39758</xdr:rowOff>
    </xdr:from>
    <xdr:to>
      <xdr:col>15</xdr:col>
      <xdr:colOff>527957</xdr:colOff>
      <xdr:row>156</xdr:row>
      <xdr:rowOff>45847</xdr:rowOff>
    </xdr:to>
    <xdr:sp macro="" textlink="">
      <xdr:nvSpPr>
        <xdr:cNvPr id="22" name="Rectangle 21">
          <a:extLst>
            <a:ext uri="{FF2B5EF4-FFF2-40B4-BE49-F238E27FC236}">
              <a16:creationId xmlns:a16="http://schemas.microsoft.com/office/drawing/2014/main" id="{09D072D4-8157-4E79-AC3B-5336B41C5925}"/>
            </a:ext>
          </a:extLst>
        </xdr:cNvPr>
        <xdr:cNvSpPr/>
      </xdr:nvSpPr>
      <xdr:spPr>
        <a:xfrm>
          <a:off x="10335987" y="28465671"/>
          <a:ext cx="2138805" cy="3160106"/>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190500</xdr:colOff>
      <xdr:row>139</xdr:row>
      <xdr:rowOff>0</xdr:rowOff>
    </xdr:from>
    <xdr:to>
      <xdr:col>12</xdr:col>
      <xdr:colOff>375558</xdr:colOff>
      <xdr:row>156</xdr:row>
      <xdr:rowOff>45847</xdr:rowOff>
    </xdr:to>
    <xdr:sp macro="" textlink="">
      <xdr:nvSpPr>
        <xdr:cNvPr id="23" name="Rectangle 22">
          <a:extLst>
            <a:ext uri="{FF2B5EF4-FFF2-40B4-BE49-F238E27FC236}">
              <a16:creationId xmlns:a16="http://schemas.microsoft.com/office/drawing/2014/main" id="{E12DABB9-B104-49CF-ACA8-E4D5826E32CB}"/>
            </a:ext>
          </a:extLst>
        </xdr:cNvPr>
        <xdr:cNvSpPr/>
      </xdr:nvSpPr>
      <xdr:spPr>
        <a:xfrm>
          <a:off x="8784771" y="28324629"/>
          <a:ext cx="1480458" cy="3191818"/>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239486</xdr:colOff>
      <xdr:row>139</xdr:row>
      <xdr:rowOff>53009</xdr:rowOff>
    </xdr:from>
    <xdr:to>
      <xdr:col>10</xdr:col>
      <xdr:colOff>136072</xdr:colOff>
      <xdr:row>156</xdr:row>
      <xdr:rowOff>45846</xdr:rowOff>
    </xdr:to>
    <xdr:sp macro="" textlink="">
      <xdr:nvSpPr>
        <xdr:cNvPr id="24" name="Rectangle 23">
          <a:extLst>
            <a:ext uri="{FF2B5EF4-FFF2-40B4-BE49-F238E27FC236}">
              <a16:creationId xmlns:a16="http://schemas.microsoft.com/office/drawing/2014/main" id="{D85B4123-862B-4D5F-B72E-1452BBDF3361}"/>
            </a:ext>
          </a:extLst>
        </xdr:cNvPr>
        <xdr:cNvSpPr/>
      </xdr:nvSpPr>
      <xdr:spPr>
        <a:xfrm>
          <a:off x="4241643" y="28478922"/>
          <a:ext cx="4501716" cy="3146854"/>
        </a:xfrm>
        <a:prstGeom prst="rect">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196705</xdr:colOff>
      <xdr:row>137</xdr:row>
      <xdr:rowOff>174582</xdr:rowOff>
    </xdr:from>
    <xdr:ext cx="2614562" cy="264560"/>
    <xdr:sp macro="" textlink="">
      <xdr:nvSpPr>
        <xdr:cNvPr id="26" name="TextBox 25">
          <a:extLst>
            <a:ext uri="{FF2B5EF4-FFF2-40B4-BE49-F238E27FC236}">
              <a16:creationId xmlns:a16="http://schemas.microsoft.com/office/drawing/2014/main" id="{D7D7D391-FE3A-4645-9DAA-EE8F062B36BC}"/>
            </a:ext>
          </a:extLst>
        </xdr:cNvPr>
        <xdr:cNvSpPr txBox="1"/>
      </xdr:nvSpPr>
      <xdr:spPr>
        <a:xfrm>
          <a:off x="4198862" y="28229434"/>
          <a:ext cx="26145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Glider -</a:t>
          </a:r>
          <a:r>
            <a:rPr lang="en-US" sz="1100" baseline="0"/>
            <a:t> common EV and ICEV components</a:t>
          </a:r>
          <a:endParaRPr lang="en-US" sz="1100"/>
        </a:p>
      </xdr:txBody>
    </xdr:sp>
    <xdr:clientData/>
  </xdr:oneCellAnchor>
  <xdr:oneCellAnchor>
    <xdr:from>
      <xdr:col>10</xdr:col>
      <xdr:colOff>145676</xdr:colOff>
      <xdr:row>137</xdr:row>
      <xdr:rowOff>148078</xdr:rowOff>
    </xdr:from>
    <xdr:ext cx="1539845" cy="264560"/>
    <xdr:sp macro="" textlink="">
      <xdr:nvSpPr>
        <xdr:cNvPr id="27" name="TextBox 26">
          <a:extLst>
            <a:ext uri="{FF2B5EF4-FFF2-40B4-BE49-F238E27FC236}">
              <a16:creationId xmlns:a16="http://schemas.microsoft.com/office/drawing/2014/main" id="{7A70DA9A-EDCA-465A-B4AF-63450A534CBD}"/>
            </a:ext>
          </a:extLst>
        </xdr:cNvPr>
        <xdr:cNvSpPr txBox="1"/>
      </xdr:nvSpPr>
      <xdr:spPr>
        <a:xfrm>
          <a:off x="8752963" y="28202930"/>
          <a:ext cx="15398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EV</a:t>
          </a:r>
          <a:r>
            <a:rPr lang="en-US" sz="1100" baseline="0"/>
            <a:t> specific components</a:t>
          </a:r>
          <a:endParaRPr lang="en-US" sz="1100"/>
        </a:p>
      </xdr:txBody>
    </xdr:sp>
    <xdr:clientData/>
  </xdr:oneCellAnchor>
  <xdr:oneCellAnchor>
    <xdr:from>
      <xdr:col>12</xdr:col>
      <xdr:colOff>391170</xdr:colOff>
      <xdr:row>137</xdr:row>
      <xdr:rowOff>167956</xdr:rowOff>
    </xdr:from>
    <xdr:ext cx="1650580" cy="264560"/>
    <xdr:sp macro="" textlink="">
      <xdr:nvSpPr>
        <xdr:cNvPr id="28" name="TextBox 27">
          <a:extLst>
            <a:ext uri="{FF2B5EF4-FFF2-40B4-BE49-F238E27FC236}">
              <a16:creationId xmlns:a16="http://schemas.microsoft.com/office/drawing/2014/main" id="{C5AB740B-870A-4703-8510-1277FB0FE974}"/>
            </a:ext>
          </a:extLst>
        </xdr:cNvPr>
        <xdr:cNvSpPr txBox="1"/>
      </xdr:nvSpPr>
      <xdr:spPr>
        <a:xfrm>
          <a:off x="10297170" y="28222808"/>
          <a:ext cx="1650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ICEV specific components</a:t>
          </a:r>
          <a:endParaRPr lang="en-US" sz="1100"/>
        </a:p>
      </xdr:txBody>
    </xdr:sp>
    <xdr:clientData/>
  </xdr:oneCellAnchor>
  <xdr:twoCellAnchor>
    <xdr:from>
      <xdr:col>12</xdr:col>
      <xdr:colOff>386863</xdr:colOff>
      <xdr:row>112</xdr:row>
      <xdr:rowOff>161320</xdr:rowOff>
    </xdr:from>
    <xdr:to>
      <xdr:col>15</xdr:col>
      <xdr:colOff>498232</xdr:colOff>
      <xdr:row>128</xdr:row>
      <xdr:rowOff>79261</xdr:rowOff>
    </xdr:to>
    <xdr:sp macro="" textlink="">
      <xdr:nvSpPr>
        <xdr:cNvPr id="44" name="Rectangle 43">
          <a:extLst>
            <a:ext uri="{FF2B5EF4-FFF2-40B4-BE49-F238E27FC236}">
              <a16:creationId xmlns:a16="http://schemas.microsoft.com/office/drawing/2014/main" id="{A3DFF516-0E31-47B2-B1F2-6530E19FE4BE}"/>
            </a:ext>
          </a:extLst>
        </xdr:cNvPr>
        <xdr:cNvSpPr/>
      </xdr:nvSpPr>
      <xdr:spPr>
        <a:xfrm>
          <a:off x="10292863" y="23577911"/>
          <a:ext cx="2152204" cy="2886428"/>
        </a:xfrm>
        <a:prstGeom prst="rect">
          <a:avLst/>
        </a:prstGeom>
        <a:noFill/>
        <a:ln w="190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111370</xdr:colOff>
      <xdr:row>113</xdr:row>
      <xdr:rowOff>96843</xdr:rowOff>
    </xdr:from>
    <xdr:to>
      <xdr:col>12</xdr:col>
      <xdr:colOff>328247</xdr:colOff>
      <xdr:row>128</xdr:row>
      <xdr:rowOff>79261</xdr:rowOff>
    </xdr:to>
    <xdr:sp macro="" textlink="">
      <xdr:nvSpPr>
        <xdr:cNvPr id="45" name="Rectangle 44">
          <a:extLst>
            <a:ext uri="{FF2B5EF4-FFF2-40B4-BE49-F238E27FC236}">
              <a16:creationId xmlns:a16="http://schemas.microsoft.com/office/drawing/2014/main" id="{5E0F43BB-0258-4605-9A99-D518A17C254E}"/>
            </a:ext>
          </a:extLst>
        </xdr:cNvPr>
        <xdr:cNvSpPr/>
      </xdr:nvSpPr>
      <xdr:spPr>
        <a:xfrm>
          <a:off x="8718657" y="23698965"/>
          <a:ext cx="1515590" cy="2765374"/>
        </a:xfrm>
        <a:prstGeom prst="rect">
          <a:avLst/>
        </a:prstGeom>
        <a:no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128954</xdr:colOff>
      <xdr:row>113</xdr:row>
      <xdr:rowOff>11721</xdr:rowOff>
    </xdr:from>
    <xdr:to>
      <xdr:col>10</xdr:col>
      <xdr:colOff>52753</xdr:colOff>
      <xdr:row>128</xdr:row>
      <xdr:rowOff>85886</xdr:rowOff>
    </xdr:to>
    <xdr:sp macro="" textlink="">
      <xdr:nvSpPr>
        <xdr:cNvPr id="46" name="Rectangle 45">
          <a:extLst>
            <a:ext uri="{FF2B5EF4-FFF2-40B4-BE49-F238E27FC236}">
              <a16:creationId xmlns:a16="http://schemas.microsoft.com/office/drawing/2014/main" id="{73BC3A67-2241-45F1-B5C3-20B5A5BD423F}"/>
            </a:ext>
          </a:extLst>
        </xdr:cNvPr>
        <xdr:cNvSpPr/>
      </xdr:nvSpPr>
      <xdr:spPr>
        <a:xfrm>
          <a:off x="4131111" y="23613843"/>
          <a:ext cx="4528929" cy="2857121"/>
        </a:xfrm>
        <a:prstGeom prst="rect">
          <a:avLst/>
        </a:prstGeom>
        <a:no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C096-F221-40F0-8C30-7F229EF8C972}">
  <dimension ref="B3:R28"/>
  <sheetViews>
    <sheetView showGridLines="0" workbookViewId="0">
      <selection activeCell="N29" sqref="N29"/>
    </sheetView>
  </sheetViews>
  <sheetFormatPr defaultRowHeight="14.4"/>
  <sheetData>
    <row r="3" spans="2:18">
      <c r="B3" s="204"/>
      <c r="C3" s="204"/>
      <c r="D3" s="204"/>
      <c r="E3" s="204"/>
      <c r="F3" s="204"/>
      <c r="G3" s="204"/>
      <c r="H3" s="204"/>
      <c r="I3" s="204"/>
      <c r="J3" s="204"/>
      <c r="K3" s="204"/>
      <c r="L3" s="204"/>
      <c r="M3" s="204"/>
      <c r="N3" s="204"/>
      <c r="O3" s="204"/>
      <c r="P3" s="204"/>
      <c r="Q3" s="204"/>
      <c r="R3" s="204"/>
    </row>
    <row r="4" spans="2:18">
      <c r="B4" s="204"/>
      <c r="C4" s="204"/>
      <c r="D4" s="204"/>
      <c r="E4" s="204"/>
      <c r="F4" s="204"/>
      <c r="G4" s="204"/>
      <c r="H4" s="204"/>
      <c r="I4" s="204"/>
      <c r="J4" s="204"/>
      <c r="K4" s="204"/>
      <c r="L4" s="204"/>
      <c r="M4" s="204"/>
      <c r="N4" s="204"/>
      <c r="O4" s="204"/>
      <c r="P4" s="204"/>
      <c r="Q4" s="204"/>
      <c r="R4" s="204"/>
    </row>
    <row r="5" spans="2:18">
      <c r="B5" s="204"/>
      <c r="C5" s="204"/>
      <c r="D5" s="204"/>
      <c r="E5" s="204"/>
      <c r="F5" s="204"/>
      <c r="G5" s="204"/>
      <c r="H5" s="204"/>
      <c r="I5" s="204"/>
      <c r="J5" s="204"/>
      <c r="K5" s="204"/>
      <c r="L5" s="204"/>
      <c r="M5" s="204"/>
      <c r="N5" s="204"/>
      <c r="O5" s="204"/>
      <c r="P5" s="204"/>
      <c r="Q5" s="204"/>
      <c r="R5" s="204"/>
    </row>
    <row r="6" spans="2:18">
      <c r="B6" s="204"/>
      <c r="C6" s="204"/>
      <c r="D6" s="204"/>
      <c r="E6" s="204"/>
      <c r="F6" s="204"/>
      <c r="G6" s="204"/>
      <c r="H6" s="204"/>
      <c r="I6" s="204"/>
      <c r="J6" s="204"/>
      <c r="K6" s="204"/>
      <c r="L6" s="204"/>
      <c r="M6" s="204"/>
      <c r="N6" s="204"/>
      <c r="O6" s="204"/>
      <c r="P6" s="204"/>
      <c r="Q6" s="204"/>
      <c r="R6" s="204"/>
    </row>
    <row r="7" spans="2:18">
      <c r="B7" s="204"/>
      <c r="C7" s="204"/>
      <c r="D7" s="204"/>
      <c r="E7" s="204"/>
      <c r="F7" s="204"/>
      <c r="G7" s="204"/>
      <c r="H7" s="204"/>
      <c r="I7" s="204"/>
      <c r="J7" s="204"/>
      <c r="K7" s="204"/>
      <c r="L7" s="204"/>
      <c r="M7" s="204"/>
      <c r="N7" s="204"/>
      <c r="O7" s="204"/>
      <c r="P7" s="204"/>
      <c r="Q7" s="204"/>
      <c r="R7" s="204"/>
    </row>
    <row r="8" spans="2:18">
      <c r="B8" s="204"/>
      <c r="C8" s="204"/>
      <c r="D8" s="204"/>
      <c r="E8" s="204"/>
      <c r="F8" s="204"/>
      <c r="G8" s="204"/>
      <c r="H8" s="204"/>
      <c r="I8" s="204"/>
      <c r="J8" s="204"/>
      <c r="K8" s="204"/>
      <c r="L8" s="204"/>
      <c r="M8" s="204"/>
      <c r="N8" s="204"/>
      <c r="O8" s="204"/>
      <c r="P8" s="204"/>
      <c r="Q8" s="204"/>
      <c r="R8" s="204"/>
    </row>
    <row r="9" spans="2:18">
      <c r="B9" s="204"/>
      <c r="C9" s="204"/>
      <c r="D9" s="204"/>
      <c r="E9" s="204"/>
      <c r="F9" s="204"/>
      <c r="G9" s="204"/>
      <c r="H9" s="204"/>
      <c r="I9" s="204"/>
      <c r="J9" s="204"/>
      <c r="K9" s="204"/>
      <c r="L9" s="204"/>
      <c r="M9" s="204"/>
      <c r="N9" s="204"/>
      <c r="O9" s="204"/>
      <c r="P9" s="204"/>
      <c r="Q9" s="204"/>
      <c r="R9" s="204"/>
    </row>
    <row r="10" spans="2:18">
      <c r="B10" s="204"/>
      <c r="C10" s="204"/>
      <c r="D10" s="204"/>
      <c r="E10" s="204"/>
      <c r="F10" s="204"/>
      <c r="G10" s="204"/>
      <c r="H10" s="204"/>
      <c r="I10" s="204"/>
      <c r="J10" s="204"/>
      <c r="K10" s="204"/>
      <c r="L10" s="204"/>
      <c r="M10" s="204"/>
      <c r="N10" s="204"/>
      <c r="O10" s="204"/>
      <c r="P10" s="204"/>
      <c r="Q10" s="204"/>
      <c r="R10" s="204"/>
    </row>
    <row r="11" spans="2:18">
      <c r="B11" s="204"/>
      <c r="C11" s="204"/>
      <c r="D11" s="204"/>
      <c r="E11" s="204"/>
      <c r="F11" s="204"/>
      <c r="G11" s="204"/>
      <c r="H11" s="204"/>
      <c r="I11" s="204"/>
      <c r="J11" s="204"/>
      <c r="K11" s="204"/>
      <c r="L11" s="204"/>
      <c r="M11" s="204"/>
      <c r="N11" s="204"/>
      <c r="O11" s="204"/>
      <c r="P11" s="204"/>
      <c r="Q11" s="204"/>
      <c r="R11" s="204"/>
    </row>
    <row r="12" spans="2:18">
      <c r="B12" s="204"/>
      <c r="C12" s="204"/>
      <c r="D12" s="204"/>
      <c r="E12" s="204"/>
      <c r="F12" s="204"/>
      <c r="G12" s="204"/>
      <c r="H12" s="204"/>
      <c r="I12" s="204"/>
      <c r="J12" s="204"/>
      <c r="K12" s="204"/>
      <c r="L12" s="204"/>
      <c r="M12" s="204"/>
      <c r="N12" s="204"/>
      <c r="O12" s="204"/>
      <c r="P12" s="204"/>
      <c r="Q12" s="204"/>
      <c r="R12" s="204"/>
    </row>
    <row r="13" spans="2:18">
      <c r="B13" s="204"/>
      <c r="C13" s="204"/>
      <c r="D13" s="204"/>
      <c r="E13" s="204"/>
      <c r="F13" s="204"/>
      <c r="G13" s="204"/>
      <c r="H13" s="204"/>
      <c r="I13" s="204"/>
      <c r="J13" s="204"/>
      <c r="K13" s="204"/>
      <c r="L13" s="204"/>
      <c r="M13" s="204"/>
      <c r="N13" s="204"/>
      <c r="O13" s="204"/>
      <c r="P13" s="204"/>
      <c r="Q13" s="204"/>
      <c r="R13" s="204"/>
    </row>
    <row r="14" spans="2:18">
      <c r="B14" s="204"/>
      <c r="C14" s="204"/>
      <c r="D14" s="204"/>
      <c r="E14" s="204"/>
      <c r="F14" s="204"/>
      <c r="G14" s="204"/>
      <c r="H14" s="204"/>
      <c r="I14" s="204"/>
      <c r="J14" s="204"/>
      <c r="K14" s="204"/>
      <c r="L14" s="204"/>
      <c r="M14" s="204"/>
      <c r="N14" s="204"/>
      <c r="O14" s="204"/>
      <c r="P14" s="204"/>
      <c r="Q14" s="204"/>
      <c r="R14" s="204"/>
    </row>
    <row r="15" spans="2:18">
      <c r="B15" s="204"/>
      <c r="C15" s="204"/>
      <c r="D15" s="204"/>
      <c r="E15" s="204"/>
      <c r="F15" s="204"/>
      <c r="G15" s="204"/>
      <c r="H15" s="204"/>
      <c r="I15" s="204"/>
      <c r="J15" s="204"/>
      <c r="K15" s="204"/>
      <c r="L15" s="204"/>
      <c r="M15" s="204"/>
      <c r="N15" s="204"/>
      <c r="O15" s="204"/>
      <c r="P15" s="204"/>
      <c r="Q15" s="204"/>
      <c r="R15" s="204"/>
    </row>
    <row r="16" spans="2:18">
      <c r="B16" s="204"/>
      <c r="C16" s="204"/>
      <c r="D16" s="204"/>
      <c r="E16" s="204"/>
      <c r="F16" s="204"/>
      <c r="G16" s="204"/>
      <c r="H16" s="204"/>
      <c r="I16" s="204"/>
      <c r="J16" s="204"/>
      <c r="K16" s="204"/>
      <c r="L16" s="204"/>
      <c r="M16" s="204"/>
      <c r="N16" s="204"/>
      <c r="O16" s="204"/>
      <c r="P16" s="204"/>
      <c r="Q16" s="204"/>
      <c r="R16" s="204"/>
    </row>
    <row r="17" spans="2:18">
      <c r="B17" s="204"/>
      <c r="C17" s="204"/>
      <c r="D17" s="204"/>
      <c r="E17" s="204"/>
      <c r="F17" s="204"/>
      <c r="G17" s="204"/>
      <c r="H17" s="204"/>
      <c r="I17" s="204"/>
      <c r="J17" s="204"/>
      <c r="K17" s="204"/>
      <c r="L17" s="204"/>
      <c r="M17" s="204"/>
      <c r="N17" s="204"/>
      <c r="O17" s="204"/>
      <c r="P17" s="204"/>
      <c r="Q17" s="204"/>
      <c r="R17" s="204"/>
    </row>
    <row r="18" spans="2:18">
      <c r="B18" s="204"/>
      <c r="C18" s="204"/>
      <c r="D18" s="204"/>
      <c r="E18" s="204"/>
      <c r="F18" s="204"/>
      <c r="G18" s="204"/>
      <c r="H18" s="204"/>
      <c r="I18" s="204"/>
      <c r="J18" s="204"/>
      <c r="K18" s="204"/>
      <c r="L18" s="204"/>
      <c r="M18" s="204"/>
      <c r="N18" s="204"/>
      <c r="O18" s="204"/>
      <c r="P18" s="204"/>
      <c r="Q18" s="204"/>
      <c r="R18" s="204"/>
    </row>
    <row r="19" spans="2:18">
      <c r="B19" s="204"/>
      <c r="C19" s="204"/>
      <c r="D19" s="204"/>
      <c r="E19" s="204"/>
      <c r="F19" s="204"/>
      <c r="G19" s="204"/>
      <c r="H19" s="204"/>
      <c r="I19" s="204"/>
      <c r="J19" s="204"/>
      <c r="K19" s="204"/>
      <c r="L19" s="204"/>
      <c r="M19" s="204"/>
      <c r="N19" s="204"/>
      <c r="O19" s="204"/>
      <c r="P19" s="204"/>
      <c r="Q19" s="204"/>
      <c r="R19" s="204"/>
    </row>
    <row r="20" spans="2:18" ht="16.2" customHeight="1">
      <c r="B20" s="204"/>
      <c r="C20" s="494"/>
      <c r="D20" s="212"/>
      <c r="E20" s="211"/>
      <c r="F20" s="204"/>
      <c r="G20" s="204"/>
      <c r="H20" s="204"/>
      <c r="I20" s="204"/>
      <c r="J20" s="204"/>
      <c r="K20" s="204"/>
      <c r="L20" s="204"/>
      <c r="M20" s="204"/>
      <c r="N20" s="204"/>
      <c r="O20" s="204"/>
      <c r="P20" s="204"/>
      <c r="Q20" s="204"/>
      <c r="R20" s="204"/>
    </row>
    <row r="21" spans="2:18" s="491" customFormat="1" ht="16.2" customHeight="1">
      <c r="B21" s="488"/>
      <c r="C21" s="495" t="s">
        <v>811</v>
      </c>
      <c r="D21" s="489"/>
      <c r="E21" s="490"/>
      <c r="F21" s="488"/>
      <c r="G21" s="488"/>
      <c r="H21" s="488"/>
      <c r="I21" s="488"/>
      <c r="J21" s="488"/>
      <c r="K21" s="488"/>
      <c r="L21" s="488"/>
      <c r="M21" s="488"/>
      <c r="N21" s="488"/>
      <c r="O21" s="488"/>
      <c r="P21" s="488"/>
      <c r="Q21" s="488"/>
      <c r="R21" s="488"/>
    </row>
    <row r="22" spans="2:18" s="491" customFormat="1" ht="16.2" customHeight="1">
      <c r="B22" s="488"/>
      <c r="C22" s="495" t="s">
        <v>806</v>
      </c>
      <c r="D22" s="489"/>
      <c r="E22" s="490"/>
      <c r="F22" s="488"/>
      <c r="G22" s="488"/>
      <c r="H22" s="488"/>
      <c r="I22" s="488"/>
      <c r="J22" s="488"/>
      <c r="K22" s="488"/>
      <c r="L22" s="488"/>
      <c r="M22" s="488"/>
      <c r="N22" s="488"/>
      <c r="O22" s="488"/>
      <c r="P22" s="488"/>
      <c r="Q22" s="488"/>
      <c r="R22" s="488"/>
    </row>
    <row r="23" spans="2:18" s="491" customFormat="1" ht="16.2" customHeight="1">
      <c r="B23" s="488"/>
      <c r="C23" s="495" t="s">
        <v>807</v>
      </c>
      <c r="D23" s="489"/>
      <c r="E23" s="490"/>
      <c r="F23" s="488"/>
      <c r="G23" s="488"/>
      <c r="H23" s="488"/>
      <c r="I23" s="488"/>
      <c r="J23" s="488"/>
      <c r="K23" s="488"/>
      <c r="L23" s="488"/>
      <c r="M23" s="488"/>
      <c r="N23" s="488"/>
      <c r="O23" s="488"/>
      <c r="P23" s="488"/>
      <c r="Q23" s="488"/>
      <c r="R23" s="488"/>
    </row>
    <row r="24" spans="2:18" s="491" customFormat="1" ht="16.2" customHeight="1">
      <c r="C24" s="495" t="s">
        <v>832</v>
      </c>
      <c r="D24" s="492"/>
      <c r="E24" s="493"/>
    </row>
    <row r="25" spans="2:18" s="491" customFormat="1" ht="16.2" customHeight="1">
      <c r="C25" s="495" t="s">
        <v>808</v>
      </c>
      <c r="D25" s="493"/>
      <c r="E25" s="493"/>
    </row>
    <row r="26" spans="2:18" s="491" customFormat="1" ht="16.2" customHeight="1">
      <c r="C26" s="495" t="s">
        <v>812</v>
      </c>
      <c r="D26" s="493"/>
      <c r="E26" s="493"/>
    </row>
    <row r="27" spans="2:18" s="491" customFormat="1" ht="16.2" customHeight="1">
      <c r="C27" s="496" t="s">
        <v>809</v>
      </c>
      <c r="D27" s="493"/>
      <c r="E27" s="493"/>
    </row>
    <row r="28" spans="2:18" s="491" customFormat="1" ht="16.2" customHeight="1">
      <c r="C28" s="495" t="s">
        <v>810</v>
      </c>
      <c r="D28" s="493"/>
      <c r="E28" s="493"/>
    </row>
  </sheetData>
  <hyperlinks>
    <hyperlink ref="C21" location="'A2-1 EV-ICEV composition'!A1" display="A2-1 EV-ICEV composition" xr:uid="{AE7551B2-C673-4285-9C11-2FA43639951A}"/>
    <hyperlink ref="C22" location="'A2-2 Uncertainties ELV'!A1" display="A2-2 Uncertainties ELV" xr:uid="{3A6CAB4F-3890-49D5-AA5E-8D5244437045}"/>
    <hyperlink ref="C23" location="'A2-3 Generic MFA'!A1" display="A2-3 Generic MFA" xr:uid="{9D3F9A43-9A32-42E9-AAC5-A17330BD7675}"/>
    <hyperlink ref="C24" location="'A2-4 Derived trans.coefficients'!A1" display="A2-4 Derive transf.coefficients" xr:uid="{46134994-0C1C-4E26-AE84-9C579ACD3ACF}"/>
    <hyperlink ref="C25" location="'A2-4.1 Transfercoefficients'!A1" display="A2-4.1 Transfercoefficients" xr:uid="{63B02500-4276-46EF-90C7-6AF00FF60AC8}"/>
    <hyperlink ref="C26" location="'A2-4.2 TCs improved'!A1" display="A2-4.2 TCs improved" xr:uid="{8024DE64-7459-4D75-99C0-35AB82B911E9}"/>
    <hyperlink ref="C27" location="'A2-5 Hmax &amp; Mmax'!A1" display="A2-5 Hmax &amp; Mmax" xr:uid="{8D34A5BD-4485-4EC1-9FC1-BB5F290C61AB}"/>
    <hyperlink ref="C28" location="'A2-6 RSE components'!A1" display="A2-6 RSE components" xr:uid="{BDDF0F92-65DB-4EDB-B3DD-88FA8AB1562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51B3B-6EB7-457E-A29F-739D644176B6}">
  <dimension ref="A1:BA394"/>
  <sheetViews>
    <sheetView showGridLines="0" zoomScale="80" zoomScaleNormal="80" workbookViewId="0">
      <selection activeCell="Q41" sqref="Q41"/>
    </sheetView>
  </sheetViews>
  <sheetFormatPr defaultColWidth="9.109375" defaultRowHeight="14.4"/>
  <cols>
    <col min="1" max="1" width="14.77734375" style="64" customWidth="1"/>
    <col min="2" max="2" width="19.44140625" style="66" customWidth="1"/>
    <col min="3" max="3" width="24.5546875" style="66" customWidth="1"/>
    <col min="4" max="4" width="8.88671875" style="66" customWidth="1"/>
    <col min="5" max="5" width="13" style="66" customWidth="1"/>
    <col min="6" max="6" width="8.88671875" style="66" customWidth="1"/>
    <col min="7" max="7" width="10.77734375" style="66" customWidth="1"/>
    <col min="8" max="8" width="12.109375" style="66" customWidth="1"/>
    <col min="9" max="9" width="11.21875" style="66" customWidth="1"/>
    <col min="10" max="10" width="8.88671875" style="66" customWidth="1"/>
    <col min="11" max="11" width="12.5546875" style="66" customWidth="1"/>
    <col min="12" max="13" width="8.88671875" style="66" customWidth="1"/>
    <col min="14" max="14" width="11.6640625" style="66" customWidth="1"/>
    <col min="15" max="18" width="8.88671875" style="66" customWidth="1"/>
    <col min="19" max="19" width="11.5546875" style="66" customWidth="1"/>
    <col min="20" max="20" width="8.88671875" style="66" customWidth="1"/>
    <col min="21" max="22" width="10.109375" style="66" customWidth="1"/>
    <col min="23" max="23" width="14.88671875" style="66" customWidth="1"/>
    <col min="24" max="24" width="21" style="66" customWidth="1"/>
    <col min="25" max="25" width="10" style="66" customWidth="1"/>
    <col min="26" max="26" width="9" style="66" customWidth="1"/>
    <col min="27" max="27" width="12.33203125" style="66" customWidth="1"/>
    <col min="28" max="28" width="11.6640625" style="66" customWidth="1"/>
    <col min="29" max="29" width="9" style="66" customWidth="1"/>
    <col min="30" max="30" width="12.33203125" style="66" customWidth="1"/>
    <col min="31" max="34" width="9" style="66" customWidth="1"/>
    <col min="35" max="35" width="12.33203125" style="66" customWidth="1"/>
    <col min="36" max="37" width="8.6640625" style="66" customWidth="1"/>
    <col min="38" max="38" width="12" style="66" customWidth="1"/>
    <col min="39" max="40" width="8.6640625" style="66" customWidth="1"/>
    <col min="41" max="41" width="14.6640625" style="66" customWidth="1"/>
    <col min="42" max="42" width="12.5546875" style="66" customWidth="1"/>
    <col min="43" max="43" width="12.33203125" style="66" customWidth="1"/>
    <col min="44" max="44" width="12.5546875" style="66" customWidth="1"/>
    <col min="45" max="46" width="12.33203125" style="66" bestFit="1" customWidth="1"/>
    <col min="47" max="16384" width="9.109375" style="66"/>
  </cols>
  <sheetData>
    <row r="1" spans="1:42" ht="15.6" customHeight="1">
      <c r="A1" s="422" t="s">
        <v>751</v>
      </c>
      <c r="C1" s="351"/>
      <c r="D1" s="360"/>
      <c r="E1" s="351"/>
      <c r="F1" s="351"/>
      <c r="G1" s="351"/>
      <c r="H1" s="351"/>
      <c r="I1" s="351"/>
      <c r="J1" s="351"/>
      <c r="K1" s="351"/>
      <c r="L1" s="18"/>
      <c r="M1" s="18"/>
      <c r="N1" s="18"/>
      <c r="O1" s="79"/>
      <c r="P1" s="79"/>
      <c r="Q1" s="79"/>
      <c r="R1" s="18"/>
      <c r="S1"/>
      <c r="T1"/>
      <c r="W1" s="422"/>
      <c r="Y1" s="402"/>
      <c r="Z1" s="360"/>
      <c r="AA1" s="402"/>
      <c r="AB1" s="402"/>
      <c r="AC1" s="402"/>
      <c r="AD1" s="402"/>
      <c r="AE1" s="402"/>
      <c r="AF1" s="402"/>
      <c r="AG1" s="402"/>
      <c r="AH1" s="401"/>
      <c r="AI1" s="401"/>
      <c r="AJ1" s="401"/>
      <c r="AK1" s="79"/>
      <c r="AL1" s="79"/>
      <c r="AM1" s="79"/>
      <c r="AN1" s="401"/>
      <c r="AO1" s="400"/>
      <c r="AP1" s="400"/>
    </row>
    <row r="2" spans="1:42" ht="15.6">
      <c r="A2" s="79"/>
      <c r="B2" s="79"/>
      <c r="C2" s="351"/>
      <c r="D2" s="360"/>
      <c r="E2" s="351"/>
      <c r="F2" s="351"/>
      <c r="G2" s="351"/>
      <c r="H2" s="351"/>
      <c r="I2" s="351"/>
      <c r="J2" s="351"/>
      <c r="K2" s="351"/>
      <c r="L2" s="18"/>
      <c r="M2" s="18"/>
      <c r="N2" s="18"/>
      <c r="O2" s="79"/>
      <c r="P2" s="79"/>
      <c r="Q2" s="79"/>
      <c r="R2" s="18"/>
      <c r="S2"/>
      <c r="T2"/>
      <c r="W2" s="422"/>
      <c r="X2" s="79"/>
      <c r="Y2" s="402"/>
      <c r="Z2" s="360"/>
      <c r="AA2" s="402"/>
      <c r="AB2" s="402"/>
      <c r="AC2" s="402"/>
      <c r="AD2" s="402"/>
      <c r="AE2" s="402"/>
      <c r="AF2" s="402"/>
      <c r="AG2" s="402"/>
      <c r="AH2" s="401"/>
      <c r="AI2" s="401"/>
      <c r="AJ2" s="401"/>
      <c r="AK2" s="79"/>
      <c r="AL2" s="79"/>
      <c r="AM2" s="79"/>
      <c r="AN2" s="401"/>
      <c r="AO2" s="400"/>
      <c r="AP2" s="400"/>
    </row>
    <row r="3" spans="1:42" ht="26.4">
      <c r="A3" s="405"/>
      <c r="B3" s="406" t="s">
        <v>773</v>
      </c>
      <c r="C3" s="406" t="s">
        <v>104</v>
      </c>
      <c r="D3" s="406" t="s">
        <v>86</v>
      </c>
      <c r="E3" s="406" t="s">
        <v>93</v>
      </c>
      <c r="F3" s="406" t="s">
        <v>102</v>
      </c>
      <c r="G3" s="406" t="s">
        <v>89</v>
      </c>
      <c r="H3" s="406" t="s">
        <v>87</v>
      </c>
      <c r="I3" s="406" t="s">
        <v>771</v>
      </c>
      <c r="J3" s="406" t="s">
        <v>91</v>
      </c>
      <c r="K3" s="406" t="s">
        <v>94</v>
      </c>
      <c r="L3" s="406" t="s">
        <v>95</v>
      </c>
      <c r="M3" s="406" t="s">
        <v>106</v>
      </c>
      <c r="N3" s="406" t="s">
        <v>772</v>
      </c>
      <c r="O3" s="406" t="s">
        <v>97</v>
      </c>
      <c r="P3" s="406" t="s">
        <v>96</v>
      </c>
      <c r="Q3" s="406" t="s">
        <v>218</v>
      </c>
      <c r="R3" s="406" t="s">
        <v>98</v>
      </c>
      <c r="S3" s="421" t="s">
        <v>784</v>
      </c>
      <c r="W3" s="400"/>
      <c r="X3" s="400"/>
      <c r="Y3" s="400"/>
      <c r="Z3" s="400"/>
      <c r="AA3" s="400"/>
      <c r="AB3" s="400"/>
      <c r="AC3" s="400"/>
      <c r="AD3" s="400"/>
      <c r="AE3" s="400"/>
      <c r="AF3" s="400"/>
      <c r="AG3" s="400"/>
      <c r="AH3" s="400"/>
      <c r="AI3" s="400"/>
      <c r="AJ3" s="400"/>
      <c r="AK3" s="400"/>
      <c r="AL3" s="400"/>
      <c r="AM3" s="400"/>
      <c r="AN3" s="400"/>
      <c r="AO3" s="400"/>
      <c r="AP3" s="400"/>
    </row>
    <row r="4" spans="1:42" ht="15" customHeight="1">
      <c r="A4" s="508" t="s">
        <v>781</v>
      </c>
      <c r="B4" s="414" t="s">
        <v>774</v>
      </c>
      <c r="C4" s="415">
        <v>0</v>
      </c>
      <c r="D4" s="415">
        <f>J47</f>
        <v>70.560906011270006</v>
      </c>
      <c r="E4" s="415">
        <f>J46</f>
        <v>118.76382461456001</v>
      </c>
      <c r="F4" s="415">
        <f>J50</f>
        <v>11.515803093260001</v>
      </c>
      <c r="G4" s="415">
        <v>0</v>
      </c>
      <c r="H4" s="415">
        <f>J48</f>
        <v>18.462629997730001</v>
      </c>
      <c r="I4" s="415">
        <v>0</v>
      </c>
      <c r="J4" s="415">
        <f>J49</f>
        <v>11.793401623899999</v>
      </c>
      <c r="K4" s="415">
        <f>J51</f>
        <v>5.2900894457000005</v>
      </c>
      <c r="L4" s="415">
        <v>0</v>
      </c>
      <c r="M4" s="415">
        <v>0</v>
      </c>
      <c r="N4" s="415">
        <v>0</v>
      </c>
      <c r="O4" s="415">
        <v>0</v>
      </c>
      <c r="P4" s="415">
        <v>0</v>
      </c>
      <c r="Q4" s="415">
        <v>0</v>
      </c>
      <c r="R4" s="415">
        <v>0</v>
      </c>
      <c r="S4" s="416">
        <f>SUM(C4:R4)</f>
        <v>236.38665478642</v>
      </c>
      <c r="T4" s="60"/>
      <c r="W4" s="400"/>
      <c r="X4" s="400"/>
      <c r="Y4" s="400"/>
      <c r="Z4" s="400"/>
      <c r="AA4" s="400"/>
      <c r="AB4" s="400"/>
      <c r="AC4" s="400"/>
      <c r="AD4" s="400"/>
      <c r="AE4" s="400"/>
      <c r="AF4" s="400"/>
      <c r="AG4" s="400"/>
      <c r="AH4" s="400"/>
      <c r="AI4" s="400"/>
      <c r="AJ4" s="400"/>
      <c r="AK4" s="400"/>
      <c r="AL4" s="400"/>
      <c r="AM4" s="400"/>
      <c r="AN4" s="400"/>
      <c r="AO4" s="400"/>
      <c r="AP4" s="400"/>
    </row>
    <row r="5" spans="1:42" ht="15" customHeight="1">
      <c r="A5" s="509"/>
      <c r="B5" s="417" t="s">
        <v>775</v>
      </c>
      <c r="C5" s="416">
        <v>0</v>
      </c>
      <c r="D5" s="416">
        <f>J36</f>
        <v>46.9498924563404</v>
      </c>
      <c r="E5" s="416">
        <v>0</v>
      </c>
      <c r="F5" s="416">
        <v>0</v>
      </c>
      <c r="G5" s="416">
        <v>0</v>
      </c>
      <c r="H5" s="416">
        <v>0</v>
      </c>
      <c r="I5" s="416">
        <v>0</v>
      </c>
      <c r="J5" s="416">
        <v>0</v>
      </c>
      <c r="K5" s="416">
        <f>J37</f>
        <v>18.105263157994699</v>
      </c>
      <c r="L5" s="416">
        <f>J38</f>
        <v>8.3284210527315796</v>
      </c>
      <c r="M5" s="416">
        <v>0</v>
      </c>
      <c r="N5" s="416">
        <v>0</v>
      </c>
      <c r="O5" s="416">
        <v>0</v>
      </c>
      <c r="P5" s="416">
        <v>0</v>
      </c>
      <c r="Q5" s="416">
        <v>0</v>
      </c>
      <c r="R5" s="416">
        <v>0</v>
      </c>
      <c r="S5" s="416">
        <f t="shared" ref="S5:S16" si="0">SUM(C5:R5)</f>
        <v>73.383576667066677</v>
      </c>
      <c r="T5" s="60"/>
      <c r="W5" s="400"/>
      <c r="X5" s="400"/>
      <c r="Y5" s="400"/>
      <c r="Z5" s="400"/>
      <c r="AA5" s="400"/>
      <c r="AB5" s="400"/>
      <c r="AC5" s="400"/>
      <c r="AD5" s="400"/>
      <c r="AE5" s="400"/>
      <c r="AF5" s="400"/>
      <c r="AG5" s="400"/>
      <c r="AH5" s="400"/>
      <c r="AI5" s="400"/>
      <c r="AJ5" s="400"/>
      <c r="AK5" s="400"/>
      <c r="AL5" s="400"/>
      <c r="AM5" s="400"/>
      <c r="AN5" s="400"/>
      <c r="AO5" s="400"/>
      <c r="AP5" s="400"/>
    </row>
    <row r="6" spans="1:42" ht="15" customHeight="1">
      <c r="A6" s="509"/>
      <c r="B6" s="417" t="s">
        <v>107</v>
      </c>
      <c r="C6" s="416">
        <f>J31</f>
        <v>18.162164574763061</v>
      </c>
      <c r="D6" s="416">
        <f>J32</f>
        <v>10.594596001986787</v>
      </c>
      <c r="E6" s="416">
        <v>0</v>
      </c>
      <c r="F6" s="416">
        <v>0</v>
      </c>
      <c r="G6" s="416">
        <v>0</v>
      </c>
      <c r="H6" s="416">
        <v>0</v>
      </c>
      <c r="I6" s="416">
        <v>0</v>
      </c>
      <c r="J6" s="416">
        <v>0</v>
      </c>
      <c r="K6" s="416">
        <v>0</v>
      </c>
      <c r="L6" s="416">
        <v>0</v>
      </c>
      <c r="M6" s="416">
        <v>0</v>
      </c>
      <c r="N6" s="416">
        <v>0</v>
      </c>
      <c r="O6" s="416">
        <v>0</v>
      </c>
      <c r="P6" s="416">
        <v>0</v>
      </c>
      <c r="Q6" s="416">
        <v>0</v>
      </c>
      <c r="R6" s="416">
        <v>0</v>
      </c>
      <c r="S6" s="416">
        <f t="shared" si="0"/>
        <v>28.756760576749848</v>
      </c>
      <c r="T6" s="60"/>
      <c r="W6" s="400"/>
      <c r="X6" s="400"/>
      <c r="Y6" s="400"/>
      <c r="Z6" s="400"/>
      <c r="AA6" s="400"/>
      <c r="AB6" s="400"/>
      <c r="AC6" s="400"/>
      <c r="AD6" s="400"/>
      <c r="AE6" s="400"/>
      <c r="AF6" s="400"/>
      <c r="AG6" s="400"/>
      <c r="AH6" s="400"/>
      <c r="AI6" s="400"/>
      <c r="AJ6" s="400"/>
      <c r="AK6" s="400"/>
      <c r="AL6" s="400"/>
      <c r="AM6" s="400"/>
      <c r="AN6" s="400"/>
      <c r="AO6" s="400"/>
      <c r="AP6" s="400"/>
    </row>
    <row r="7" spans="1:42" ht="15" customHeight="1">
      <c r="A7" s="509"/>
      <c r="B7" s="417" t="s">
        <v>108</v>
      </c>
      <c r="C7" s="416">
        <v>0</v>
      </c>
      <c r="D7" s="416">
        <f>J33</f>
        <v>172.45581907409999</v>
      </c>
      <c r="E7" s="416">
        <f>J34</f>
        <v>5.8876289631000001</v>
      </c>
      <c r="F7" s="416">
        <f>J35</f>
        <v>4.0914031779000002</v>
      </c>
      <c r="G7" s="416">
        <v>0</v>
      </c>
      <c r="H7" s="416">
        <v>0</v>
      </c>
      <c r="I7" s="416">
        <v>0</v>
      </c>
      <c r="J7" s="416">
        <v>0</v>
      </c>
      <c r="K7" s="416">
        <v>0</v>
      </c>
      <c r="L7" s="416">
        <v>0</v>
      </c>
      <c r="M7" s="416">
        <v>0</v>
      </c>
      <c r="N7" s="416">
        <v>0</v>
      </c>
      <c r="O7" s="416">
        <v>0</v>
      </c>
      <c r="P7" s="416">
        <v>0</v>
      </c>
      <c r="Q7" s="416">
        <v>0</v>
      </c>
      <c r="R7" s="416">
        <v>0</v>
      </c>
      <c r="S7" s="416">
        <f t="shared" si="0"/>
        <v>182.4348512151</v>
      </c>
      <c r="T7" s="60"/>
      <c r="W7" s="400"/>
      <c r="X7" s="400"/>
      <c r="Y7" s="400"/>
      <c r="Z7" s="400"/>
      <c r="AA7" s="400"/>
      <c r="AB7" s="400"/>
      <c r="AC7" s="400"/>
      <c r="AD7" s="400"/>
      <c r="AE7" s="400"/>
      <c r="AF7" s="400"/>
      <c r="AG7" s="400"/>
      <c r="AH7" s="400"/>
      <c r="AI7" s="400"/>
      <c r="AJ7" s="400"/>
      <c r="AK7" s="400"/>
      <c r="AL7" s="400"/>
      <c r="AM7" s="400"/>
      <c r="AN7" s="400"/>
      <c r="AO7" s="400"/>
      <c r="AP7" s="400"/>
    </row>
    <row r="8" spans="1:42" ht="15" customHeight="1">
      <c r="A8" s="509"/>
      <c r="B8" s="417" t="s">
        <v>776</v>
      </c>
      <c r="C8" s="416">
        <v>0</v>
      </c>
      <c r="D8" s="416">
        <f>J28</f>
        <v>389.00000526122892</v>
      </c>
      <c r="E8" s="416">
        <f>J30</f>
        <v>25.000000000599996</v>
      </c>
      <c r="F8" s="416">
        <v>0</v>
      </c>
      <c r="G8" s="416">
        <f>J29</f>
        <v>28.834716934390002</v>
      </c>
      <c r="H8" s="416">
        <v>0</v>
      </c>
      <c r="I8" s="416">
        <v>0</v>
      </c>
      <c r="J8" s="416">
        <v>0</v>
      </c>
      <c r="K8" s="416">
        <v>0</v>
      </c>
      <c r="L8" s="416">
        <v>0</v>
      </c>
      <c r="M8" s="416">
        <v>0</v>
      </c>
      <c r="N8" s="416">
        <v>0</v>
      </c>
      <c r="O8" s="416">
        <v>0</v>
      </c>
      <c r="P8" s="416">
        <v>0</v>
      </c>
      <c r="Q8" s="416">
        <v>0</v>
      </c>
      <c r="R8" s="416">
        <v>0</v>
      </c>
      <c r="S8" s="416">
        <f t="shared" si="0"/>
        <v>442.83472219621888</v>
      </c>
      <c r="T8" s="60"/>
      <c r="W8" s="400"/>
      <c r="X8" s="400"/>
      <c r="Y8" s="400"/>
      <c r="Z8" s="400"/>
      <c r="AA8" s="400"/>
      <c r="AB8" s="400"/>
      <c r="AC8" s="400"/>
      <c r="AD8" s="400"/>
      <c r="AE8" s="400"/>
      <c r="AF8" s="400"/>
      <c r="AG8" s="400"/>
      <c r="AH8" s="400"/>
      <c r="AI8" s="400"/>
      <c r="AJ8" s="400"/>
      <c r="AK8" s="400"/>
      <c r="AL8" s="400"/>
      <c r="AM8" s="400"/>
      <c r="AN8" s="400"/>
      <c r="AO8" s="400"/>
      <c r="AP8" s="400"/>
    </row>
    <row r="9" spans="1:42" ht="15" customHeight="1">
      <c r="A9" s="510"/>
      <c r="B9" s="418" t="s">
        <v>777</v>
      </c>
      <c r="C9" s="419">
        <v>0</v>
      </c>
      <c r="D9" s="419">
        <v>0</v>
      </c>
      <c r="E9" s="419">
        <f>D49</f>
        <v>0.65870942655685827</v>
      </c>
      <c r="F9" s="419">
        <v>0</v>
      </c>
      <c r="G9" s="419">
        <v>0</v>
      </c>
      <c r="H9" s="419">
        <v>0</v>
      </c>
      <c r="I9" s="419">
        <v>0</v>
      </c>
      <c r="J9" s="419">
        <v>0</v>
      </c>
      <c r="K9" s="419">
        <v>0</v>
      </c>
      <c r="L9" s="419">
        <v>0</v>
      </c>
      <c r="M9" s="419">
        <f>D48</f>
        <v>11.24087636419279</v>
      </c>
      <c r="N9" s="419">
        <v>0</v>
      </c>
      <c r="O9" s="419">
        <v>0</v>
      </c>
      <c r="P9" s="419">
        <v>0</v>
      </c>
      <c r="Q9" s="419">
        <v>0</v>
      </c>
      <c r="R9" s="419">
        <v>0</v>
      </c>
      <c r="S9" s="419">
        <f t="shared" si="0"/>
        <v>11.899585790749647</v>
      </c>
      <c r="T9" s="60"/>
      <c r="W9" s="400"/>
      <c r="X9" s="400"/>
      <c r="Y9" s="400"/>
      <c r="Z9" s="400"/>
      <c r="AA9" s="400"/>
      <c r="AB9" s="400"/>
      <c r="AC9" s="400"/>
      <c r="AD9" s="400"/>
      <c r="AE9" s="400"/>
      <c r="AF9" s="400"/>
      <c r="AG9" s="400"/>
      <c r="AH9" s="400"/>
      <c r="AI9" s="400"/>
      <c r="AJ9" s="400"/>
      <c r="AK9" s="400"/>
      <c r="AL9" s="400"/>
      <c r="AM9" s="400"/>
      <c r="AN9" s="400"/>
      <c r="AO9" s="400"/>
      <c r="AP9" s="400"/>
    </row>
    <row r="10" spans="1:42" ht="15" customHeight="1">
      <c r="A10" s="511" t="s">
        <v>782</v>
      </c>
      <c r="B10" s="407" t="s">
        <v>778</v>
      </c>
      <c r="C10" s="411">
        <v>0</v>
      </c>
      <c r="D10" s="411">
        <v>0</v>
      </c>
      <c r="E10" s="411">
        <f>J59</f>
        <v>21.266924564796906</v>
      </c>
      <c r="F10" s="411">
        <f>J54</f>
        <v>57.928933920588257</v>
      </c>
      <c r="G10" s="411">
        <v>0</v>
      </c>
      <c r="H10" s="411">
        <f>J58</f>
        <v>35.768984978868886</v>
      </c>
      <c r="I10" s="411">
        <v>0</v>
      </c>
      <c r="J10" s="411">
        <v>0</v>
      </c>
      <c r="K10" s="411">
        <v>0</v>
      </c>
      <c r="L10" s="411">
        <v>0</v>
      </c>
      <c r="M10" s="411">
        <v>0</v>
      </c>
      <c r="N10" s="411">
        <f>J57</f>
        <v>46.421663442940044</v>
      </c>
      <c r="O10" s="411">
        <f>J56</f>
        <v>54.612391902233966</v>
      </c>
      <c r="P10" s="411">
        <v>0</v>
      </c>
      <c r="Q10" s="411">
        <f>J55</f>
        <v>56.702487638257786</v>
      </c>
      <c r="R10" s="411">
        <f>J60</f>
        <v>5.5125725338491298</v>
      </c>
      <c r="S10" s="411">
        <f>SUM(C10:R10)</f>
        <v>278.21395898153497</v>
      </c>
      <c r="T10"/>
      <c r="W10" s="400"/>
      <c r="X10" s="400"/>
      <c r="Y10" s="400"/>
      <c r="Z10" s="400"/>
      <c r="AA10" s="400"/>
      <c r="AB10" s="400"/>
      <c r="AC10" s="400"/>
      <c r="AD10" s="400"/>
      <c r="AE10" s="400"/>
      <c r="AF10" s="400"/>
      <c r="AG10" s="400"/>
      <c r="AH10" s="400"/>
      <c r="AI10" s="400"/>
      <c r="AJ10" s="400"/>
      <c r="AK10" s="400"/>
      <c r="AL10" s="400"/>
      <c r="AM10" s="400"/>
      <c r="AN10" s="400"/>
      <c r="AO10" s="400"/>
      <c r="AP10" s="400"/>
    </row>
    <row r="11" spans="1:42" ht="34.200000000000003" customHeight="1">
      <c r="A11" s="512"/>
      <c r="B11" s="409" t="s">
        <v>436</v>
      </c>
      <c r="C11" s="412">
        <f>J43</f>
        <v>4.5168882849655434</v>
      </c>
      <c r="D11" s="412">
        <f>J41</f>
        <v>35.876233158997508</v>
      </c>
      <c r="E11" s="412">
        <f>J42</f>
        <v>8.1461191787681528</v>
      </c>
      <c r="F11" s="412">
        <f>J40</f>
        <v>109.53167751627441</v>
      </c>
      <c r="G11" s="412">
        <v>0</v>
      </c>
      <c r="H11" s="412">
        <f>J39</f>
        <v>184.42561442163247</v>
      </c>
      <c r="I11" s="412">
        <v>0</v>
      </c>
      <c r="J11" s="412">
        <v>0</v>
      </c>
      <c r="K11" s="412">
        <f>J44</f>
        <v>3.6999999999999997</v>
      </c>
      <c r="L11" s="412">
        <v>0</v>
      </c>
      <c r="M11" s="412">
        <v>0</v>
      </c>
      <c r="N11" s="412">
        <v>0</v>
      </c>
      <c r="O11" s="412">
        <v>0</v>
      </c>
      <c r="P11" s="412">
        <f>J45</f>
        <v>1.6666666666666701</v>
      </c>
      <c r="Q11" s="412">
        <v>0</v>
      </c>
      <c r="R11" s="412">
        <v>0</v>
      </c>
      <c r="S11" s="412">
        <f>SUM(C11:R11)</f>
        <v>347.86319922730479</v>
      </c>
      <c r="T11" s="410"/>
      <c r="W11" s="400"/>
      <c r="X11" s="400"/>
      <c r="Y11" s="400"/>
      <c r="Z11" s="400"/>
      <c r="AA11" s="400"/>
      <c r="AB11" s="400"/>
      <c r="AC11" s="400"/>
      <c r="AD11" s="400"/>
      <c r="AE11" s="400"/>
      <c r="AF11" s="400"/>
      <c r="AG11" s="400"/>
      <c r="AH11" s="400"/>
      <c r="AI11" s="400"/>
      <c r="AJ11" s="400"/>
      <c r="AK11" s="400"/>
      <c r="AL11" s="400"/>
      <c r="AM11" s="400"/>
      <c r="AN11" s="400"/>
      <c r="AO11" s="400"/>
      <c r="AP11" s="400"/>
    </row>
    <row r="12" spans="1:42" ht="15" customHeight="1">
      <c r="A12" s="508" t="s">
        <v>783</v>
      </c>
      <c r="B12" s="414" t="s">
        <v>110</v>
      </c>
      <c r="C12" s="415">
        <f>D36</f>
        <v>89.262000002200011</v>
      </c>
      <c r="D12" s="415">
        <f>D38</f>
        <v>29.042000007800002</v>
      </c>
      <c r="E12" s="415">
        <v>0</v>
      </c>
      <c r="F12" s="415">
        <v>0</v>
      </c>
      <c r="G12" s="415">
        <v>0</v>
      </c>
      <c r="H12" s="415">
        <v>0</v>
      </c>
      <c r="I12" s="415">
        <f>D37</f>
        <v>29.826000003499999</v>
      </c>
      <c r="J12" s="415">
        <v>0</v>
      </c>
      <c r="K12" s="415">
        <v>0</v>
      </c>
      <c r="L12" s="415">
        <v>0</v>
      </c>
      <c r="M12" s="415">
        <v>0</v>
      </c>
      <c r="N12" s="415">
        <v>0</v>
      </c>
      <c r="O12" s="415">
        <v>0</v>
      </c>
      <c r="P12" s="415">
        <v>0</v>
      </c>
      <c r="Q12" s="415">
        <v>0</v>
      </c>
      <c r="R12" s="415">
        <v>0</v>
      </c>
      <c r="S12" s="416">
        <f t="shared" si="0"/>
        <v>148.13000001350002</v>
      </c>
      <c r="T12"/>
      <c r="W12" s="400"/>
      <c r="X12" s="400"/>
      <c r="Y12" s="400"/>
      <c r="Z12" s="400"/>
      <c r="AA12" s="400"/>
      <c r="AB12" s="400"/>
      <c r="AC12" s="400"/>
      <c r="AD12" s="400"/>
      <c r="AE12" s="400"/>
      <c r="AF12" s="400"/>
      <c r="AG12" s="400"/>
      <c r="AH12" s="400"/>
      <c r="AI12" s="400"/>
      <c r="AJ12" s="400"/>
      <c r="AK12" s="400"/>
      <c r="AL12" s="400"/>
      <c r="AM12" s="400"/>
      <c r="AN12" s="400"/>
      <c r="AO12" s="400"/>
      <c r="AP12" s="400"/>
    </row>
    <row r="13" spans="1:42" ht="15" customHeight="1">
      <c r="A13" s="509"/>
      <c r="B13" s="417" t="s">
        <v>109</v>
      </c>
      <c r="C13" s="416">
        <v>0</v>
      </c>
      <c r="D13" s="416">
        <f>D45</f>
        <v>26.568726921509828</v>
      </c>
      <c r="E13" s="416">
        <f>D47</f>
        <v>4.0000000005</v>
      </c>
      <c r="F13" s="416">
        <v>0</v>
      </c>
      <c r="G13" s="416">
        <v>0</v>
      </c>
      <c r="H13" s="416">
        <f>D46</f>
        <v>12.120000000899999</v>
      </c>
      <c r="I13" s="416">
        <v>0</v>
      </c>
      <c r="J13" s="416">
        <v>0</v>
      </c>
      <c r="K13" s="416">
        <v>0</v>
      </c>
      <c r="L13" s="416">
        <v>0</v>
      </c>
      <c r="M13" s="416">
        <v>0</v>
      </c>
      <c r="N13" s="416">
        <v>0</v>
      </c>
      <c r="O13" s="416">
        <v>0</v>
      </c>
      <c r="P13" s="416">
        <v>0</v>
      </c>
      <c r="Q13" s="416">
        <v>0</v>
      </c>
      <c r="R13" s="416">
        <v>0</v>
      </c>
      <c r="S13" s="416">
        <f t="shared" si="0"/>
        <v>42.688726922909829</v>
      </c>
      <c r="T13"/>
      <c r="W13" s="400"/>
      <c r="X13" s="400"/>
      <c r="Y13" s="400"/>
      <c r="Z13" s="400"/>
      <c r="AA13" s="400"/>
      <c r="AB13" s="400"/>
      <c r="AC13" s="400"/>
      <c r="AD13" s="400"/>
      <c r="AE13" s="400"/>
      <c r="AF13" s="400"/>
      <c r="AG13" s="400"/>
      <c r="AH13" s="400"/>
      <c r="AI13" s="400"/>
      <c r="AJ13" s="400"/>
      <c r="AK13" s="400"/>
      <c r="AL13" s="400"/>
      <c r="AM13" s="400"/>
      <c r="AN13" s="400"/>
      <c r="AO13" s="400"/>
      <c r="AP13" s="400"/>
    </row>
    <row r="14" spans="1:42" ht="15" customHeight="1">
      <c r="A14" s="510"/>
      <c r="B14" s="418" t="s">
        <v>779</v>
      </c>
      <c r="C14" s="419">
        <v>0</v>
      </c>
      <c r="D14" s="419">
        <f>D42</f>
        <v>53.147808862085498</v>
      </c>
      <c r="E14" s="419">
        <f>D43</f>
        <v>29.694507020211585</v>
      </c>
      <c r="F14" s="419">
        <f>D44</f>
        <v>6.5009017651230492</v>
      </c>
      <c r="G14" s="419">
        <v>0</v>
      </c>
      <c r="H14" s="419">
        <v>0</v>
      </c>
      <c r="I14" s="419">
        <v>0</v>
      </c>
      <c r="J14" s="419">
        <v>0</v>
      </c>
      <c r="K14" s="419">
        <v>0</v>
      </c>
      <c r="L14" s="419">
        <v>0</v>
      </c>
      <c r="M14" s="419">
        <v>0</v>
      </c>
      <c r="N14" s="419">
        <v>0</v>
      </c>
      <c r="O14" s="419">
        <v>0</v>
      </c>
      <c r="P14" s="419">
        <v>0</v>
      </c>
      <c r="Q14" s="419">
        <v>0</v>
      </c>
      <c r="R14" s="419">
        <v>0</v>
      </c>
      <c r="S14" s="416">
        <f t="shared" si="0"/>
        <v>89.343217647420133</v>
      </c>
      <c r="T14"/>
      <c r="W14" s="400"/>
      <c r="X14" s="400"/>
      <c r="Y14" s="400"/>
      <c r="Z14" s="400"/>
      <c r="AA14" s="400"/>
      <c r="AB14" s="400"/>
      <c r="AC14" s="400"/>
      <c r="AD14" s="400"/>
      <c r="AE14" s="400"/>
      <c r="AF14" s="400"/>
      <c r="AG14" s="400"/>
      <c r="AH14" s="400"/>
      <c r="AI14" s="400"/>
      <c r="AJ14" s="400"/>
      <c r="AK14" s="400"/>
      <c r="AL14" s="400"/>
      <c r="AM14" s="400"/>
      <c r="AN14" s="400"/>
      <c r="AO14" s="400"/>
      <c r="AP14" s="400"/>
    </row>
    <row r="15" spans="1:42" ht="15" customHeight="1">
      <c r="A15" s="404" t="s">
        <v>222</v>
      </c>
      <c r="B15" s="408"/>
      <c r="C15" s="411">
        <f t="shared" ref="C15:R15" si="1">SUM(C4:C9)+SUM(C10:C11)</f>
        <v>22.679052859728603</v>
      </c>
      <c r="D15" s="411">
        <f t="shared" si="1"/>
        <v>725.43745196392354</v>
      </c>
      <c r="E15" s="411">
        <f t="shared" si="1"/>
        <v>179.72320674838193</v>
      </c>
      <c r="F15" s="411">
        <f t="shared" si="1"/>
        <v>183.06781770802269</v>
      </c>
      <c r="G15" s="411">
        <f t="shared" si="1"/>
        <v>28.834716934390002</v>
      </c>
      <c r="H15" s="411">
        <f t="shared" si="1"/>
        <v>238.65722939823138</v>
      </c>
      <c r="I15" s="411">
        <f t="shared" si="1"/>
        <v>0</v>
      </c>
      <c r="J15" s="411">
        <f t="shared" si="1"/>
        <v>11.793401623899999</v>
      </c>
      <c r="K15" s="411">
        <f t="shared" si="1"/>
        <v>27.0953526036947</v>
      </c>
      <c r="L15" s="411">
        <f t="shared" si="1"/>
        <v>8.3284210527315796</v>
      </c>
      <c r="M15" s="411">
        <f t="shared" si="1"/>
        <v>11.24087636419279</v>
      </c>
      <c r="N15" s="411">
        <f t="shared" si="1"/>
        <v>46.421663442940044</v>
      </c>
      <c r="O15" s="411">
        <f t="shared" si="1"/>
        <v>54.612391902233966</v>
      </c>
      <c r="P15" s="411">
        <f t="shared" si="1"/>
        <v>1.6666666666666701</v>
      </c>
      <c r="Q15" s="411">
        <f t="shared" si="1"/>
        <v>56.702487638257786</v>
      </c>
      <c r="R15" s="411">
        <f t="shared" si="1"/>
        <v>5.5125725338491298</v>
      </c>
      <c r="S15" s="411">
        <f>SUM(C15:R15)</f>
        <v>1601.7733094411449</v>
      </c>
      <c r="T15"/>
      <c r="W15" s="400"/>
      <c r="X15" s="400"/>
      <c r="Y15" s="400"/>
      <c r="Z15" s="400"/>
      <c r="AA15" s="400"/>
      <c r="AB15" s="400"/>
      <c r="AC15" s="400"/>
      <c r="AD15" s="400"/>
      <c r="AE15" s="400"/>
      <c r="AF15" s="400"/>
      <c r="AG15" s="400"/>
      <c r="AH15" s="400"/>
      <c r="AI15" s="400"/>
      <c r="AJ15" s="400"/>
      <c r="AK15" s="400"/>
      <c r="AL15" s="400"/>
      <c r="AM15" s="400"/>
      <c r="AN15" s="400"/>
      <c r="AO15" s="400"/>
      <c r="AP15" s="400"/>
    </row>
    <row r="16" spans="1:42" ht="15" customHeight="1">
      <c r="A16" s="417" t="s">
        <v>221</v>
      </c>
      <c r="B16" s="420"/>
      <c r="C16" s="416">
        <f t="shared" ref="C16:R16" si="2">SUM(C4:C9)+SUM(C12:C14)</f>
        <v>107.42416457696308</v>
      </c>
      <c r="D16" s="416">
        <f t="shared" si="2"/>
        <v>798.31975459632145</v>
      </c>
      <c r="E16" s="416">
        <f t="shared" si="2"/>
        <v>184.00467002552847</v>
      </c>
      <c r="F16" s="416">
        <f t="shared" si="2"/>
        <v>22.108108036283049</v>
      </c>
      <c r="G16" s="416">
        <f t="shared" si="2"/>
        <v>28.834716934390002</v>
      </c>
      <c r="H16" s="416">
        <f t="shared" si="2"/>
        <v>30.582629998630001</v>
      </c>
      <c r="I16" s="416">
        <f t="shared" si="2"/>
        <v>29.826000003499999</v>
      </c>
      <c r="J16" s="416">
        <f t="shared" si="2"/>
        <v>11.793401623899999</v>
      </c>
      <c r="K16" s="416">
        <f t="shared" si="2"/>
        <v>23.3953526036947</v>
      </c>
      <c r="L16" s="416">
        <f t="shared" si="2"/>
        <v>8.3284210527315796</v>
      </c>
      <c r="M16" s="416">
        <f t="shared" si="2"/>
        <v>11.24087636419279</v>
      </c>
      <c r="N16" s="416">
        <f t="shared" si="2"/>
        <v>0</v>
      </c>
      <c r="O16" s="416">
        <f t="shared" si="2"/>
        <v>0</v>
      </c>
      <c r="P16" s="416">
        <f t="shared" si="2"/>
        <v>0</v>
      </c>
      <c r="Q16" s="416">
        <f t="shared" si="2"/>
        <v>0</v>
      </c>
      <c r="R16" s="416">
        <f t="shared" si="2"/>
        <v>0</v>
      </c>
      <c r="S16" s="416">
        <f t="shared" si="0"/>
        <v>1255.8580958161351</v>
      </c>
      <c r="T16"/>
      <c r="W16" s="400"/>
      <c r="X16" s="400"/>
      <c r="Y16" s="400"/>
      <c r="Z16" s="400"/>
      <c r="AA16" s="400"/>
      <c r="AB16" s="400"/>
      <c r="AC16" s="400"/>
      <c r="AD16" s="400"/>
      <c r="AE16" s="400"/>
      <c r="AF16" s="400"/>
      <c r="AG16" s="400"/>
      <c r="AH16" s="400"/>
      <c r="AI16" s="400"/>
      <c r="AJ16" s="400"/>
      <c r="AK16" s="400"/>
      <c r="AL16" s="400"/>
      <c r="AM16" s="400"/>
      <c r="AN16" s="400"/>
      <c r="AO16" s="400"/>
      <c r="AP16" s="400"/>
    </row>
    <row r="17" spans="1:46" ht="15" customHeight="1">
      <c r="A17" s="79"/>
      <c r="S17"/>
      <c r="T17"/>
    </row>
    <row r="18" spans="1:46">
      <c r="A18" s="79"/>
      <c r="S18" s="400"/>
      <c r="T18" s="400"/>
    </row>
    <row r="19" spans="1:46" ht="15" thickBot="1">
      <c r="A19" s="66"/>
      <c r="B19" s="70" t="s">
        <v>565</v>
      </c>
      <c r="F19" s="23"/>
      <c r="G19" s="23"/>
      <c r="H19" s="23"/>
      <c r="I19" s="23"/>
      <c r="J19" s="23"/>
      <c r="K19" s="23"/>
      <c r="L19" s="23"/>
      <c r="M19"/>
      <c r="N19"/>
    </row>
    <row r="20" spans="1:46">
      <c r="A20" s="66"/>
      <c r="B20" s="168"/>
      <c r="C20" s="169" t="s">
        <v>488</v>
      </c>
      <c r="D20" s="169" t="s">
        <v>489</v>
      </c>
      <c r="E20" s="170"/>
      <c r="F20" s="23"/>
      <c r="G20" s="23"/>
      <c r="H20" s="23"/>
      <c r="I20" s="23"/>
      <c r="J20" s="23"/>
      <c r="K20" s="23"/>
      <c r="L20" s="23"/>
      <c r="M20"/>
      <c r="N20"/>
    </row>
    <row r="21" spans="1:46">
      <c r="A21" s="66"/>
      <c r="B21" s="154" t="s">
        <v>221</v>
      </c>
      <c r="C21" s="353">
        <f>E56</f>
        <v>1282.1516699823956</v>
      </c>
      <c r="D21" s="353">
        <f>D56</f>
        <v>1255.8580958161349</v>
      </c>
      <c r="E21" s="357">
        <f>D21/C21</f>
        <v>0.97949261793137021</v>
      </c>
      <c r="G21" s="23"/>
      <c r="H21" s="23"/>
      <c r="I21" s="23"/>
      <c r="J21" s="23"/>
      <c r="K21" s="23"/>
      <c r="L21" s="23"/>
      <c r="M21"/>
      <c r="N21"/>
    </row>
    <row r="22" spans="1:46">
      <c r="A22" s="66"/>
      <c r="B22" s="154" t="s">
        <v>222</v>
      </c>
      <c r="C22" s="353">
        <f>K61</f>
        <v>1672.6097386426313</v>
      </c>
      <c r="D22" s="353">
        <f>J61</f>
        <v>1601.7733094411451</v>
      </c>
      <c r="E22" s="357">
        <f>D22/C22</f>
        <v>0.95764915893711589</v>
      </c>
      <c r="G22" s="23"/>
      <c r="H22" s="23"/>
      <c r="I22" s="23"/>
      <c r="J22" s="23"/>
      <c r="K22" s="23"/>
      <c r="L22" s="23"/>
      <c r="M22"/>
      <c r="N22"/>
    </row>
    <row r="23" spans="1:46" ht="15" thickBot="1">
      <c r="A23" s="66"/>
      <c r="B23" s="171" t="s">
        <v>490</v>
      </c>
      <c r="C23" s="358">
        <f>SUM(C21:C22)</f>
        <v>2954.7614086250269</v>
      </c>
      <c r="D23" s="358">
        <f>SUM(D21:D22)</f>
        <v>2857.6314052572798</v>
      </c>
      <c r="E23" s="359">
        <f>D23/C23</f>
        <v>0.96712763234140597</v>
      </c>
      <c r="F23" s="23"/>
      <c r="G23" s="23"/>
      <c r="H23" s="23"/>
      <c r="I23" s="23"/>
      <c r="J23" s="23"/>
      <c r="K23" s="23"/>
      <c r="L23" s="23"/>
      <c r="M23"/>
      <c r="N23"/>
      <c r="AD23"/>
      <c r="AE23"/>
      <c r="AF23"/>
      <c r="AG23"/>
      <c r="AH23"/>
      <c r="AI23"/>
    </row>
    <row r="24" spans="1:46">
      <c r="A24" s="66"/>
      <c r="F24" s="23"/>
      <c r="G24" s="23"/>
      <c r="H24" s="23"/>
      <c r="I24" s="23"/>
      <c r="J24" s="23"/>
      <c r="K24" s="23"/>
      <c r="L24" s="23"/>
      <c r="M24"/>
      <c r="N24"/>
      <c r="AD24"/>
      <c r="AE24"/>
      <c r="AF24"/>
      <c r="AG24"/>
      <c r="AH24"/>
      <c r="AI24"/>
    </row>
    <row r="25" spans="1:46">
      <c r="A25" s="66"/>
      <c r="B25" s="173" t="s">
        <v>831</v>
      </c>
      <c r="F25" s="23"/>
      <c r="G25" s="23"/>
      <c r="H25" s="23"/>
      <c r="I25" s="23"/>
      <c r="J25" s="23"/>
      <c r="K25" s="23"/>
      <c r="L25" s="23"/>
      <c r="AD25"/>
      <c r="AE25"/>
      <c r="AF25"/>
      <c r="AG25"/>
      <c r="AH25"/>
      <c r="AI25"/>
    </row>
    <row r="26" spans="1:46">
      <c r="A26" s="66"/>
      <c r="B26" s="173"/>
      <c r="F26" s="23"/>
      <c r="G26" s="23"/>
      <c r="H26" s="23"/>
      <c r="I26" s="23"/>
      <c r="J26" s="23"/>
      <c r="K26" s="23"/>
      <c r="L26" s="23"/>
      <c r="AD26" s="400"/>
      <c r="AE26" s="400"/>
      <c r="AF26" s="400"/>
      <c r="AG26" s="400"/>
      <c r="AH26" s="400"/>
      <c r="AI26" s="400"/>
    </row>
    <row r="27" spans="1:46" ht="15" thickBot="1">
      <c r="A27" s="66"/>
      <c r="C27" s="361" t="s">
        <v>221</v>
      </c>
      <c r="D27" s="23"/>
      <c r="E27" s="23" t="s">
        <v>487</v>
      </c>
      <c r="F27" s="23" t="s">
        <v>830</v>
      </c>
      <c r="G27" s="23"/>
      <c r="H27" s="23"/>
      <c r="I27" s="361" t="s">
        <v>222</v>
      </c>
      <c r="J27" s="23"/>
      <c r="K27" s="23" t="s">
        <v>487</v>
      </c>
      <c r="L27" s="23" t="s">
        <v>830</v>
      </c>
      <c r="O27" s="337"/>
      <c r="P27" s="337"/>
      <c r="Q27" s="337"/>
      <c r="R27" s="337"/>
      <c r="S27" s="337"/>
      <c r="T27" s="337"/>
      <c r="U27" s="337"/>
      <c r="V27" s="337"/>
      <c r="W27" s="337"/>
      <c r="X27" s="337"/>
      <c r="Y27" s="337"/>
      <c r="Z27" s="337"/>
      <c r="AA27" s="337"/>
      <c r="AB27" s="337"/>
      <c r="AC27" s="337"/>
      <c r="AD27" s="337"/>
      <c r="AE27" s="337"/>
      <c r="AF27" s="337"/>
      <c r="AG27" s="337"/>
      <c r="AH27" s="337"/>
      <c r="AI27" s="337"/>
      <c r="AJ27" s="337"/>
      <c r="AK27" s="337"/>
      <c r="AL27" s="337"/>
      <c r="AM27" s="337"/>
      <c r="AN27" s="337"/>
      <c r="AO27" s="337"/>
      <c r="AP27" s="337"/>
      <c r="AQ27" s="337"/>
      <c r="AR27" s="337"/>
      <c r="AS27" s="337"/>
      <c r="AT27" s="337"/>
    </row>
    <row r="28" spans="1:46" ht="14.4" customHeight="1">
      <c r="A28" s="66"/>
      <c r="B28" s="522" t="s">
        <v>220</v>
      </c>
      <c r="C28" s="362" t="s">
        <v>86</v>
      </c>
      <c r="D28" s="363">
        <v>389.00000526122892</v>
      </c>
      <c r="E28" s="363"/>
      <c r="F28" s="364"/>
      <c r="G28" s="23"/>
      <c r="H28" s="525" t="s">
        <v>220</v>
      </c>
      <c r="I28" s="362" t="s">
        <v>86</v>
      </c>
      <c r="J28" s="363">
        <f>U92</f>
        <v>389.00000526122892</v>
      </c>
      <c r="K28" s="363"/>
      <c r="L28" s="364"/>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row>
    <row r="29" spans="1:46">
      <c r="A29" s="66"/>
      <c r="B29" s="523"/>
      <c r="C29" s="368" t="s">
        <v>89</v>
      </c>
      <c r="D29" s="351">
        <v>28.834716934390002</v>
      </c>
      <c r="E29" s="79"/>
      <c r="F29" s="83"/>
      <c r="G29" s="23"/>
      <c r="H29" s="526"/>
      <c r="I29" s="368" t="s">
        <v>89</v>
      </c>
      <c r="J29" s="351">
        <f>U93</f>
        <v>28.834716934390002</v>
      </c>
      <c r="K29" s="79"/>
      <c r="L29" s="83"/>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row>
    <row r="30" spans="1:46" ht="15" thickBot="1">
      <c r="A30" s="66"/>
      <c r="B30" s="524"/>
      <c r="C30" s="365" t="s">
        <v>93</v>
      </c>
      <c r="D30" s="366">
        <f>U94</f>
        <v>25.000000000599996</v>
      </c>
      <c r="E30" s="366">
        <f>'A2-1 EV-ICEV composition'!O108</f>
        <v>443.26382058703894</v>
      </c>
      <c r="F30" s="367">
        <f>SUM(D28:D30)/E30</f>
        <v>0.999031957107955</v>
      </c>
      <c r="G30" s="23"/>
      <c r="H30" s="527"/>
      <c r="I30" s="365" t="s">
        <v>93</v>
      </c>
      <c r="J30" s="366">
        <f>U94</f>
        <v>25.000000000599996</v>
      </c>
      <c r="K30" s="366">
        <f>'A2-1 EV-ICEV composition'!O108</f>
        <v>443.26382058703894</v>
      </c>
      <c r="L30" s="367">
        <f>SUM(J28:J30)/K30</f>
        <v>0.999031957107955</v>
      </c>
      <c r="O30" s="18"/>
      <c r="P30" s="18"/>
      <c r="Q30" s="18"/>
      <c r="R30" s="18"/>
      <c r="S30" s="18"/>
      <c r="T30" s="18"/>
      <c r="U30" s="18"/>
      <c r="V30" s="18"/>
      <c r="W30" s="18"/>
      <c r="X30" s="18"/>
      <c r="Y30" s="18"/>
      <c r="Z30" s="18"/>
      <c r="AA30" s="18"/>
      <c r="AB30" s="18"/>
      <c r="AC30" s="18"/>
      <c r="AD30" s="18"/>
      <c r="AE30" s="18"/>
      <c r="AF30" s="18"/>
      <c r="AG30" s="18"/>
      <c r="AH30" s="18"/>
      <c r="AI30" s="18"/>
      <c r="AJ30" s="18"/>
      <c r="AK30" s="351"/>
      <c r="AL30" s="18"/>
      <c r="AM30" s="18"/>
      <c r="AN30" s="18"/>
      <c r="AO30" s="18"/>
      <c r="AP30" s="18"/>
      <c r="AQ30" s="18"/>
      <c r="AR30" s="18"/>
      <c r="AS30" s="18"/>
      <c r="AT30" s="18"/>
    </row>
    <row r="31" spans="1:46">
      <c r="A31" s="66"/>
      <c r="B31" s="513" t="s">
        <v>107</v>
      </c>
      <c r="C31" s="368" t="s">
        <v>219</v>
      </c>
      <c r="D31" s="351">
        <f>M117</f>
        <v>18.162164574763061</v>
      </c>
      <c r="E31" s="351"/>
      <c r="F31" s="369"/>
      <c r="G31" s="23"/>
      <c r="H31" s="516" t="s">
        <v>107</v>
      </c>
      <c r="I31" s="368" t="s">
        <v>219</v>
      </c>
      <c r="J31" s="351">
        <f>M117</f>
        <v>18.162164574763061</v>
      </c>
      <c r="K31" s="351"/>
      <c r="L31" s="369"/>
      <c r="O31" s="18"/>
      <c r="P31" s="18"/>
      <c r="Q31" s="18"/>
      <c r="R31" s="18"/>
      <c r="S31" s="18"/>
      <c r="T31" s="18"/>
      <c r="U31" s="18"/>
      <c r="V31" s="18"/>
      <c r="W31" s="18"/>
      <c r="X31" s="18"/>
      <c r="Y31" s="18"/>
      <c r="Z31" s="18"/>
      <c r="AA31" s="18"/>
      <c r="AB31" s="18"/>
      <c r="AC31" s="18"/>
      <c r="AD31" s="18"/>
      <c r="AE31" s="18"/>
      <c r="AF31" s="18"/>
      <c r="AG31" s="18"/>
      <c r="AH31" s="18"/>
      <c r="AI31" s="18"/>
      <c r="AJ31" s="18"/>
      <c r="AK31" s="351"/>
      <c r="AL31" s="18"/>
      <c r="AM31" s="18"/>
      <c r="AN31" s="18"/>
      <c r="AO31" s="18"/>
      <c r="AP31" s="18"/>
      <c r="AQ31" s="18"/>
      <c r="AR31" s="18"/>
      <c r="AS31" s="18"/>
      <c r="AT31" s="18"/>
    </row>
    <row r="32" spans="1:46" ht="15" thickBot="1">
      <c r="A32" s="66"/>
      <c r="B32" s="515"/>
      <c r="C32" s="365" t="s">
        <v>86</v>
      </c>
      <c r="D32" s="366">
        <f>M118</f>
        <v>10.594596001986787</v>
      </c>
      <c r="E32" s="366">
        <f>'A2-1 EV-ICEV composition'!G126</f>
        <v>31.027031125522722</v>
      </c>
      <c r="F32" s="367">
        <f>SUM(D31:D32)/E32</f>
        <v>0.92682926898199558</v>
      </c>
      <c r="G32" s="23"/>
      <c r="H32" s="517"/>
      <c r="I32" s="365" t="s">
        <v>86</v>
      </c>
      <c r="J32" s="366">
        <f>M118</f>
        <v>10.594596001986787</v>
      </c>
      <c r="K32" s="366">
        <f>'A2-1 EV-ICEV composition'!G126</f>
        <v>31.027031125522722</v>
      </c>
      <c r="L32" s="367">
        <f>SUM(J31:J32)/K32</f>
        <v>0.92682926898199558</v>
      </c>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row>
    <row r="33" spans="1:46">
      <c r="A33" s="66"/>
      <c r="B33" s="513" t="s">
        <v>108</v>
      </c>
      <c r="C33" s="362" t="s">
        <v>273</v>
      </c>
      <c r="D33" s="363">
        <f>Q135</f>
        <v>172.45581907409999</v>
      </c>
      <c r="E33" s="363"/>
      <c r="F33" s="364"/>
      <c r="G33" s="23"/>
      <c r="H33" s="516" t="s">
        <v>108</v>
      </c>
      <c r="I33" s="362" t="s">
        <v>273</v>
      </c>
      <c r="J33" s="363">
        <f>Q135</f>
        <v>172.45581907409999</v>
      </c>
      <c r="K33" s="363"/>
      <c r="L33" s="364"/>
      <c r="O33" s="18"/>
      <c r="P33" s="18"/>
      <c r="Q33" s="18"/>
      <c r="R33" s="18"/>
      <c r="S33" s="18"/>
      <c r="T33" s="18"/>
      <c r="U33" s="18"/>
      <c r="V33" s="18"/>
      <c r="W33" s="18"/>
      <c r="X33" s="18"/>
      <c r="Y33" s="18"/>
      <c r="Z33" s="18"/>
      <c r="AA33" s="18"/>
      <c r="AB33" s="18"/>
      <c r="AC33" s="18"/>
      <c r="AD33" s="18"/>
      <c r="AE33" s="18"/>
      <c r="AF33" s="18"/>
      <c r="AG33" s="18"/>
      <c r="AH33" s="18"/>
      <c r="AI33" s="18"/>
      <c r="AJ33" s="18"/>
      <c r="AK33" s="351"/>
      <c r="AL33" s="18"/>
      <c r="AM33" s="18"/>
      <c r="AN33" s="18"/>
      <c r="AO33" s="18"/>
      <c r="AP33" s="18"/>
      <c r="AQ33" s="18"/>
      <c r="AR33" s="18"/>
      <c r="AS33" s="18"/>
      <c r="AT33" s="18"/>
    </row>
    <row r="34" spans="1:46">
      <c r="A34" s="66"/>
      <c r="B34" s="514"/>
      <c r="C34" s="368" t="s">
        <v>93</v>
      </c>
      <c r="D34" s="351">
        <f>Q136</f>
        <v>5.8876289631000001</v>
      </c>
      <c r="E34" s="351"/>
      <c r="F34" s="369"/>
      <c r="G34" s="23"/>
      <c r="H34" s="518"/>
      <c r="I34" s="368" t="s">
        <v>93</v>
      </c>
      <c r="J34" s="351">
        <f>Q136</f>
        <v>5.8876289631000001</v>
      </c>
      <c r="K34" s="351"/>
      <c r="L34" s="369"/>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row>
    <row r="35" spans="1:46" ht="15" thickBot="1">
      <c r="A35" s="66"/>
      <c r="B35" s="515"/>
      <c r="C35" s="365" t="s">
        <v>102</v>
      </c>
      <c r="D35" s="366">
        <f>Q137</f>
        <v>4.0914031779000002</v>
      </c>
      <c r="E35" s="366">
        <f>'A2-1 EV-ICEV composition'!K143</f>
        <v>186.88005644390003</v>
      </c>
      <c r="F35" s="367">
        <f>SUM(D33:D35)/E35</f>
        <v>0.97621359221852311</v>
      </c>
      <c r="G35" s="23"/>
      <c r="H35" s="517"/>
      <c r="I35" s="365" t="s">
        <v>102</v>
      </c>
      <c r="J35" s="366">
        <f>Q137</f>
        <v>4.0914031779000002</v>
      </c>
      <c r="K35" s="366">
        <f>'A2-1 EV-ICEV composition'!K143</f>
        <v>186.88005644390003</v>
      </c>
      <c r="L35" s="367">
        <f>SUM(J33:J35)/K35</f>
        <v>0.97621359221852311</v>
      </c>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row>
    <row r="36" spans="1:46">
      <c r="A36" s="66"/>
      <c r="B36" s="513" t="s">
        <v>110</v>
      </c>
      <c r="C36" s="362" t="s">
        <v>104</v>
      </c>
      <c r="D36" s="363">
        <f>U152</f>
        <v>89.262000002200011</v>
      </c>
      <c r="E36" s="363"/>
      <c r="F36" s="364"/>
      <c r="G36" s="23"/>
      <c r="H36" s="519" t="s">
        <v>312</v>
      </c>
      <c r="I36" s="362" t="s">
        <v>314</v>
      </c>
      <c r="J36" s="363">
        <f>M197</f>
        <v>46.9498924563404</v>
      </c>
      <c r="K36" s="363"/>
      <c r="L36" s="364"/>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row>
    <row r="37" spans="1:46">
      <c r="A37" s="66"/>
      <c r="B37" s="514"/>
      <c r="C37" s="368" t="s">
        <v>87</v>
      </c>
      <c r="D37" s="351">
        <f>U153</f>
        <v>29.826000003499999</v>
      </c>
      <c r="E37" s="351"/>
      <c r="F37" s="369"/>
      <c r="G37" s="23"/>
      <c r="H37" s="520"/>
      <c r="I37" s="368" t="s">
        <v>94</v>
      </c>
      <c r="J37" s="351">
        <f>M198</f>
        <v>18.105263157994699</v>
      </c>
      <c r="K37" s="351"/>
      <c r="L37" s="369"/>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row>
    <row r="38" spans="1:46" ht="15" thickBot="1">
      <c r="A38" s="66"/>
      <c r="B38" s="515"/>
      <c r="C38" s="365" t="s">
        <v>86</v>
      </c>
      <c r="D38" s="366">
        <f>U154</f>
        <v>29.042000007800002</v>
      </c>
      <c r="E38" s="366">
        <f>'A2-1 EV-ICEV composition'!O173</f>
        <v>150.670909018</v>
      </c>
      <c r="F38" s="367">
        <f>SUM(D36:D38)/E38</f>
        <v>0.9831360345466793</v>
      </c>
      <c r="G38" s="23"/>
      <c r="H38" s="521"/>
      <c r="I38" s="365" t="s">
        <v>95</v>
      </c>
      <c r="J38" s="366">
        <f>M199</f>
        <v>8.3284210527315796</v>
      </c>
      <c r="K38" s="366">
        <f>'A2-1 EV-ICEV composition'!G206</f>
        <v>79.356559123707029</v>
      </c>
      <c r="L38" s="367">
        <f>SUM(J36:J38)/K38</f>
        <v>0.92473234068365773</v>
      </c>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row>
    <row r="39" spans="1:46" ht="14.4" customHeight="1">
      <c r="A39" s="66"/>
      <c r="B39" s="500" t="s">
        <v>312</v>
      </c>
      <c r="C39" s="362" t="s">
        <v>314</v>
      </c>
      <c r="D39" s="363">
        <f>M197</f>
        <v>46.9498924563404</v>
      </c>
      <c r="E39" s="363"/>
      <c r="F39" s="364"/>
      <c r="G39" s="23"/>
      <c r="H39" s="519" t="s">
        <v>436</v>
      </c>
      <c r="I39" s="362" t="s">
        <v>87</v>
      </c>
      <c r="J39" s="363">
        <f t="shared" ref="J39:J45" si="3">Z333</f>
        <v>184.42561442163247</v>
      </c>
      <c r="K39" s="363"/>
      <c r="L39" s="364"/>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row>
    <row r="40" spans="1:46">
      <c r="A40" s="66"/>
      <c r="B40" s="501"/>
      <c r="C40" s="368" t="s">
        <v>94</v>
      </c>
      <c r="D40" s="351">
        <f>M198</f>
        <v>18.105263157994699</v>
      </c>
      <c r="E40" s="351"/>
      <c r="F40" s="369"/>
      <c r="G40" s="23"/>
      <c r="H40" s="520"/>
      <c r="I40" s="368" t="s">
        <v>102</v>
      </c>
      <c r="J40" s="351">
        <f t="shared" si="3"/>
        <v>109.53167751627441</v>
      </c>
      <c r="K40" s="351"/>
      <c r="L40" s="369"/>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row>
    <row r="41" spans="1:46" ht="15" thickBot="1">
      <c r="A41" s="66"/>
      <c r="B41" s="502"/>
      <c r="C41" s="365" t="s">
        <v>95</v>
      </c>
      <c r="D41" s="366">
        <f>M199</f>
        <v>8.3284210527315796</v>
      </c>
      <c r="E41" s="366">
        <f>'A2-1 EV-ICEV composition'!G206</f>
        <v>79.356559123707029</v>
      </c>
      <c r="F41" s="367">
        <f>SUM(D39:D41)/E41</f>
        <v>0.92473234068365773</v>
      </c>
      <c r="G41" s="23"/>
      <c r="H41" s="520"/>
      <c r="I41" s="368" t="s">
        <v>86</v>
      </c>
      <c r="J41" s="351">
        <f t="shared" si="3"/>
        <v>35.876233158997508</v>
      </c>
      <c r="K41" s="351"/>
      <c r="L41" s="369"/>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row>
    <row r="42" spans="1:46">
      <c r="A42" s="66"/>
      <c r="B42" s="500" t="s">
        <v>334</v>
      </c>
      <c r="C42" s="362" t="s">
        <v>86</v>
      </c>
      <c r="D42" s="363">
        <f>T229</f>
        <v>53.147808862085498</v>
      </c>
      <c r="E42" s="363"/>
      <c r="F42" s="364"/>
      <c r="G42" s="23"/>
      <c r="H42" s="520"/>
      <c r="I42" s="368" t="s">
        <v>93</v>
      </c>
      <c r="J42" s="351">
        <f t="shared" si="3"/>
        <v>8.1461191787681528</v>
      </c>
      <c r="K42" s="351"/>
      <c r="L42" s="369"/>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row>
    <row r="43" spans="1:46">
      <c r="A43" s="66"/>
      <c r="B43" s="501"/>
      <c r="C43" s="368" t="s">
        <v>93</v>
      </c>
      <c r="D43" s="351">
        <f>T230</f>
        <v>29.694507020211585</v>
      </c>
      <c r="E43" s="351"/>
      <c r="F43" s="369"/>
      <c r="G43" s="23"/>
      <c r="H43" s="520"/>
      <c r="I43" s="368" t="s">
        <v>104</v>
      </c>
      <c r="J43" s="351">
        <f t="shared" si="3"/>
        <v>4.5168882849655434</v>
      </c>
      <c r="K43" s="351"/>
      <c r="L43" s="369"/>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thickBot="1">
      <c r="A44" s="66"/>
      <c r="B44" s="502"/>
      <c r="C44" s="365" t="s">
        <v>102</v>
      </c>
      <c r="D44" s="366">
        <f>T231</f>
        <v>6.5009017651230492</v>
      </c>
      <c r="E44" s="366">
        <f>'A2-1 EV-ICEV composition'!N244</f>
        <v>92.250217653320121</v>
      </c>
      <c r="F44" s="367">
        <f>SUM(D42:D44)/E44</f>
        <v>0.9684878791633359</v>
      </c>
      <c r="G44" s="23"/>
      <c r="H44" s="520"/>
      <c r="I44" s="368" t="s">
        <v>94</v>
      </c>
      <c r="J44" s="351">
        <f t="shared" si="3"/>
        <v>3.6999999999999997</v>
      </c>
      <c r="K44" s="351"/>
      <c r="L44" s="369"/>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thickBot="1">
      <c r="A45" s="66"/>
      <c r="B45" s="513" t="s">
        <v>109</v>
      </c>
      <c r="C45" s="362" t="s">
        <v>86</v>
      </c>
      <c r="D45" s="363">
        <f>Q254</f>
        <v>26.568726921509828</v>
      </c>
      <c r="E45" s="363"/>
      <c r="F45" s="364"/>
      <c r="G45" s="23"/>
      <c r="H45" s="521"/>
      <c r="I45" s="368" t="s">
        <v>105</v>
      </c>
      <c r="J45" s="351">
        <f t="shared" si="3"/>
        <v>1.6666666666666701</v>
      </c>
      <c r="K45" s="351">
        <f>'A2-1 EV-ICEV composition'!S362</f>
        <v>378.2773348703397</v>
      </c>
      <c r="L45" s="369">
        <f>SUM(J39:J45)/K45</f>
        <v>0.9195983136196626</v>
      </c>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4.4" customHeight="1">
      <c r="A46" s="66"/>
      <c r="B46" s="514"/>
      <c r="C46" s="368" t="s">
        <v>103</v>
      </c>
      <c r="D46" s="351">
        <f>Q255</f>
        <v>12.120000000899999</v>
      </c>
      <c r="E46" s="351"/>
      <c r="F46" s="369"/>
      <c r="G46" s="23"/>
      <c r="H46" s="519" t="s">
        <v>409</v>
      </c>
      <c r="I46" s="362" t="s">
        <v>93</v>
      </c>
      <c r="J46" s="363">
        <f t="shared" ref="J46:J51" si="4">AY285</f>
        <v>118.76382461456001</v>
      </c>
      <c r="K46" s="363"/>
      <c r="L46" s="364"/>
      <c r="AD46"/>
      <c r="AE46"/>
      <c r="AF46"/>
      <c r="AG46"/>
      <c r="AH46"/>
      <c r="AI46"/>
    </row>
    <row r="47" spans="1:46" ht="15" customHeight="1" thickBot="1">
      <c r="A47" s="66"/>
      <c r="B47" s="515"/>
      <c r="C47" s="365" t="s">
        <v>93</v>
      </c>
      <c r="D47" s="366">
        <f>Q256</f>
        <v>4.0000000005</v>
      </c>
      <c r="E47" s="366">
        <f>'A2-1 EV-ICEV composition'!K263</f>
        <v>44.898139538783717</v>
      </c>
      <c r="F47" s="367">
        <f>SUM(D45:D47)/E47</f>
        <v>0.95079055304807536</v>
      </c>
      <c r="G47" s="23"/>
      <c r="H47" s="520"/>
      <c r="I47" s="368" t="s">
        <v>86</v>
      </c>
      <c r="J47" s="351">
        <f t="shared" si="4"/>
        <v>70.560906011270006</v>
      </c>
      <c r="K47" s="351"/>
      <c r="L47" s="369"/>
      <c r="AD47"/>
      <c r="AE47"/>
      <c r="AF47"/>
      <c r="AG47"/>
      <c r="AH47"/>
      <c r="AI47"/>
    </row>
    <row r="48" spans="1:46">
      <c r="A48" s="66"/>
      <c r="B48" s="513" t="s">
        <v>358</v>
      </c>
      <c r="C48" s="362" t="s">
        <v>106</v>
      </c>
      <c r="D48" s="363">
        <f>M270</f>
        <v>11.24087636419279</v>
      </c>
      <c r="E48" s="363"/>
      <c r="F48" s="364"/>
      <c r="G48" s="23"/>
      <c r="H48" s="520"/>
      <c r="I48" s="368" t="s">
        <v>103</v>
      </c>
      <c r="J48" s="351">
        <f t="shared" si="4"/>
        <v>18.462629997730001</v>
      </c>
      <c r="K48" s="351"/>
      <c r="L48" s="369"/>
      <c r="AD48"/>
      <c r="AE48"/>
      <c r="AF48"/>
      <c r="AG48"/>
      <c r="AH48"/>
      <c r="AI48"/>
    </row>
    <row r="49" spans="1:35" ht="15" thickBot="1">
      <c r="A49" s="66"/>
      <c r="B49" s="515"/>
      <c r="C49" s="368" t="s">
        <v>93</v>
      </c>
      <c r="D49" s="351">
        <f>M272</f>
        <v>0.65870942655685827</v>
      </c>
      <c r="E49" s="351">
        <f>'A2-1 EV-ICEV composition'!G280</f>
        <v>16.138380950643032</v>
      </c>
      <c r="F49" s="369">
        <f>SUM(D48:D49)/E49</f>
        <v>0.73734693877551016</v>
      </c>
      <c r="G49" s="23"/>
      <c r="H49" s="520"/>
      <c r="I49" s="368" t="s">
        <v>91</v>
      </c>
      <c r="J49" s="351">
        <f>AY288</f>
        <v>11.793401623899999</v>
      </c>
      <c r="K49" s="351"/>
      <c r="L49" s="369"/>
      <c r="AD49"/>
      <c r="AE49"/>
      <c r="AF49"/>
      <c r="AG49"/>
      <c r="AH49"/>
      <c r="AI49"/>
    </row>
    <row r="50" spans="1:35">
      <c r="A50" s="66"/>
      <c r="B50" s="500" t="s">
        <v>409</v>
      </c>
      <c r="C50" s="362" t="s">
        <v>93</v>
      </c>
      <c r="D50" s="363">
        <f t="shared" ref="D50:D55" si="5">AY285</f>
        <v>118.76382461456001</v>
      </c>
      <c r="E50" s="363"/>
      <c r="F50" s="364"/>
      <c r="G50" s="23"/>
      <c r="H50" s="520"/>
      <c r="I50" s="368" t="s">
        <v>102</v>
      </c>
      <c r="J50" s="351">
        <f t="shared" si="4"/>
        <v>11.515803093260001</v>
      </c>
      <c r="K50" s="351"/>
      <c r="L50" s="369"/>
      <c r="AD50"/>
      <c r="AE50"/>
      <c r="AF50"/>
      <c r="AG50"/>
      <c r="AH50"/>
      <c r="AI50"/>
    </row>
    <row r="51" spans="1:35" ht="15" thickBot="1">
      <c r="A51" s="66"/>
      <c r="B51" s="501"/>
      <c r="C51" s="368" t="s">
        <v>86</v>
      </c>
      <c r="D51" s="351">
        <f t="shared" si="5"/>
        <v>70.560906011270006</v>
      </c>
      <c r="E51" s="351"/>
      <c r="F51" s="369"/>
      <c r="G51" s="23"/>
      <c r="H51" s="521"/>
      <c r="I51" s="365" t="s">
        <v>94</v>
      </c>
      <c r="J51" s="366">
        <f t="shared" si="4"/>
        <v>5.2900894457000005</v>
      </c>
      <c r="K51" s="366">
        <f>'A2-1 EV-ICEV composition'!AS324</f>
        <v>237.66655554147999</v>
      </c>
      <c r="L51" s="367">
        <f>SUM(J46:J51)/K51</f>
        <v>0.99461472081276237</v>
      </c>
      <c r="AD51"/>
      <c r="AE51"/>
      <c r="AF51"/>
      <c r="AG51"/>
      <c r="AH51"/>
      <c r="AI51"/>
    </row>
    <row r="52" spans="1:35">
      <c r="A52" s="66"/>
      <c r="B52" s="501"/>
      <c r="C52" s="368" t="s">
        <v>103</v>
      </c>
      <c r="D52" s="351">
        <f t="shared" si="5"/>
        <v>18.462629997730001</v>
      </c>
      <c r="E52" s="351"/>
      <c r="F52" s="369"/>
      <c r="G52" s="23"/>
      <c r="H52" s="516" t="s">
        <v>358</v>
      </c>
      <c r="I52" s="368" t="s">
        <v>106</v>
      </c>
      <c r="J52" s="351">
        <f>M270</f>
        <v>11.24087636419279</v>
      </c>
      <c r="K52" s="351"/>
      <c r="L52" s="369"/>
      <c r="AD52"/>
      <c r="AE52"/>
      <c r="AF52"/>
      <c r="AG52"/>
      <c r="AH52"/>
      <c r="AI52"/>
    </row>
    <row r="53" spans="1:35" ht="15" thickBot="1">
      <c r="A53" s="66"/>
      <c r="B53" s="501"/>
      <c r="C53" s="368" t="s">
        <v>91</v>
      </c>
      <c r="D53" s="351">
        <f t="shared" si="5"/>
        <v>11.793401623899999</v>
      </c>
      <c r="E53" s="351"/>
      <c r="F53" s="369"/>
      <c r="G53" s="23"/>
      <c r="H53" s="517"/>
      <c r="I53" s="365" t="s">
        <v>93</v>
      </c>
      <c r="J53" s="366">
        <f>M272</f>
        <v>0.65870942655685827</v>
      </c>
      <c r="K53" s="366">
        <f>'A2-1 EV-ICEV composition'!G280</f>
        <v>16.138380950643032</v>
      </c>
      <c r="L53" s="367">
        <f>SUM(J52:J53)/K53</f>
        <v>0.73734693877551016</v>
      </c>
      <c r="AD53"/>
      <c r="AE53"/>
      <c r="AF53"/>
      <c r="AG53"/>
      <c r="AH53"/>
      <c r="AI53"/>
    </row>
    <row r="54" spans="1:35">
      <c r="A54" s="66"/>
      <c r="B54" s="501"/>
      <c r="C54" s="368" t="s">
        <v>102</v>
      </c>
      <c r="D54" s="351">
        <f t="shared" si="5"/>
        <v>11.515803093260001</v>
      </c>
      <c r="E54" s="351"/>
      <c r="F54" s="369"/>
      <c r="G54" s="23"/>
      <c r="H54" s="516" t="s">
        <v>681</v>
      </c>
      <c r="I54" s="362" t="s">
        <v>102</v>
      </c>
      <c r="J54" s="363">
        <f>I378</f>
        <v>57.928933920588257</v>
      </c>
      <c r="K54" s="363"/>
      <c r="L54" s="364"/>
      <c r="AD54"/>
      <c r="AE54"/>
      <c r="AF54"/>
      <c r="AG54"/>
      <c r="AH54"/>
      <c r="AI54"/>
    </row>
    <row r="55" spans="1:35" ht="15" thickBot="1">
      <c r="A55" s="66"/>
      <c r="B55" s="502"/>
      <c r="C55" s="365" t="s">
        <v>94</v>
      </c>
      <c r="D55" s="366">
        <f t="shared" si="5"/>
        <v>5.2900894457000005</v>
      </c>
      <c r="E55" s="366">
        <f>'A2-1 EV-ICEV composition'!AS324</f>
        <v>237.66655554147999</v>
      </c>
      <c r="F55" s="367">
        <f>SUM(D50:D55)/E55</f>
        <v>0.99461472081276237</v>
      </c>
      <c r="G55" s="23"/>
      <c r="H55" s="518"/>
      <c r="I55" s="368" t="s">
        <v>473</v>
      </c>
      <c r="J55" s="351">
        <f>I371</f>
        <v>56.702487638257786</v>
      </c>
      <c r="K55" s="351"/>
      <c r="L55" s="369"/>
      <c r="AD55"/>
      <c r="AE55"/>
      <c r="AF55"/>
      <c r="AG55"/>
      <c r="AH55"/>
      <c r="AI55"/>
    </row>
    <row r="56" spans="1:35" ht="15" thickBot="1">
      <c r="A56" s="66"/>
      <c r="C56" s="23"/>
      <c r="D56" s="361">
        <f>SUM(D28:D55)</f>
        <v>1255.8580958161349</v>
      </c>
      <c r="E56" s="361">
        <f>SUM(E28:E55)</f>
        <v>1282.1516699823956</v>
      </c>
      <c r="F56" s="370">
        <f>D56/E56</f>
        <v>0.97949261793137021</v>
      </c>
      <c r="G56" s="23"/>
      <c r="H56" s="518"/>
      <c r="I56" s="368" t="s">
        <v>97</v>
      </c>
      <c r="J56" s="351">
        <f>I376</f>
        <v>54.612391902233966</v>
      </c>
      <c r="K56" s="351"/>
      <c r="L56" s="369"/>
      <c r="AD56"/>
      <c r="AE56"/>
      <c r="AF56"/>
      <c r="AG56"/>
      <c r="AH56"/>
      <c r="AI56"/>
    </row>
    <row r="57" spans="1:35">
      <c r="A57" s="66"/>
      <c r="B57" s="64"/>
      <c r="C57" s="23"/>
      <c r="D57" s="23"/>
      <c r="E57" s="23"/>
      <c r="F57" s="23"/>
      <c r="G57" s="23"/>
      <c r="H57" s="518"/>
      <c r="I57" s="368" t="s">
        <v>99</v>
      </c>
      <c r="J57" s="351">
        <f>I390</f>
        <v>46.421663442940044</v>
      </c>
      <c r="K57" s="351"/>
      <c r="L57" s="369"/>
      <c r="AD57"/>
      <c r="AE57"/>
      <c r="AF57"/>
      <c r="AG57"/>
      <c r="AH57"/>
      <c r="AI57"/>
    </row>
    <row r="58" spans="1:35">
      <c r="A58" s="66"/>
      <c r="C58" s="23"/>
      <c r="D58" s="23"/>
      <c r="E58" s="23"/>
      <c r="F58" s="23"/>
      <c r="G58" s="23"/>
      <c r="H58" s="518"/>
      <c r="I58" s="368" t="s">
        <v>474</v>
      </c>
      <c r="J58" s="351">
        <f>I373</f>
        <v>35.768984978868886</v>
      </c>
      <c r="K58" s="351"/>
      <c r="L58" s="369"/>
      <c r="AD58"/>
      <c r="AE58"/>
      <c r="AF58"/>
      <c r="AG58"/>
      <c r="AH58"/>
      <c r="AI58"/>
    </row>
    <row r="59" spans="1:35">
      <c r="A59" s="66"/>
      <c r="C59" s="23"/>
      <c r="D59" s="23"/>
      <c r="E59" s="23"/>
      <c r="F59" s="23"/>
      <c r="G59" s="23"/>
      <c r="H59" s="518"/>
      <c r="I59" s="368" t="s">
        <v>486</v>
      </c>
      <c r="J59" s="351">
        <f>I392</f>
        <v>21.266924564796906</v>
      </c>
      <c r="K59" s="351"/>
      <c r="L59" s="369"/>
      <c r="AD59"/>
      <c r="AE59"/>
      <c r="AF59"/>
      <c r="AG59"/>
      <c r="AH59"/>
      <c r="AI59"/>
    </row>
    <row r="60" spans="1:35" ht="15" thickBot="1">
      <c r="A60" s="66"/>
      <c r="C60" s="23"/>
      <c r="D60" s="23"/>
      <c r="E60" s="23"/>
      <c r="F60" s="23"/>
      <c r="G60" s="23"/>
      <c r="H60" s="517"/>
      <c r="I60" s="365" t="s">
        <v>98</v>
      </c>
      <c r="J60" s="366">
        <f>I391</f>
        <v>5.5125725338491298</v>
      </c>
      <c r="K60" s="366">
        <f>'A2-1 EV-ICEV composition'!I394</f>
        <v>300.00000000000006</v>
      </c>
      <c r="L60" s="367">
        <f>SUM(J54:J60)/K60</f>
        <v>0.92737986327178323</v>
      </c>
      <c r="AD60"/>
      <c r="AE60"/>
      <c r="AF60"/>
      <c r="AG60"/>
      <c r="AH60"/>
      <c r="AI60"/>
    </row>
    <row r="61" spans="1:35" ht="15" thickBot="1">
      <c r="A61" s="66"/>
      <c r="C61" s="23"/>
      <c r="D61" s="23"/>
      <c r="E61" s="23"/>
      <c r="F61" s="23"/>
      <c r="G61" s="23"/>
      <c r="H61" s="23"/>
      <c r="I61" s="23"/>
      <c r="J61" s="361">
        <f>SUM(J28:J60)</f>
        <v>1601.7733094411451</v>
      </c>
      <c r="K61" s="361">
        <f>SUM(K28:K60)</f>
        <v>1672.6097386426313</v>
      </c>
      <c r="L61" s="370">
        <f>J61/K61</f>
        <v>0.95764915893711589</v>
      </c>
      <c r="AD61"/>
      <c r="AE61"/>
      <c r="AF61"/>
      <c r="AG61"/>
      <c r="AH61"/>
      <c r="AI61"/>
    </row>
    <row r="62" spans="1:35">
      <c r="A62" s="66"/>
      <c r="AD62"/>
      <c r="AE62"/>
      <c r="AF62"/>
      <c r="AG62"/>
      <c r="AH62"/>
      <c r="AI62"/>
    </row>
    <row r="63" spans="1:35">
      <c r="A63" s="66"/>
      <c r="B63" s="79"/>
      <c r="AD63"/>
      <c r="AE63"/>
      <c r="AF63"/>
      <c r="AG63"/>
      <c r="AH63"/>
      <c r="AI63"/>
    </row>
    <row r="64" spans="1:35">
      <c r="A64" s="66"/>
      <c r="B64" s="79"/>
      <c r="K64" s="173" t="s">
        <v>491</v>
      </c>
      <c r="L64" s="206"/>
      <c r="AD64"/>
      <c r="AE64"/>
      <c r="AF64"/>
      <c r="AG64"/>
      <c r="AH64"/>
      <c r="AI64"/>
    </row>
    <row r="65" spans="1:35">
      <c r="A65" s="66"/>
      <c r="B65" s="112"/>
      <c r="AD65"/>
      <c r="AE65"/>
      <c r="AF65"/>
      <c r="AG65"/>
      <c r="AH65"/>
      <c r="AI65"/>
    </row>
    <row r="66" spans="1:35" ht="15" thickBot="1">
      <c r="A66" s="66"/>
      <c r="B66" s="70" t="s">
        <v>221</v>
      </c>
      <c r="C66" s="66" t="s">
        <v>223</v>
      </c>
      <c r="E66" s="70" t="s">
        <v>158</v>
      </c>
      <c r="F66" s="66" t="s">
        <v>223</v>
      </c>
      <c r="H66" s="70" t="s">
        <v>222</v>
      </c>
      <c r="I66" s="66" t="s">
        <v>223</v>
      </c>
      <c r="K66" s="70" t="s">
        <v>792</v>
      </c>
      <c r="M66" s="66" t="s">
        <v>223</v>
      </c>
      <c r="N66" s="66" t="s">
        <v>695</v>
      </c>
      <c r="AD66"/>
      <c r="AE66"/>
      <c r="AF66"/>
      <c r="AG66"/>
      <c r="AH66"/>
      <c r="AI66"/>
    </row>
    <row r="67" spans="1:35">
      <c r="A67" s="66"/>
      <c r="B67" s="168" t="s">
        <v>86</v>
      </c>
      <c r="C67" s="170">
        <f>D28+D32+D33+D38+D39+D42+D45+D51</f>
        <v>798.31975459632145</v>
      </c>
      <c r="D67" s="79"/>
      <c r="E67" s="168" t="s">
        <v>86</v>
      </c>
      <c r="F67" s="170">
        <f>D28+D32+D33+D39+D51</f>
        <v>689.56121880492617</v>
      </c>
      <c r="H67" s="168" t="s">
        <v>86</v>
      </c>
      <c r="I67" s="170">
        <f>J28+J32+J33+J36+J41+J47</f>
        <v>725.43745196392365</v>
      </c>
      <c r="J67" s="79"/>
      <c r="K67" s="174" t="s">
        <v>492</v>
      </c>
      <c r="L67" s="175" t="s">
        <v>102</v>
      </c>
      <c r="M67" s="169">
        <v>57.928933920588257</v>
      </c>
      <c r="N67" s="170">
        <f t="shared" ref="N67:N82" si="6">M67/$M$83</f>
        <v>0.19309644640196078</v>
      </c>
      <c r="AD67"/>
      <c r="AE67"/>
      <c r="AF67"/>
      <c r="AG67"/>
      <c r="AH67"/>
      <c r="AI67"/>
    </row>
    <row r="68" spans="1:35">
      <c r="A68" s="66"/>
      <c r="B68" s="154" t="s">
        <v>213</v>
      </c>
      <c r="C68" s="176">
        <f>D37+D46+D52</f>
        <v>60.408630002129996</v>
      </c>
      <c r="D68" s="79"/>
      <c r="E68" s="154" t="s">
        <v>213</v>
      </c>
      <c r="F68" s="176">
        <f>D52</f>
        <v>18.462629997730001</v>
      </c>
      <c r="H68" s="154" t="s">
        <v>213</v>
      </c>
      <c r="I68" s="176">
        <f>J48+J39+J58</f>
        <v>238.65722939823138</v>
      </c>
      <c r="J68" s="79"/>
      <c r="K68" s="177"/>
      <c r="L68" s="153" t="s">
        <v>473</v>
      </c>
      <c r="M68" s="3">
        <v>56.702487638257786</v>
      </c>
      <c r="N68" s="176">
        <f t="shared" si="6"/>
        <v>0.18900829212752587</v>
      </c>
      <c r="AD68"/>
      <c r="AE68"/>
      <c r="AF68"/>
      <c r="AG68"/>
      <c r="AH68"/>
      <c r="AI68"/>
    </row>
    <row r="69" spans="1:35">
      <c r="A69" s="66"/>
      <c r="B69" s="154" t="s">
        <v>493</v>
      </c>
      <c r="C69" s="176">
        <f>D31+D36</f>
        <v>107.42416457696308</v>
      </c>
      <c r="D69" s="79"/>
      <c r="E69" s="154" t="s">
        <v>493</v>
      </c>
      <c r="F69" s="176">
        <f>D31</f>
        <v>18.162164574763061</v>
      </c>
      <c r="H69" s="154" t="s">
        <v>493</v>
      </c>
      <c r="I69" s="176">
        <f>J31+J43</f>
        <v>22.679052859728603</v>
      </c>
      <c r="J69" s="79"/>
      <c r="K69" s="177"/>
      <c r="L69" s="153" t="s">
        <v>97</v>
      </c>
      <c r="M69" s="3">
        <v>54.612391902233966</v>
      </c>
      <c r="N69" s="176">
        <f t="shared" si="6"/>
        <v>0.18204130634077981</v>
      </c>
      <c r="AD69"/>
      <c r="AE69"/>
      <c r="AF69"/>
      <c r="AG69"/>
      <c r="AH69"/>
      <c r="AI69"/>
    </row>
    <row r="70" spans="1:35">
      <c r="A70" s="66"/>
      <c r="B70" s="154" t="s">
        <v>88</v>
      </c>
      <c r="C70" s="176">
        <f>D44+D35+D54</f>
        <v>22.108108036283049</v>
      </c>
      <c r="D70" s="79"/>
      <c r="E70" s="154" t="s">
        <v>88</v>
      </c>
      <c r="F70" s="176">
        <f>D35+D54</f>
        <v>15.607206271160001</v>
      </c>
      <c r="H70" s="154" t="s">
        <v>88</v>
      </c>
      <c r="I70" s="176">
        <f>J35+J40+J50+J54</f>
        <v>183.06781770802269</v>
      </c>
      <c r="J70" s="79"/>
      <c r="K70" s="177"/>
      <c r="L70" s="153" t="s">
        <v>99</v>
      </c>
      <c r="M70" s="3">
        <v>46.421663442940044</v>
      </c>
      <c r="N70" s="176">
        <f t="shared" si="6"/>
        <v>0.15473887814313342</v>
      </c>
      <c r="AD70"/>
      <c r="AE70"/>
      <c r="AF70"/>
      <c r="AG70"/>
      <c r="AH70"/>
      <c r="AI70"/>
    </row>
    <row r="71" spans="1:35">
      <c r="A71" s="66"/>
      <c r="B71" s="154" t="s">
        <v>94</v>
      </c>
      <c r="C71" s="176">
        <f>D40+D55</f>
        <v>23.3953526036947</v>
      </c>
      <c r="D71" s="79"/>
      <c r="E71" s="154" t="s">
        <v>94</v>
      </c>
      <c r="F71" s="176">
        <f>D40+D55</f>
        <v>23.3953526036947</v>
      </c>
      <c r="H71" s="154" t="s">
        <v>94</v>
      </c>
      <c r="I71" s="176">
        <f>J37+J44+J51</f>
        <v>27.0953526036947</v>
      </c>
      <c r="J71" s="79"/>
      <c r="K71" s="177"/>
      <c r="L71" s="153" t="s">
        <v>474</v>
      </c>
      <c r="M71" s="3">
        <v>35.7689849788689</v>
      </c>
      <c r="N71" s="176">
        <f t="shared" si="6"/>
        <v>0.11922994992956296</v>
      </c>
      <c r="AD71"/>
      <c r="AE71"/>
      <c r="AF71"/>
      <c r="AG71"/>
      <c r="AH71"/>
      <c r="AI71"/>
    </row>
    <row r="72" spans="1:35">
      <c r="A72" s="66"/>
      <c r="B72" s="154" t="s">
        <v>89</v>
      </c>
      <c r="C72" s="176">
        <f>D29</f>
        <v>28.834716934390002</v>
      </c>
      <c r="D72" s="79"/>
      <c r="E72" s="154" t="s">
        <v>89</v>
      </c>
      <c r="F72" s="176">
        <f>D29</f>
        <v>28.834716934390002</v>
      </c>
      <c r="H72" s="154" t="s">
        <v>89</v>
      </c>
      <c r="I72" s="176">
        <f>J29</f>
        <v>28.834716934390002</v>
      </c>
      <c r="J72" s="79"/>
      <c r="K72" s="177"/>
      <c r="L72" s="153" t="s">
        <v>486</v>
      </c>
      <c r="M72" s="3">
        <v>21.266924564796899</v>
      </c>
      <c r="N72" s="176">
        <f>M72/$M$83</f>
        <v>7.0889748549322965E-2</v>
      </c>
      <c r="AD72"/>
      <c r="AE72"/>
      <c r="AF72"/>
      <c r="AG72"/>
      <c r="AH72"/>
      <c r="AI72"/>
    </row>
    <row r="73" spans="1:35">
      <c r="A73" s="66"/>
      <c r="B73" s="154" t="s">
        <v>93</v>
      </c>
      <c r="C73" s="176">
        <f>D34+D43+D47+D49+D50</f>
        <v>159.00467002492846</v>
      </c>
      <c r="D73" s="79"/>
      <c r="E73" s="154" t="s">
        <v>93</v>
      </c>
      <c r="F73" s="176">
        <f>D34+D47+D49+D50</f>
        <v>129.31016300471686</v>
      </c>
      <c r="H73" s="154" t="s">
        <v>93</v>
      </c>
      <c r="I73" s="176">
        <f>J34+J53+J42+J46</f>
        <v>133.45628218298501</v>
      </c>
      <c r="J73" s="79"/>
      <c r="K73" s="177"/>
      <c r="L73" s="153" t="s">
        <v>98</v>
      </c>
      <c r="M73" s="3">
        <v>5.5125725338491298</v>
      </c>
      <c r="N73" s="176">
        <f t="shared" si="6"/>
        <v>1.8375241779497092E-2</v>
      </c>
      <c r="AD73"/>
      <c r="AE73"/>
      <c r="AF73"/>
      <c r="AG73"/>
      <c r="AH73"/>
      <c r="AI73"/>
    </row>
    <row r="74" spans="1:35" ht="15" thickBot="1">
      <c r="A74" s="66"/>
      <c r="B74" s="154" t="s">
        <v>494</v>
      </c>
      <c r="C74" s="176">
        <f>D41</f>
        <v>8.3284210527315796</v>
      </c>
      <c r="D74" s="79"/>
      <c r="E74" s="154" t="s">
        <v>494</v>
      </c>
      <c r="F74" s="176">
        <f>D41</f>
        <v>8.3284210527315796</v>
      </c>
      <c r="H74" s="154" t="s">
        <v>494</v>
      </c>
      <c r="I74" s="176">
        <f>J38</f>
        <v>8.3284210527315796</v>
      </c>
      <c r="J74" s="79"/>
      <c r="K74" s="178"/>
      <c r="L74" s="179" t="s">
        <v>366</v>
      </c>
      <c r="M74" s="172">
        <v>5.0051940768404704</v>
      </c>
      <c r="N74" s="180">
        <f t="shared" si="6"/>
        <v>1.6683980256134896E-2</v>
      </c>
      <c r="AD74"/>
      <c r="AE74"/>
      <c r="AF74"/>
      <c r="AG74"/>
      <c r="AH74"/>
      <c r="AI74"/>
    </row>
    <row r="75" spans="1:35">
      <c r="A75" s="66"/>
      <c r="B75" s="154" t="s">
        <v>106</v>
      </c>
      <c r="C75" s="176">
        <f>D48</f>
        <v>11.24087636419279</v>
      </c>
      <c r="D75" s="79"/>
      <c r="E75" s="154" t="s">
        <v>106</v>
      </c>
      <c r="F75" s="176">
        <f>D48</f>
        <v>11.24087636419279</v>
      </c>
      <c r="H75" s="154" t="s">
        <v>106</v>
      </c>
      <c r="I75" s="176">
        <f>J52</f>
        <v>11.24087636419279</v>
      </c>
      <c r="J75" s="79"/>
      <c r="K75" s="174" t="s">
        <v>495</v>
      </c>
      <c r="L75" s="168" t="s">
        <v>480</v>
      </c>
      <c r="M75" s="169">
        <v>4.1496053457566298</v>
      </c>
      <c r="N75" s="170">
        <f t="shared" si="6"/>
        <v>1.383201781918876E-2</v>
      </c>
      <c r="AD75"/>
      <c r="AE75"/>
      <c r="AF75"/>
      <c r="AG75"/>
      <c r="AH75"/>
      <c r="AI75"/>
    </row>
    <row r="76" spans="1:35" ht="15" thickBot="1">
      <c r="A76" s="66"/>
      <c r="B76" s="171" t="s">
        <v>91</v>
      </c>
      <c r="C76" s="180">
        <f>D53</f>
        <v>11.793401623899999</v>
      </c>
      <c r="D76" s="79"/>
      <c r="E76" s="171" t="s">
        <v>91</v>
      </c>
      <c r="F76" s="180">
        <f>D53</f>
        <v>11.793401623899999</v>
      </c>
      <c r="H76" s="154" t="s">
        <v>91</v>
      </c>
      <c r="I76" s="176">
        <f>J49</f>
        <v>11.793401623899999</v>
      </c>
      <c r="J76" s="79"/>
      <c r="K76" s="177"/>
      <c r="L76" s="154" t="s">
        <v>481</v>
      </c>
      <c r="M76" s="3">
        <v>3.1086390562712909</v>
      </c>
      <c r="N76" s="176">
        <f t="shared" si="6"/>
        <v>1.0362130187570966E-2</v>
      </c>
      <c r="AD76"/>
      <c r="AE76"/>
      <c r="AF76"/>
      <c r="AG76"/>
      <c r="AH76"/>
      <c r="AI76"/>
    </row>
    <row r="77" spans="1:35">
      <c r="A77" s="66"/>
      <c r="C77" s="70">
        <f>SUM(C67:C76)</f>
        <v>1230.8580958155351</v>
      </c>
      <c r="D77" s="79"/>
      <c r="F77" s="70">
        <f>SUM(F67:F76)</f>
        <v>954.69615123220512</v>
      </c>
      <c r="H77" s="154" t="s">
        <v>473</v>
      </c>
      <c r="I77" s="176">
        <f>J55</f>
        <v>56.702487638257786</v>
      </c>
      <c r="J77" s="79"/>
      <c r="K77" s="177"/>
      <c r="L77" s="154" t="s">
        <v>478</v>
      </c>
      <c r="M77" s="3">
        <v>2.7378839394682926</v>
      </c>
      <c r="N77" s="176">
        <f t="shared" si="6"/>
        <v>9.1262797982276378E-3</v>
      </c>
      <c r="AD77"/>
      <c r="AE77"/>
      <c r="AF77"/>
      <c r="AG77"/>
      <c r="AH77"/>
      <c r="AI77"/>
    </row>
    <row r="78" spans="1:35">
      <c r="A78" s="66"/>
      <c r="B78" s="64"/>
      <c r="D78" s="70"/>
      <c r="H78" s="154" t="s">
        <v>97</v>
      </c>
      <c r="I78" s="176">
        <f>J56</f>
        <v>54.612391902233966</v>
      </c>
      <c r="J78" s="79"/>
      <c r="K78" s="177"/>
      <c r="L78" s="154" t="s">
        <v>95</v>
      </c>
      <c r="M78" s="3">
        <v>2.4028020443820299</v>
      </c>
      <c r="N78" s="176">
        <f t="shared" si="6"/>
        <v>8.0093401479400961E-3</v>
      </c>
      <c r="AD78"/>
      <c r="AE78"/>
      <c r="AF78"/>
      <c r="AG78"/>
      <c r="AH78"/>
      <c r="AI78"/>
    </row>
    <row r="79" spans="1:35">
      <c r="A79" s="66"/>
      <c r="H79" s="154" t="s">
        <v>99</v>
      </c>
      <c r="I79" s="176">
        <f>J57</f>
        <v>46.421663442940044</v>
      </c>
      <c r="J79" s="79"/>
      <c r="K79" s="177"/>
      <c r="L79" s="154" t="s">
        <v>476</v>
      </c>
      <c r="M79" s="3">
        <v>2.0452009113184784</v>
      </c>
      <c r="N79" s="176">
        <f t="shared" si="6"/>
        <v>6.8173363710615923E-3</v>
      </c>
      <c r="AD79"/>
      <c r="AE79"/>
      <c r="AF79"/>
      <c r="AG79"/>
      <c r="AH79"/>
      <c r="AI79"/>
    </row>
    <row r="80" spans="1:35">
      <c r="A80" s="66"/>
      <c r="H80" s="154" t="s">
        <v>486</v>
      </c>
      <c r="I80" s="176">
        <f>J59</f>
        <v>21.266924564796906</v>
      </c>
      <c r="J80" s="79"/>
      <c r="K80" s="177"/>
      <c r="L80" s="154" t="s">
        <v>95</v>
      </c>
      <c r="M80" s="3">
        <v>1.75776726972777</v>
      </c>
      <c r="N80" s="176">
        <f t="shared" si="6"/>
        <v>5.8592242324258977E-3</v>
      </c>
      <c r="AD80"/>
      <c r="AE80"/>
      <c r="AF80"/>
      <c r="AG80"/>
      <c r="AH80"/>
      <c r="AI80"/>
    </row>
    <row r="81" spans="1:35">
      <c r="A81" s="66"/>
      <c r="H81" s="154" t="s">
        <v>98</v>
      </c>
      <c r="I81" s="176">
        <f>J60</f>
        <v>5.5125725338491298</v>
      </c>
      <c r="J81" s="79"/>
      <c r="K81" s="177"/>
      <c r="L81" s="154" t="s">
        <v>479</v>
      </c>
      <c r="M81" s="3">
        <v>0.37360707923994413</v>
      </c>
      <c r="N81" s="176">
        <f t="shared" si="6"/>
        <v>1.2453569307998133E-3</v>
      </c>
      <c r="AD81"/>
      <c r="AE81"/>
      <c r="AF81"/>
      <c r="AG81"/>
      <c r="AH81"/>
      <c r="AI81"/>
    </row>
    <row r="82" spans="1:35" ht="15" thickBot="1">
      <c r="A82" s="66"/>
      <c r="H82" s="171" t="s">
        <v>105</v>
      </c>
      <c r="I82" s="180">
        <f>J45</f>
        <v>1.6666666666666701</v>
      </c>
      <c r="J82" s="79"/>
      <c r="K82" s="178"/>
      <c r="L82" s="171" t="s">
        <v>482</v>
      </c>
      <c r="M82" s="172">
        <v>0.20534129546012195</v>
      </c>
      <c r="N82" s="180">
        <f t="shared" si="6"/>
        <v>6.8447098486707294E-4</v>
      </c>
      <c r="AD82"/>
      <c r="AE82"/>
      <c r="AF82"/>
      <c r="AG82"/>
      <c r="AH82"/>
      <c r="AI82"/>
    </row>
    <row r="83" spans="1:35">
      <c r="A83" s="66"/>
      <c r="I83" s="70">
        <f>SUM(I67:I82)</f>
        <v>1576.7733094405448</v>
      </c>
      <c r="J83" s="79"/>
      <c r="L83" s="79"/>
      <c r="M83" s="158">
        <f>SUM(M67:M82)</f>
        <v>300.00000000000011</v>
      </c>
      <c r="N83" s="399">
        <f>SUM(N67:N82)</f>
        <v>0.99999999999999967</v>
      </c>
      <c r="AD83"/>
      <c r="AE83"/>
      <c r="AF83"/>
      <c r="AG83"/>
      <c r="AH83"/>
      <c r="AI83"/>
    </row>
    <row r="84" spans="1:35">
      <c r="A84" s="66"/>
      <c r="I84" s="70"/>
      <c r="R84"/>
      <c r="S84"/>
      <c r="T84"/>
      <c r="U84"/>
      <c r="V84"/>
      <c r="W84"/>
      <c r="X84"/>
      <c r="Y84"/>
      <c r="Z84"/>
      <c r="AA84"/>
      <c r="AB84"/>
      <c r="AC84"/>
      <c r="AD84"/>
      <c r="AE84"/>
      <c r="AF84"/>
      <c r="AG84"/>
      <c r="AH84"/>
      <c r="AI84"/>
    </row>
    <row r="85" spans="1:35">
      <c r="R85"/>
      <c r="S85"/>
      <c r="T85"/>
      <c r="U85"/>
      <c r="V85"/>
      <c r="W85"/>
      <c r="X85"/>
      <c r="Y85"/>
      <c r="Z85"/>
      <c r="AA85"/>
      <c r="AB85"/>
      <c r="AC85"/>
      <c r="AD85"/>
      <c r="AE85"/>
      <c r="AF85"/>
      <c r="AG85"/>
      <c r="AH85"/>
      <c r="AI85"/>
    </row>
    <row r="86" spans="1:35" ht="15.6">
      <c r="A86" s="531" t="s">
        <v>566</v>
      </c>
      <c r="B86" s="531"/>
      <c r="C86" s="531"/>
      <c r="D86" s="531"/>
      <c r="E86" s="531"/>
      <c r="F86" s="531"/>
      <c r="G86" s="531"/>
      <c r="H86" s="531"/>
      <c r="I86" s="531"/>
      <c r="J86" s="531"/>
      <c r="K86" s="531"/>
      <c r="L86" s="531"/>
      <c r="M86" s="531"/>
      <c r="N86" s="531"/>
      <c r="O86" s="531"/>
      <c r="P86" s="531"/>
      <c r="Q86" s="531"/>
      <c r="R86" s="531"/>
      <c r="S86" s="531"/>
      <c r="T86" s="531"/>
      <c r="U86" s="531"/>
      <c r="V86"/>
      <c r="W86"/>
      <c r="X86"/>
      <c r="Y86"/>
      <c r="Z86"/>
      <c r="AA86"/>
      <c r="AB86"/>
      <c r="AC86"/>
      <c r="AD86"/>
      <c r="AE86"/>
      <c r="AF86"/>
      <c r="AG86"/>
      <c r="AH86"/>
      <c r="AI86"/>
    </row>
    <row r="87" spans="1:35" customFormat="1" ht="173.4" customHeight="1">
      <c r="A87" s="529" t="s">
        <v>567</v>
      </c>
      <c r="B87" s="530"/>
      <c r="C87" s="530"/>
      <c r="D87" s="530"/>
      <c r="E87" s="530"/>
      <c r="F87" s="530"/>
      <c r="G87" s="530"/>
      <c r="H87" s="530"/>
      <c r="I87" s="530"/>
      <c r="J87" s="530"/>
      <c r="K87" s="530"/>
      <c r="L87" s="530"/>
      <c r="M87" s="530"/>
      <c r="N87" s="530"/>
      <c r="O87" s="530"/>
      <c r="P87" s="530"/>
      <c r="Q87" s="530"/>
      <c r="R87" s="530"/>
      <c r="S87" s="530"/>
      <c r="T87" s="530"/>
      <c r="U87" s="530"/>
    </row>
    <row r="88" spans="1:35" customFormat="1" ht="13.8" customHeight="1">
      <c r="A88" s="205"/>
      <c r="B88" s="205"/>
      <c r="C88" s="205"/>
      <c r="D88" s="205"/>
      <c r="E88" s="205"/>
      <c r="F88" s="205"/>
      <c r="G88" s="205"/>
      <c r="H88" s="205"/>
      <c r="I88" s="205"/>
      <c r="J88" s="205"/>
      <c r="K88" s="205"/>
      <c r="L88" s="205"/>
      <c r="M88" s="205"/>
      <c r="N88" s="205"/>
    </row>
    <row r="89" spans="1:35" ht="169.8" customHeight="1">
      <c r="A89" s="64">
        <v>1</v>
      </c>
      <c r="B89" s="65"/>
      <c r="C89" s="66" t="s">
        <v>224</v>
      </c>
      <c r="D89" s="65"/>
      <c r="E89" s="143" t="s">
        <v>225</v>
      </c>
      <c r="F89" s="67" t="s">
        <v>226</v>
      </c>
      <c r="G89" s="67" t="s">
        <v>227</v>
      </c>
      <c r="H89" s="67" t="s">
        <v>228</v>
      </c>
      <c r="I89" s="67" t="s">
        <v>229</v>
      </c>
      <c r="J89" s="67" t="s">
        <v>230</v>
      </c>
      <c r="K89" s="67" t="s">
        <v>231</v>
      </c>
      <c r="L89" s="67" t="s">
        <v>232</v>
      </c>
      <c r="M89" s="67" t="s">
        <v>233</v>
      </c>
      <c r="N89" s="143" t="s">
        <v>234</v>
      </c>
      <c r="R89"/>
      <c r="S89"/>
      <c r="T89"/>
      <c r="U89"/>
      <c r="V89"/>
      <c r="W89"/>
      <c r="X89"/>
      <c r="Y89"/>
      <c r="Z89"/>
      <c r="AA89"/>
      <c r="AB89"/>
      <c r="AC89"/>
      <c r="AD89"/>
      <c r="AE89"/>
      <c r="AF89"/>
      <c r="AG89"/>
      <c r="AH89"/>
      <c r="AI89"/>
    </row>
    <row r="90" spans="1:35">
      <c r="A90" s="68" t="s">
        <v>220</v>
      </c>
      <c r="B90" s="65"/>
      <c r="C90" s="65"/>
      <c r="D90" s="65" t="s">
        <v>235</v>
      </c>
      <c r="E90" s="69" t="s">
        <v>236</v>
      </c>
      <c r="F90" s="69" t="s">
        <v>236</v>
      </c>
      <c r="G90" s="69" t="s">
        <v>236</v>
      </c>
      <c r="H90" s="69" t="s">
        <v>236</v>
      </c>
      <c r="I90" s="69" t="s">
        <v>236</v>
      </c>
      <c r="J90" s="69" t="s">
        <v>236</v>
      </c>
      <c r="K90" s="69" t="s">
        <v>236</v>
      </c>
      <c r="L90" s="69" t="s">
        <v>236</v>
      </c>
      <c r="M90" s="69" t="s">
        <v>236</v>
      </c>
      <c r="N90" s="69" t="s">
        <v>236</v>
      </c>
      <c r="O90" s="69" t="s">
        <v>237</v>
      </c>
      <c r="R90"/>
      <c r="S90"/>
      <c r="T90"/>
      <c r="U90"/>
      <c r="V90"/>
      <c r="W90"/>
      <c r="X90"/>
      <c r="Y90"/>
      <c r="Z90"/>
      <c r="AA90"/>
      <c r="AB90"/>
      <c r="AC90"/>
      <c r="AD90"/>
      <c r="AE90"/>
      <c r="AF90"/>
      <c r="AG90"/>
      <c r="AH90"/>
      <c r="AI90"/>
    </row>
    <row r="91" spans="1:35" ht="15" thickBot="1">
      <c r="B91" s="65"/>
      <c r="C91" s="65"/>
      <c r="D91" s="65"/>
      <c r="E91" s="87"/>
      <c r="F91" s="65"/>
      <c r="G91" s="65"/>
      <c r="H91" s="65"/>
      <c r="I91" s="65"/>
      <c r="J91" s="65"/>
      <c r="K91" s="65"/>
      <c r="L91" s="65"/>
      <c r="N91" s="87"/>
      <c r="P91" s="70" t="s">
        <v>238</v>
      </c>
      <c r="Q91" s="70" t="s">
        <v>568</v>
      </c>
      <c r="R91"/>
      <c r="S91"/>
      <c r="T91" s="70" t="s">
        <v>239</v>
      </c>
      <c r="U91" s="65"/>
      <c r="V91" s="70" t="s">
        <v>238</v>
      </c>
      <c r="W91" s="70" t="s">
        <v>240</v>
      </c>
      <c r="X91"/>
      <c r="Y91"/>
      <c r="Z91"/>
      <c r="AA91"/>
      <c r="AB91"/>
      <c r="AC91"/>
      <c r="AD91"/>
      <c r="AE91"/>
      <c r="AF91"/>
      <c r="AG91"/>
      <c r="AH91"/>
      <c r="AI91"/>
    </row>
    <row r="92" spans="1:35">
      <c r="B92" s="66" t="s">
        <v>241</v>
      </c>
      <c r="C92" s="66" t="s">
        <v>242</v>
      </c>
      <c r="D92" s="65" t="s">
        <v>223</v>
      </c>
      <c r="E92" s="71">
        <v>1E-10</v>
      </c>
      <c r="F92" s="72">
        <v>19.117330462863293</v>
      </c>
      <c r="G92" s="73">
        <v>1E-10</v>
      </c>
      <c r="H92" s="73">
        <v>1E-10</v>
      </c>
      <c r="I92" s="73">
        <v>1E-10</v>
      </c>
      <c r="J92" s="73">
        <v>1E-10</v>
      </c>
      <c r="K92" s="73">
        <v>1E-10</v>
      </c>
      <c r="L92" s="73">
        <v>1E-10</v>
      </c>
      <c r="M92" s="73">
        <v>1E-10</v>
      </c>
      <c r="N92" s="74">
        <v>1E-10</v>
      </c>
      <c r="O92" s="66">
        <f t="shared" ref="O92:O108" si="7">SUM(E92:N92)</f>
        <v>19.117330463763277</v>
      </c>
      <c r="P92" s="66">
        <f t="shared" ref="P92:P107" si="8">O92/$O$108</f>
        <v>4.3128560410017523E-2</v>
      </c>
      <c r="Q92" s="66" t="s">
        <v>86</v>
      </c>
      <c r="R92" s="66">
        <f>SUM(O92:O96)</f>
        <v>389.00000526122892</v>
      </c>
      <c r="S92"/>
      <c r="T92" s="75" t="s">
        <v>86</v>
      </c>
      <c r="U92" s="76">
        <f>R92</f>
        <v>389.00000526122892</v>
      </c>
      <c r="V92" s="61">
        <f>U92/$U$97</f>
        <v>0.87758122183804133</v>
      </c>
      <c r="W92" s="208">
        <f>V92</f>
        <v>0.87758122183804133</v>
      </c>
      <c r="X92"/>
      <c r="Y92"/>
      <c r="Z92"/>
      <c r="AA92"/>
      <c r="AB92"/>
      <c r="AC92"/>
      <c r="AD92"/>
      <c r="AE92"/>
      <c r="AF92"/>
      <c r="AG92"/>
      <c r="AH92"/>
      <c r="AI92"/>
    </row>
    <row r="93" spans="1:35">
      <c r="C93" s="66" t="s">
        <v>243</v>
      </c>
      <c r="D93" s="65" t="s">
        <v>223</v>
      </c>
      <c r="E93" s="78">
        <v>1E-10</v>
      </c>
      <c r="F93" s="79">
        <v>10.316599999999999</v>
      </c>
      <c r="G93" s="80">
        <v>1E-10</v>
      </c>
      <c r="H93" s="79">
        <v>0.36731999999999998</v>
      </c>
      <c r="I93" s="79">
        <v>4.216709878445827</v>
      </c>
      <c r="J93" s="79">
        <v>4.216709878445827</v>
      </c>
      <c r="K93" s="80">
        <v>1E-10</v>
      </c>
      <c r="L93" s="80">
        <v>1E-10</v>
      </c>
      <c r="M93" s="80">
        <v>1E-10</v>
      </c>
      <c r="N93" s="81">
        <v>1E-10</v>
      </c>
      <c r="O93" s="66">
        <f t="shared" si="7"/>
        <v>19.117339757491646</v>
      </c>
      <c r="P93" s="66">
        <f t="shared" si="8"/>
        <v>4.3128581376602061E-2</v>
      </c>
      <c r="Q93" s="66" t="str">
        <f>C100</f>
        <v>Copper</v>
      </c>
      <c r="R93" s="66">
        <f>O100</f>
        <v>0.19958064370000006</v>
      </c>
      <c r="S93"/>
      <c r="T93" s="82" t="s">
        <v>89</v>
      </c>
      <c r="U93" s="83">
        <f>R94</f>
        <v>28.834716934390002</v>
      </c>
      <c r="V93" s="17">
        <f>U93/$U$97</f>
        <v>6.50509145922578E-2</v>
      </c>
      <c r="W93" s="209">
        <f>V93+W92</f>
        <v>0.94263213643029908</v>
      </c>
      <c r="X93"/>
      <c r="Y93"/>
      <c r="Z93"/>
      <c r="AA93"/>
      <c r="AB93"/>
      <c r="AC93"/>
      <c r="AD93"/>
      <c r="AE93"/>
      <c r="AF93"/>
      <c r="AG93"/>
      <c r="AH93"/>
      <c r="AI93"/>
    </row>
    <row r="94" spans="1:35">
      <c r="C94" s="66" t="s">
        <v>244</v>
      </c>
      <c r="D94" s="65" t="s">
        <v>223</v>
      </c>
      <c r="E94" s="82">
        <v>211.21883118396801</v>
      </c>
      <c r="F94" s="79">
        <v>4.5781000000000001</v>
      </c>
      <c r="G94" s="79">
        <v>8.4334199999999999</v>
      </c>
      <c r="H94" s="80">
        <v>1E-10</v>
      </c>
      <c r="I94" s="80">
        <v>1E-10</v>
      </c>
      <c r="J94" s="80">
        <v>1E-10</v>
      </c>
      <c r="K94" s="79">
        <v>93</v>
      </c>
      <c r="L94" s="80">
        <v>1E-10</v>
      </c>
      <c r="M94" s="80">
        <v>1E-10</v>
      </c>
      <c r="N94" s="81">
        <v>1E-10</v>
      </c>
      <c r="O94" s="66">
        <f t="shared" si="7"/>
        <v>317.23035118456795</v>
      </c>
      <c r="P94" s="66">
        <f t="shared" si="8"/>
        <v>0.71566939698449139</v>
      </c>
      <c r="Q94" s="66" t="str">
        <f>C105</f>
        <v>Glass</v>
      </c>
      <c r="R94" s="66">
        <f>O105</f>
        <v>28.834716934390002</v>
      </c>
      <c r="S94"/>
      <c r="T94" s="17" t="s">
        <v>93</v>
      </c>
      <c r="U94" s="83">
        <f>R95</f>
        <v>25.000000000599996</v>
      </c>
      <c r="V94" s="17">
        <f>U94/$U$97</f>
        <v>5.6399820693432419E-2</v>
      </c>
      <c r="W94" s="209">
        <f>V94+W93</f>
        <v>0.9990319571237315</v>
      </c>
      <c r="X94"/>
      <c r="Y94"/>
      <c r="Z94"/>
      <c r="AA94"/>
      <c r="AB94"/>
      <c r="AC94"/>
      <c r="AD94"/>
      <c r="AE94"/>
      <c r="AF94"/>
      <c r="AG94"/>
      <c r="AH94"/>
      <c r="AI94"/>
    </row>
    <row r="95" spans="1:35">
      <c r="C95" s="66" t="s">
        <v>245</v>
      </c>
      <c r="D95" s="65" t="s">
        <v>223</v>
      </c>
      <c r="E95" s="78">
        <v>1E-10</v>
      </c>
      <c r="F95" s="79">
        <v>33.455328310010763</v>
      </c>
      <c r="G95" s="80">
        <v>1E-10</v>
      </c>
      <c r="H95" s="80">
        <v>1E-10</v>
      </c>
      <c r="I95" s="80">
        <v>1E-10</v>
      </c>
      <c r="J95" s="80">
        <v>1E-10</v>
      </c>
      <c r="K95" s="80">
        <v>1E-10</v>
      </c>
      <c r="L95" s="80">
        <v>1E-10</v>
      </c>
      <c r="M95" s="80">
        <v>1E-10</v>
      </c>
      <c r="N95" s="81">
        <v>1E-10</v>
      </c>
      <c r="O95" s="66">
        <f t="shared" si="7"/>
        <v>33.45532831091078</v>
      </c>
      <c r="P95" s="66">
        <f t="shared" si="8"/>
        <v>7.5474980716007972E-2</v>
      </c>
      <c r="Q95" s="66" t="str">
        <f>C106</f>
        <v>Plastic</v>
      </c>
      <c r="R95" s="66">
        <f>O106</f>
        <v>25.000000000599996</v>
      </c>
      <c r="S95"/>
      <c r="T95" s="17" t="s">
        <v>246</v>
      </c>
      <c r="U95" s="83">
        <f>R96</f>
        <v>0.22951774012000006</v>
      </c>
      <c r="V95" s="17">
        <f>U95/$U$97</f>
        <v>5.1779037553676603E-4</v>
      </c>
      <c r="W95" s="19">
        <f>V95+W94</f>
        <v>0.99954974749926828</v>
      </c>
      <c r="X95"/>
      <c r="Y95"/>
      <c r="Z95"/>
      <c r="AA95"/>
      <c r="AB95"/>
      <c r="AC95"/>
      <c r="AD95"/>
      <c r="AE95"/>
      <c r="AF95"/>
      <c r="AG95"/>
      <c r="AH95"/>
      <c r="AI95"/>
    </row>
    <row r="96" spans="1:35" ht="15" thickBot="1">
      <c r="C96" s="66" t="s">
        <v>247</v>
      </c>
      <c r="D96" s="65" t="s">
        <v>223</v>
      </c>
      <c r="E96" s="78">
        <v>1E-10</v>
      </c>
      <c r="F96" s="80">
        <v>1E-10</v>
      </c>
      <c r="G96" s="80">
        <v>1E-10</v>
      </c>
      <c r="H96" s="79">
        <v>7.9655543595263723E-2</v>
      </c>
      <c r="I96" s="80">
        <v>1E-10</v>
      </c>
      <c r="J96" s="80">
        <v>1E-10</v>
      </c>
      <c r="K96" s="80">
        <v>1E-10</v>
      </c>
      <c r="L96" s="80">
        <v>1E-10</v>
      </c>
      <c r="M96" s="80">
        <v>1E-10</v>
      </c>
      <c r="N96" s="81">
        <v>1E-10</v>
      </c>
      <c r="O96" s="66">
        <f t="shared" si="7"/>
        <v>7.9655544495263686E-2</v>
      </c>
      <c r="P96" s="66">
        <f t="shared" si="8"/>
        <v>1.7970233706367331E-4</v>
      </c>
      <c r="Q96" s="66" t="s">
        <v>246</v>
      </c>
      <c r="R96" s="66">
        <f>O107</f>
        <v>0.22951774012000006</v>
      </c>
      <c r="T96" s="85" t="s">
        <v>102</v>
      </c>
      <c r="U96" s="86">
        <v>0.19958064370000006</v>
      </c>
      <c r="V96" s="85">
        <f>U96/$U$97</f>
        <v>4.5025250073158705E-4</v>
      </c>
      <c r="W96" s="86">
        <f>V96+W95</f>
        <v>0.99999999999999989</v>
      </c>
    </row>
    <row r="97" spans="2:21">
      <c r="C97" s="66" t="s">
        <v>219</v>
      </c>
      <c r="D97" s="65" t="s">
        <v>223</v>
      </c>
      <c r="E97" s="78">
        <v>1E-10</v>
      </c>
      <c r="F97" s="80">
        <v>1E-10</v>
      </c>
      <c r="G97" s="80">
        <v>1E-10</v>
      </c>
      <c r="H97" s="80">
        <v>1E-10</v>
      </c>
      <c r="I97" s="80">
        <v>1E-10</v>
      </c>
      <c r="J97" s="80">
        <v>1E-10</v>
      </c>
      <c r="K97" s="80">
        <v>1E-10</v>
      </c>
      <c r="L97" s="80">
        <v>1E-10</v>
      </c>
      <c r="M97" s="80">
        <v>1E-10</v>
      </c>
      <c r="N97" s="81">
        <v>1E-10</v>
      </c>
      <c r="O97" s="66">
        <f t="shared" si="7"/>
        <v>9.9999999999999986E-10</v>
      </c>
      <c r="P97" s="66">
        <f t="shared" si="8"/>
        <v>2.2559928276475264E-12</v>
      </c>
      <c r="R97" s="66">
        <f>SUM(R92:R96)</f>
        <v>443.2638205800389</v>
      </c>
      <c r="U97" s="66">
        <f>SUM(U92:U96)</f>
        <v>443.26382058003895</v>
      </c>
    </row>
    <row r="98" spans="2:21">
      <c r="B98" s="66" t="s">
        <v>248</v>
      </c>
      <c r="C98" s="66" t="s">
        <v>249</v>
      </c>
      <c r="D98" s="65" t="s">
        <v>223</v>
      </c>
      <c r="E98" s="78">
        <v>1E-10</v>
      </c>
      <c r="F98" s="80">
        <v>1E-10</v>
      </c>
      <c r="G98" s="80">
        <v>1E-10</v>
      </c>
      <c r="H98" s="80">
        <v>1E-10</v>
      </c>
      <c r="I98" s="80">
        <v>1E-10</v>
      </c>
      <c r="J98" s="80">
        <v>1E-10</v>
      </c>
      <c r="K98" s="80">
        <v>1E-10</v>
      </c>
      <c r="L98" s="80">
        <v>1E-10</v>
      </c>
      <c r="M98" s="80">
        <v>1E-10</v>
      </c>
      <c r="N98" s="81">
        <v>1E-10</v>
      </c>
      <c r="O98" s="66">
        <f t="shared" si="7"/>
        <v>9.9999999999999986E-10</v>
      </c>
      <c r="P98" s="66">
        <f t="shared" si="8"/>
        <v>2.2559928276475264E-12</v>
      </c>
    </row>
    <row r="99" spans="2:21">
      <c r="C99" s="66" t="s">
        <v>250</v>
      </c>
      <c r="D99" s="65" t="s">
        <v>223</v>
      </c>
      <c r="E99" s="78">
        <v>1E-10</v>
      </c>
      <c r="F99" s="80">
        <v>1E-10</v>
      </c>
      <c r="G99" s="80">
        <v>1E-10</v>
      </c>
      <c r="H99" s="80">
        <v>1E-10</v>
      </c>
      <c r="I99" s="80">
        <v>1E-10</v>
      </c>
      <c r="J99" s="80">
        <v>1E-10</v>
      </c>
      <c r="K99" s="80">
        <v>1E-10</v>
      </c>
      <c r="L99" s="80">
        <v>1E-10</v>
      </c>
      <c r="M99" s="80">
        <v>1E-10</v>
      </c>
      <c r="N99" s="81">
        <v>1E-10</v>
      </c>
      <c r="O99" s="66">
        <f t="shared" si="7"/>
        <v>9.9999999999999986E-10</v>
      </c>
      <c r="P99" s="66">
        <f t="shared" si="8"/>
        <v>2.2559928276475264E-12</v>
      </c>
    </row>
    <row r="100" spans="2:21">
      <c r="C100" s="66" t="s">
        <v>102</v>
      </c>
      <c r="D100" s="65" t="s">
        <v>223</v>
      </c>
      <c r="E100" s="78">
        <v>1E-10</v>
      </c>
      <c r="F100" s="80">
        <v>1E-10</v>
      </c>
      <c r="G100" s="80">
        <v>1E-10</v>
      </c>
      <c r="H100" s="79">
        <v>0.19958064280000001</v>
      </c>
      <c r="I100" s="80">
        <v>1E-10</v>
      </c>
      <c r="J100" s="80">
        <v>1E-10</v>
      </c>
      <c r="K100" s="80">
        <v>1E-10</v>
      </c>
      <c r="L100" s="80">
        <v>1E-10</v>
      </c>
      <c r="M100" s="80">
        <v>1E-10</v>
      </c>
      <c r="N100" s="81">
        <v>1E-10</v>
      </c>
      <c r="O100" s="66">
        <f t="shared" si="7"/>
        <v>0.19958064370000006</v>
      </c>
      <c r="P100" s="66">
        <f t="shared" si="8"/>
        <v>4.5025250072447669E-4</v>
      </c>
    </row>
    <row r="101" spans="2:21">
      <c r="C101" s="66" t="s">
        <v>251</v>
      </c>
      <c r="D101" s="65" t="s">
        <v>223</v>
      </c>
      <c r="E101" s="78">
        <v>1E-10</v>
      </c>
      <c r="F101" s="80">
        <v>1E-10</v>
      </c>
      <c r="G101" s="80">
        <v>1E-10</v>
      </c>
      <c r="H101" s="80">
        <v>1E-10</v>
      </c>
      <c r="I101" s="80">
        <v>1E-10</v>
      </c>
      <c r="J101" s="80">
        <v>1E-10</v>
      </c>
      <c r="K101" s="80">
        <v>1E-10</v>
      </c>
      <c r="L101" s="80">
        <v>1E-10</v>
      </c>
      <c r="M101" s="80">
        <v>1E-10</v>
      </c>
      <c r="N101" s="81">
        <v>1E-10</v>
      </c>
      <c r="O101" s="66">
        <f t="shared" si="7"/>
        <v>9.9999999999999986E-10</v>
      </c>
      <c r="P101" s="66">
        <f t="shared" si="8"/>
        <v>2.2559928276475264E-12</v>
      </c>
    </row>
    <row r="102" spans="2:21">
      <c r="C102" s="66" t="s">
        <v>252</v>
      </c>
      <c r="D102" s="65" t="s">
        <v>223</v>
      </c>
      <c r="E102" s="78">
        <v>1E-10</v>
      </c>
      <c r="F102" s="80">
        <v>1E-10</v>
      </c>
      <c r="G102" s="80">
        <v>1E-10</v>
      </c>
      <c r="H102" s="80">
        <v>1E-10</v>
      </c>
      <c r="I102" s="80">
        <v>1E-10</v>
      </c>
      <c r="J102" s="80">
        <v>1E-10</v>
      </c>
      <c r="K102" s="80">
        <v>1E-10</v>
      </c>
      <c r="L102" s="80">
        <v>1E-10</v>
      </c>
      <c r="M102" s="80">
        <v>1E-10</v>
      </c>
      <c r="N102" s="81">
        <v>1E-10</v>
      </c>
      <c r="O102" s="66">
        <f t="shared" si="7"/>
        <v>9.9999999999999986E-10</v>
      </c>
      <c r="P102" s="66">
        <f t="shared" si="8"/>
        <v>2.2559928276475264E-12</v>
      </c>
    </row>
    <row r="103" spans="2:21">
      <c r="C103" s="66" t="s">
        <v>253</v>
      </c>
      <c r="D103" s="65" t="s">
        <v>223</v>
      </c>
      <c r="E103" s="78">
        <v>1E-10</v>
      </c>
      <c r="F103" s="80">
        <v>1E-10</v>
      </c>
      <c r="G103" s="80">
        <v>1E-10</v>
      </c>
      <c r="H103" s="80">
        <v>1E-10</v>
      </c>
      <c r="I103" s="80">
        <v>1E-10</v>
      </c>
      <c r="J103" s="80">
        <v>1E-10</v>
      </c>
      <c r="K103" s="80">
        <v>1E-10</v>
      </c>
      <c r="L103" s="80">
        <v>1E-10</v>
      </c>
      <c r="M103" s="80">
        <v>1E-10</v>
      </c>
      <c r="N103" s="81">
        <v>1E-10</v>
      </c>
      <c r="O103" s="66">
        <f t="shared" si="7"/>
        <v>9.9999999999999986E-10</v>
      </c>
      <c r="P103" s="66">
        <f t="shared" si="8"/>
        <v>2.2559928276475264E-12</v>
      </c>
    </row>
    <row r="104" spans="2:21">
      <c r="C104" s="66" t="s">
        <v>254</v>
      </c>
      <c r="D104" s="65" t="s">
        <v>223</v>
      </c>
      <c r="E104" s="78">
        <v>1E-10</v>
      </c>
      <c r="F104" s="80">
        <v>1E-10</v>
      </c>
      <c r="G104" s="80">
        <v>1E-10</v>
      </c>
      <c r="H104" s="80">
        <v>1E-10</v>
      </c>
      <c r="I104" s="80">
        <v>1E-10</v>
      </c>
      <c r="J104" s="80">
        <v>1E-10</v>
      </c>
      <c r="K104" s="80">
        <v>1E-10</v>
      </c>
      <c r="L104" s="80">
        <v>1E-10</v>
      </c>
      <c r="M104" s="80">
        <v>1E-10</v>
      </c>
      <c r="N104" s="81">
        <v>1E-10</v>
      </c>
      <c r="O104" s="66">
        <f t="shared" si="7"/>
        <v>9.9999999999999986E-10</v>
      </c>
      <c r="P104" s="66">
        <f t="shared" si="8"/>
        <v>2.2559928276475264E-12</v>
      </c>
    </row>
    <row r="105" spans="2:21">
      <c r="B105" s="66" t="s">
        <v>89</v>
      </c>
      <c r="C105" s="66" t="s">
        <v>89</v>
      </c>
      <c r="D105" s="65" t="s">
        <v>223</v>
      </c>
      <c r="E105" s="78">
        <v>1E-10</v>
      </c>
      <c r="F105" s="80">
        <v>1E-10</v>
      </c>
      <c r="G105" s="80">
        <v>1E-10</v>
      </c>
      <c r="H105" s="79">
        <v>5.9874192840000007E-2</v>
      </c>
      <c r="I105" s="80">
        <v>1E-10</v>
      </c>
      <c r="J105" s="80">
        <v>1E-10</v>
      </c>
      <c r="K105" s="79">
        <v>7.4842741050000008E-2</v>
      </c>
      <c r="L105" s="87">
        <v>11.6</v>
      </c>
      <c r="M105" s="79">
        <v>4.57</v>
      </c>
      <c r="N105" s="88">
        <v>12.53</v>
      </c>
      <c r="O105" s="66">
        <f t="shared" si="7"/>
        <v>28.834716934390002</v>
      </c>
      <c r="P105" s="66">
        <f t="shared" si="8"/>
        <v>6.5050914591230524E-2</v>
      </c>
    </row>
    <row r="106" spans="2:21">
      <c r="B106" s="66" t="s">
        <v>255</v>
      </c>
      <c r="C106" s="66" t="s">
        <v>93</v>
      </c>
      <c r="D106" s="65" t="s">
        <v>223</v>
      </c>
      <c r="E106" s="78">
        <v>1E-10</v>
      </c>
      <c r="F106" s="80">
        <v>1E-10</v>
      </c>
      <c r="G106" s="80">
        <v>1E-10</v>
      </c>
      <c r="H106" s="79">
        <v>6.1506849315068504</v>
      </c>
      <c r="I106" s="79">
        <v>3.4246575342465753</v>
      </c>
      <c r="J106" s="79">
        <v>3.4246575342465753</v>
      </c>
      <c r="K106" s="79">
        <v>12</v>
      </c>
      <c r="L106" s="80">
        <v>1E-10</v>
      </c>
      <c r="M106" s="80">
        <v>1E-10</v>
      </c>
      <c r="N106" s="81">
        <v>1E-10</v>
      </c>
      <c r="O106" s="66">
        <f t="shared" si="7"/>
        <v>25.000000000599996</v>
      </c>
      <c r="P106" s="66">
        <f t="shared" si="8"/>
        <v>5.6399820692541756E-2</v>
      </c>
    </row>
    <row r="107" spans="2:21" ht="15" thickBot="1">
      <c r="C107" s="66" t="s">
        <v>94</v>
      </c>
      <c r="D107" s="65" t="s">
        <v>223</v>
      </c>
      <c r="E107" s="89">
        <v>1E-10</v>
      </c>
      <c r="F107" s="90">
        <v>1E-10</v>
      </c>
      <c r="G107" s="90">
        <v>1E-10</v>
      </c>
      <c r="H107" s="91">
        <v>0.22951773922000002</v>
      </c>
      <c r="I107" s="90">
        <v>1E-10</v>
      </c>
      <c r="J107" s="90">
        <v>1E-10</v>
      </c>
      <c r="K107" s="90">
        <v>1E-10</v>
      </c>
      <c r="L107" s="90">
        <v>1E-10</v>
      </c>
      <c r="M107" s="90">
        <v>1E-10</v>
      </c>
      <c r="N107" s="92">
        <v>1E-10</v>
      </c>
      <c r="O107" s="66">
        <f t="shared" si="7"/>
        <v>0.22951774012000006</v>
      </c>
      <c r="P107" s="66">
        <f t="shared" si="8"/>
        <v>5.177903755285892E-4</v>
      </c>
    </row>
    <row r="108" spans="2:21">
      <c r="B108" s="65"/>
      <c r="C108" s="65"/>
      <c r="D108" s="65"/>
      <c r="E108" s="93">
        <f t="shared" ref="E108:N108" si="9">SUM(E92:E107)</f>
        <v>211.21883118546785</v>
      </c>
      <c r="F108" s="93">
        <f t="shared" si="9"/>
        <v>67.467358774074086</v>
      </c>
      <c r="G108" s="93">
        <f t="shared" si="9"/>
        <v>8.4334200015</v>
      </c>
      <c r="H108" s="93">
        <f t="shared" si="9"/>
        <v>7.0866330509621145</v>
      </c>
      <c r="I108" s="93">
        <f t="shared" si="9"/>
        <v>7.6413674140924019</v>
      </c>
      <c r="J108" s="93">
        <f t="shared" si="9"/>
        <v>7.6413674140924019</v>
      </c>
      <c r="K108" s="93">
        <f t="shared" si="9"/>
        <v>105.07484274235003</v>
      </c>
      <c r="L108" s="93">
        <f t="shared" si="9"/>
        <v>11.6000000015</v>
      </c>
      <c r="M108" s="93">
        <f t="shared" si="9"/>
        <v>4.5700000015000004</v>
      </c>
      <c r="N108" s="93">
        <f t="shared" si="9"/>
        <v>12.530000001499999</v>
      </c>
      <c r="O108" s="70">
        <f t="shared" si="7"/>
        <v>443.26382058703894</v>
      </c>
    </row>
    <row r="113" spans="1:15">
      <c r="E113" s="70"/>
    </row>
    <row r="114" spans="1:15" ht="87.6">
      <c r="A114" s="64">
        <v>2</v>
      </c>
      <c r="E114" s="94" t="s">
        <v>257</v>
      </c>
      <c r="F114" s="94" t="s">
        <v>258</v>
      </c>
    </row>
    <row r="115" spans="1:15">
      <c r="A115" s="68" t="s">
        <v>107</v>
      </c>
      <c r="B115" s="65"/>
      <c r="C115" s="65"/>
      <c r="D115" s="65" t="s">
        <v>235</v>
      </c>
      <c r="E115" s="69" t="s">
        <v>236</v>
      </c>
      <c r="F115" s="69" t="s">
        <v>236</v>
      </c>
      <c r="G115" s="65" t="s">
        <v>237</v>
      </c>
    </row>
    <row r="116" spans="1:15" ht="15" thickBot="1">
      <c r="B116" s="65"/>
      <c r="C116" s="65"/>
      <c r="D116" s="65"/>
      <c r="E116" s="65"/>
      <c r="F116" s="65"/>
      <c r="H116" s="70" t="s">
        <v>238</v>
      </c>
      <c r="I116" s="70" t="s">
        <v>568</v>
      </c>
      <c r="J116" s="70"/>
      <c r="K116" s="70"/>
      <c r="L116" s="70" t="s">
        <v>569</v>
      </c>
      <c r="M116" s="65"/>
      <c r="N116" s="70" t="s">
        <v>238</v>
      </c>
      <c r="O116" s="70" t="s">
        <v>240</v>
      </c>
    </row>
    <row r="117" spans="1:15">
      <c r="B117" s="66" t="s">
        <v>241</v>
      </c>
      <c r="C117" s="95" t="s">
        <v>86</v>
      </c>
      <c r="D117" s="65" t="s">
        <v>223</v>
      </c>
      <c r="E117" s="96">
        <v>10.594596001886787</v>
      </c>
      <c r="F117" s="74">
        <v>1E-10</v>
      </c>
      <c r="G117" s="66">
        <f>SUM(E117:F117)</f>
        <v>10.594596001986787</v>
      </c>
      <c r="H117" s="66">
        <f>G117/$G$126</f>
        <v>0.34146341488895182</v>
      </c>
      <c r="I117" s="95" t="s">
        <v>86</v>
      </c>
      <c r="J117" s="66">
        <f>G117</f>
        <v>10.594596001986787</v>
      </c>
      <c r="L117" s="75" t="s">
        <v>219</v>
      </c>
      <c r="M117" s="76">
        <v>18.162164574763061</v>
      </c>
      <c r="N117" s="75">
        <f>M117/$M$121</f>
        <v>0.58536585499900418</v>
      </c>
      <c r="O117" s="77">
        <f>N117</f>
        <v>0.58536585499900418</v>
      </c>
    </row>
    <row r="118" spans="1:15">
      <c r="C118" s="95" t="s">
        <v>219</v>
      </c>
      <c r="D118" s="65" t="s">
        <v>223</v>
      </c>
      <c r="E118" s="97">
        <v>18.162164574663063</v>
      </c>
      <c r="F118" s="81">
        <v>1E-10</v>
      </c>
      <c r="G118" s="66">
        <f t="shared" ref="G118:G125" si="10">SUM(E118:F118)</f>
        <v>18.162164574763061</v>
      </c>
      <c r="H118" s="66">
        <f t="shared" ref="H118:H125" si="11">G118/$G$126</f>
        <v>0.58536585409304376</v>
      </c>
      <c r="I118" s="95" t="s">
        <v>219</v>
      </c>
      <c r="J118" s="66">
        <f>G118</f>
        <v>18.162164574763061</v>
      </c>
      <c r="L118" s="82" t="s">
        <v>86</v>
      </c>
      <c r="M118" s="83">
        <v>10.594596001986787</v>
      </c>
      <c r="N118" s="82">
        <f>M118/$M$121</f>
        <v>0.3414634154174287</v>
      </c>
      <c r="O118" s="84">
        <f>O117+N118</f>
        <v>0.92682927041643293</v>
      </c>
    </row>
    <row r="119" spans="1:15">
      <c r="B119" s="98" t="s">
        <v>259</v>
      </c>
      <c r="C119" s="66" t="s">
        <v>260</v>
      </c>
      <c r="D119" s="65" t="s">
        <v>223</v>
      </c>
      <c r="E119" s="78">
        <v>1E-10</v>
      </c>
      <c r="F119" s="99">
        <v>1.3200000000000002E-8</v>
      </c>
      <c r="G119" s="66">
        <f t="shared" si="10"/>
        <v>1.3300000000000002E-8</v>
      </c>
      <c r="H119" s="66">
        <f t="shared" si="11"/>
        <v>4.286584799619926E-10</v>
      </c>
      <c r="I119" s="66" t="s">
        <v>261</v>
      </c>
      <c r="J119" s="66">
        <f>G124</f>
        <v>0.7567568336176278</v>
      </c>
      <c r="L119" s="82" t="s">
        <v>262</v>
      </c>
      <c r="M119" s="83">
        <v>1.5135136671352556</v>
      </c>
      <c r="N119" s="82">
        <f>M119/$M$121</f>
        <v>4.8780486387970362E-2</v>
      </c>
      <c r="O119" s="83">
        <f>O118+N119</f>
        <v>0.97560975680440332</v>
      </c>
    </row>
    <row r="120" spans="1:15" ht="15" thickBot="1">
      <c r="B120" s="65"/>
      <c r="C120" s="66" t="s">
        <v>263</v>
      </c>
      <c r="D120" s="65" t="s">
        <v>223</v>
      </c>
      <c r="E120" s="78">
        <v>1E-10</v>
      </c>
      <c r="F120" s="88">
        <v>1.32E-9</v>
      </c>
      <c r="G120" s="66">
        <f t="shared" si="10"/>
        <v>1.4200000000000001E-9</v>
      </c>
      <c r="H120" s="66">
        <f t="shared" si="11"/>
        <v>4.576654447714507E-11</v>
      </c>
      <c r="I120" s="66" t="s">
        <v>262</v>
      </c>
      <c r="J120" s="66">
        <f>G125</f>
        <v>1.5135136671352556</v>
      </c>
      <c r="L120" s="85" t="s">
        <v>261</v>
      </c>
      <c r="M120" s="86">
        <v>0.7567568336176278</v>
      </c>
      <c r="N120" s="85">
        <f>M120/$M$121</f>
        <v>2.439024319559668E-2</v>
      </c>
      <c r="O120" s="86">
        <f>O119+N120</f>
        <v>1</v>
      </c>
    </row>
    <row r="121" spans="1:15">
      <c r="B121" s="65"/>
      <c r="C121" s="66" t="s">
        <v>264</v>
      </c>
      <c r="D121" s="65" t="s">
        <v>223</v>
      </c>
      <c r="E121" s="78">
        <v>1E-10</v>
      </c>
      <c r="F121" s="88">
        <v>1.3200000000000002E-8</v>
      </c>
      <c r="G121" s="66">
        <f t="shared" si="10"/>
        <v>1.3300000000000002E-8</v>
      </c>
      <c r="H121" s="66">
        <f t="shared" si="11"/>
        <v>4.286584799619926E-10</v>
      </c>
      <c r="M121" s="66">
        <f>SUM(M117:M120)</f>
        <v>31.027031077502734</v>
      </c>
    </row>
    <row r="122" spans="1:15">
      <c r="B122" s="65"/>
      <c r="C122" s="66" t="s">
        <v>265</v>
      </c>
      <c r="D122" s="65" t="s">
        <v>223</v>
      </c>
      <c r="E122" s="78">
        <v>1E-10</v>
      </c>
      <c r="F122" s="88">
        <v>1.3200000000000002E-8</v>
      </c>
      <c r="G122" s="66">
        <f t="shared" si="10"/>
        <v>1.3300000000000002E-8</v>
      </c>
      <c r="H122" s="66">
        <f t="shared" si="11"/>
        <v>4.286584799619926E-10</v>
      </c>
    </row>
    <row r="123" spans="1:15">
      <c r="B123" s="65"/>
      <c r="C123" s="66" t="s">
        <v>266</v>
      </c>
      <c r="D123" s="65" t="s">
        <v>223</v>
      </c>
      <c r="E123" s="78">
        <v>1E-10</v>
      </c>
      <c r="F123" s="88">
        <v>6.6000000000000012E-9</v>
      </c>
      <c r="G123" s="66">
        <f t="shared" si="10"/>
        <v>6.7000000000000013E-9</v>
      </c>
      <c r="H123" s="66">
        <f t="shared" si="11"/>
        <v>2.1594073802596619E-10</v>
      </c>
    </row>
    <row r="124" spans="1:15">
      <c r="B124" s="65"/>
      <c r="C124" s="66" t="s">
        <v>261</v>
      </c>
      <c r="D124" s="65" t="s">
        <v>223</v>
      </c>
      <c r="E124" s="78">
        <v>1E-10</v>
      </c>
      <c r="F124" s="88">
        <v>0.75675683351762779</v>
      </c>
      <c r="G124" s="66">
        <f t="shared" si="10"/>
        <v>0.7567568336176278</v>
      </c>
      <c r="H124" s="66">
        <f t="shared" si="11"/>
        <v>2.4390243157848331E-2</v>
      </c>
    </row>
    <row r="125" spans="1:15" ht="15" thickBot="1">
      <c r="B125" s="65"/>
      <c r="C125" s="66" t="s">
        <v>262</v>
      </c>
      <c r="D125" s="65" t="s">
        <v>223</v>
      </c>
      <c r="E125" s="89">
        <v>1E-10</v>
      </c>
      <c r="F125" s="100">
        <v>1.5135136670352556</v>
      </c>
      <c r="G125" s="66">
        <f t="shared" si="10"/>
        <v>1.5135136671352556</v>
      </c>
      <c r="H125" s="66">
        <f t="shared" si="11"/>
        <v>4.878048631247367E-2</v>
      </c>
    </row>
    <row r="126" spans="1:15">
      <c r="B126" s="65"/>
      <c r="C126" s="65"/>
      <c r="D126" s="65"/>
      <c r="E126" s="93">
        <f>SUM(E117:E125)</f>
        <v>28.756760577249839</v>
      </c>
      <c r="F126" s="93">
        <f>SUM(F117:F125)</f>
        <v>2.2702705482728831</v>
      </c>
      <c r="G126" s="70">
        <f>SUM(E126:F126)</f>
        <v>31.027031125522722</v>
      </c>
    </row>
    <row r="131" spans="1:36">
      <c r="E131" s="70"/>
    </row>
    <row r="132" spans="1:36" ht="147">
      <c r="A132" s="64">
        <v>3</v>
      </c>
      <c r="E132" s="94" t="s">
        <v>267</v>
      </c>
      <c r="F132" s="94" t="s">
        <v>268</v>
      </c>
      <c r="G132" s="94" t="s">
        <v>269</v>
      </c>
      <c r="H132" s="94" t="s">
        <v>270</v>
      </c>
      <c r="I132" s="94" t="s">
        <v>271</v>
      </c>
      <c r="J132" s="94" t="s">
        <v>272</v>
      </c>
    </row>
    <row r="133" spans="1:36">
      <c r="A133" s="68" t="s">
        <v>108</v>
      </c>
      <c r="B133" s="65"/>
      <c r="C133" s="65"/>
      <c r="D133" s="65" t="s">
        <v>235</v>
      </c>
      <c r="E133" s="69" t="s">
        <v>236</v>
      </c>
      <c r="F133" s="69" t="s">
        <v>236</v>
      </c>
      <c r="G133" s="69" t="s">
        <v>236</v>
      </c>
      <c r="H133" s="69" t="s">
        <v>236</v>
      </c>
      <c r="I133" s="69" t="s">
        <v>236</v>
      </c>
      <c r="J133" s="69" t="s">
        <v>236</v>
      </c>
      <c r="AJ133" s="69"/>
    </row>
    <row r="134" spans="1:36" ht="15" thickBot="1">
      <c r="B134" s="65"/>
      <c r="C134" s="65"/>
      <c r="D134" s="65"/>
      <c r="E134" s="65"/>
      <c r="F134" s="65"/>
      <c r="G134" s="65"/>
      <c r="H134" s="65"/>
      <c r="I134" s="65"/>
      <c r="J134" s="65"/>
      <c r="L134" s="70" t="s">
        <v>238</v>
      </c>
      <c r="M134" s="70" t="s">
        <v>568</v>
      </c>
      <c r="N134" s="70"/>
      <c r="O134" s="70"/>
      <c r="P134" s="70" t="s">
        <v>239</v>
      </c>
      <c r="Q134" s="65"/>
      <c r="R134" s="70" t="s">
        <v>238</v>
      </c>
      <c r="S134" s="70" t="s">
        <v>240</v>
      </c>
    </row>
    <row r="135" spans="1:36">
      <c r="B135" s="66" t="s">
        <v>241</v>
      </c>
      <c r="C135" s="95" t="s">
        <v>86</v>
      </c>
      <c r="D135" s="65" t="s">
        <v>223</v>
      </c>
      <c r="E135" s="96">
        <v>29.937096420000003</v>
      </c>
      <c r="F135" s="101">
        <v>73.935556309999996</v>
      </c>
      <c r="G135" s="101">
        <v>40.823313300000002</v>
      </c>
      <c r="H135" s="101">
        <v>17.780820904000002</v>
      </c>
      <c r="I135" s="73">
        <v>1E-10</v>
      </c>
      <c r="J135" s="102">
        <v>9.979032140000001</v>
      </c>
      <c r="K135" s="66">
        <f>SUM(E135:J135)</f>
        <v>172.45581907409996</v>
      </c>
      <c r="L135" s="66">
        <f>K135/$K$143</f>
        <v>0.922815533961859</v>
      </c>
      <c r="M135" s="66" t="s">
        <v>273</v>
      </c>
      <c r="N135" s="66">
        <f>K135</f>
        <v>172.45581907409996</v>
      </c>
      <c r="P135" s="75" t="s">
        <v>273</v>
      </c>
      <c r="Q135" s="76">
        <v>172.45581907409999</v>
      </c>
      <c r="R135" s="75">
        <f>Q135/$Q$140</f>
        <v>0.92281553397074778</v>
      </c>
      <c r="S135" s="77">
        <f>R135</f>
        <v>0.92281553397074778</v>
      </c>
    </row>
    <row r="136" spans="1:36">
      <c r="C136" s="95" t="s">
        <v>219</v>
      </c>
      <c r="D136" s="65" t="s">
        <v>223</v>
      </c>
      <c r="E136" s="78">
        <v>1E-10</v>
      </c>
      <c r="F136" s="80">
        <v>1E-10</v>
      </c>
      <c r="G136" s="80">
        <v>1E-10</v>
      </c>
      <c r="H136" s="80">
        <v>1E-10</v>
      </c>
      <c r="I136" s="80">
        <v>1E-10</v>
      </c>
      <c r="J136" s="81">
        <v>1E-10</v>
      </c>
      <c r="K136" s="66">
        <f t="shared" ref="K136:K142" si="12">SUM(E136:J136)</f>
        <v>6E-10</v>
      </c>
      <c r="L136" s="66">
        <f t="shared" ref="L136:L142" si="13">K136/$K$143</f>
        <v>3.2106154686448066E-12</v>
      </c>
      <c r="M136" s="66" t="s">
        <v>87</v>
      </c>
      <c r="N136" s="66">
        <f>K137</f>
        <v>3.33390392</v>
      </c>
      <c r="P136" s="82" t="s">
        <v>93</v>
      </c>
      <c r="Q136" s="83">
        <v>5.8876289631000001</v>
      </c>
      <c r="R136" s="82">
        <f>Q136/$Q$140</f>
        <v>3.1504854371253527E-2</v>
      </c>
      <c r="S136" s="84">
        <f>S135+R136</f>
        <v>0.95432038834200128</v>
      </c>
    </row>
    <row r="137" spans="1:36">
      <c r="B137" s="66" t="s">
        <v>248</v>
      </c>
      <c r="C137" s="95" t="s">
        <v>249</v>
      </c>
      <c r="D137" s="65" t="s">
        <v>223</v>
      </c>
      <c r="E137" s="78">
        <v>1E-10</v>
      </c>
      <c r="F137" s="80">
        <v>1E-10</v>
      </c>
      <c r="G137" s="80">
        <v>1E-10</v>
      </c>
      <c r="H137" s="103">
        <v>3.3339039195</v>
      </c>
      <c r="I137" s="80">
        <v>1E-10</v>
      </c>
      <c r="J137" s="81">
        <v>1E-10</v>
      </c>
      <c r="K137" s="66">
        <f t="shared" si="12"/>
        <v>3.33390392</v>
      </c>
      <c r="L137" s="66">
        <f t="shared" si="13"/>
        <v>1.7839805827545928E-2</v>
      </c>
      <c r="M137" s="66" t="s">
        <v>102</v>
      </c>
      <c r="N137" s="66">
        <f>K139</f>
        <v>4.0914031779000002</v>
      </c>
      <c r="P137" s="82" t="s">
        <v>102</v>
      </c>
      <c r="Q137" s="83">
        <v>4.0914031779000002</v>
      </c>
      <c r="R137" s="82">
        <f>Q137/$Q$140</f>
        <v>2.1893203885924643E-2</v>
      </c>
      <c r="S137" s="84">
        <f>S136+R137</f>
        <v>0.97621359222792592</v>
      </c>
    </row>
    <row r="138" spans="1:36">
      <c r="C138" s="95" t="s">
        <v>250</v>
      </c>
      <c r="D138" s="65" t="s">
        <v>223</v>
      </c>
      <c r="E138" s="78">
        <v>1E-10</v>
      </c>
      <c r="F138" s="80">
        <v>1E-10</v>
      </c>
      <c r="G138" s="80">
        <v>1E-10</v>
      </c>
      <c r="H138" s="80">
        <v>1E-10</v>
      </c>
      <c r="I138" s="80">
        <v>1E-10</v>
      </c>
      <c r="J138" s="81">
        <v>1E-10</v>
      </c>
      <c r="K138" s="66">
        <f t="shared" si="12"/>
        <v>6E-10</v>
      </c>
      <c r="L138" s="66">
        <f t="shared" si="13"/>
        <v>3.2106154686448066E-12</v>
      </c>
      <c r="M138" s="95" t="s">
        <v>93</v>
      </c>
      <c r="N138" s="66">
        <f>K141</f>
        <v>5.8876289631000001</v>
      </c>
      <c r="P138" s="82" t="s">
        <v>87</v>
      </c>
      <c r="Q138" s="83">
        <v>3.33390392</v>
      </c>
      <c r="R138" s="82">
        <f>Q138/$Q$140</f>
        <v>1.7839805827717763E-2</v>
      </c>
      <c r="S138" s="83">
        <f>S137+R138</f>
        <v>0.99405339805564363</v>
      </c>
    </row>
    <row r="139" spans="1:36" ht="15" thickBot="1">
      <c r="C139" s="95" t="s">
        <v>102</v>
      </c>
      <c r="D139" s="65" t="s">
        <v>223</v>
      </c>
      <c r="E139" s="78">
        <v>1E-10</v>
      </c>
      <c r="F139" s="80">
        <v>1E-10</v>
      </c>
      <c r="G139" s="80">
        <v>1E-10</v>
      </c>
      <c r="H139" s="80">
        <v>1E-10</v>
      </c>
      <c r="I139" s="103">
        <v>4.0914031774000001</v>
      </c>
      <c r="J139" s="81">
        <v>1E-10</v>
      </c>
      <c r="K139" s="66">
        <f t="shared" si="12"/>
        <v>4.0914031779000002</v>
      </c>
      <c r="L139" s="66">
        <f t="shared" si="13"/>
        <v>2.1893203885713766E-2</v>
      </c>
      <c r="M139" s="95" t="s">
        <v>94</v>
      </c>
      <c r="N139" s="66">
        <f>K142</f>
        <v>1.1113013070000002</v>
      </c>
      <c r="P139" s="85" t="s">
        <v>94</v>
      </c>
      <c r="Q139" s="86">
        <v>1.1113013070000002</v>
      </c>
      <c r="R139" s="85">
        <f>Q139/$Q$140</f>
        <v>5.9466019443562635E-3</v>
      </c>
      <c r="S139" s="86">
        <f>S138+R139</f>
        <v>0.99999999999999989</v>
      </c>
    </row>
    <row r="140" spans="1:36">
      <c r="C140" s="95" t="s">
        <v>251</v>
      </c>
      <c r="D140" s="65" t="s">
        <v>223</v>
      </c>
      <c r="E140" s="78">
        <v>1E-10</v>
      </c>
      <c r="F140" s="80">
        <v>1E-10</v>
      </c>
      <c r="G140" s="80">
        <v>1E-10</v>
      </c>
      <c r="H140" s="80">
        <v>1E-10</v>
      </c>
      <c r="I140" s="80">
        <v>1E-10</v>
      </c>
      <c r="J140" s="81">
        <v>1E-10</v>
      </c>
      <c r="K140" s="66">
        <f t="shared" si="12"/>
        <v>6E-10</v>
      </c>
      <c r="L140" s="66">
        <f t="shared" si="13"/>
        <v>3.2106154686448066E-12</v>
      </c>
      <c r="Q140" s="66">
        <f>SUM(Q135:Q139)</f>
        <v>186.8800564421</v>
      </c>
    </row>
    <row r="141" spans="1:36">
      <c r="B141" s="66" t="s">
        <v>255</v>
      </c>
      <c r="C141" s="95" t="s">
        <v>93</v>
      </c>
      <c r="D141" s="65" t="s">
        <v>223</v>
      </c>
      <c r="E141" s="78">
        <v>1E-10</v>
      </c>
      <c r="F141" s="80">
        <v>1E-10</v>
      </c>
      <c r="G141" s="80">
        <v>1E-10</v>
      </c>
      <c r="H141" s="80">
        <v>1E-10</v>
      </c>
      <c r="I141" s="103">
        <v>5.8876289626</v>
      </c>
      <c r="J141" s="81">
        <v>1E-10</v>
      </c>
      <c r="K141" s="66">
        <f t="shared" si="12"/>
        <v>5.8876289631000001</v>
      </c>
      <c r="L141" s="66">
        <f t="shared" si="13"/>
        <v>3.1504854370950075E-2</v>
      </c>
    </row>
    <row r="142" spans="1:36" ht="15" thickBot="1">
      <c r="C142" s="95" t="s">
        <v>94</v>
      </c>
      <c r="D142" s="65" t="s">
        <v>223</v>
      </c>
      <c r="E142" s="89">
        <v>1E-10</v>
      </c>
      <c r="F142" s="90">
        <v>1E-10</v>
      </c>
      <c r="G142" s="90">
        <v>1E-10</v>
      </c>
      <c r="H142" s="104">
        <v>1.1113013065000001</v>
      </c>
      <c r="I142" s="90">
        <v>1E-10</v>
      </c>
      <c r="J142" s="92">
        <v>1E-10</v>
      </c>
      <c r="K142" s="66">
        <f t="shared" si="12"/>
        <v>1.1113013070000002</v>
      </c>
      <c r="L142" s="66">
        <f t="shared" si="13"/>
        <v>5.9466019442989864E-3</v>
      </c>
    </row>
    <row r="143" spans="1:36">
      <c r="B143" s="65"/>
      <c r="C143" s="65"/>
      <c r="D143" s="65"/>
      <c r="E143" s="93">
        <f t="shared" ref="E143:J143" si="14">SUM(E135:E142)</f>
        <v>29.937096420699991</v>
      </c>
      <c r="F143" s="93">
        <f t="shared" si="14"/>
        <v>73.935556310700008</v>
      </c>
      <c r="G143" s="93">
        <f t="shared" si="14"/>
        <v>40.823313300700015</v>
      </c>
      <c r="H143" s="93">
        <f t="shared" si="14"/>
        <v>22.226026130499992</v>
      </c>
      <c r="I143" s="93">
        <f>SUM(I135:I142)</f>
        <v>9.9790321405999993</v>
      </c>
      <c r="J143" s="93">
        <f t="shared" si="14"/>
        <v>9.9790321407000011</v>
      </c>
      <c r="K143" s="105">
        <f>SUM(E143:J143)</f>
        <v>186.88005644390003</v>
      </c>
    </row>
    <row r="148" spans="1:23">
      <c r="E148" s="70"/>
    </row>
    <row r="149" spans="1:23" ht="92.4">
      <c r="A149" s="64">
        <v>4</v>
      </c>
      <c r="B149" s="66" t="s">
        <v>224</v>
      </c>
      <c r="C149" s="65"/>
      <c r="D149" s="65"/>
      <c r="E149" s="106" t="s">
        <v>274</v>
      </c>
      <c r="F149" s="106" t="s">
        <v>275</v>
      </c>
      <c r="G149" s="106" t="s">
        <v>276</v>
      </c>
      <c r="H149" s="106" t="s">
        <v>277</v>
      </c>
      <c r="I149" s="106" t="s">
        <v>278</v>
      </c>
      <c r="J149" s="106" t="s">
        <v>279</v>
      </c>
      <c r="K149" s="106" t="s">
        <v>280</v>
      </c>
      <c r="L149" s="106" t="s">
        <v>281</v>
      </c>
      <c r="M149" s="106" t="s">
        <v>282</v>
      </c>
      <c r="N149" s="106" t="s">
        <v>283</v>
      </c>
    </row>
    <row r="150" spans="1:23">
      <c r="A150" s="68" t="s">
        <v>110</v>
      </c>
      <c r="C150" s="65"/>
      <c r="D150" s="65" t="s">
        <v>235</v>
      </c>
      <c r="E150" s="69" t="s">
        <v>236</v>
      </c>
      <c r="F150" s="69" t="s">
        <v>236</v>
      </c>
      <c r="G150" s="69" t="s">
        <v>236</v>
      </c>
      <c r="H150" s="69" t="s">
        <v>236</v>
      </c>
      <c r="I150" s="69" t="s">
        <v>236</v>
      </c>
      <c r="J150" s="69" t="s">
        <v>236</v>
      </c>
      <c r="K150" s="69" t="s">
        <v>236</v>
      </c>
      <c r="L150" s="69" t="s">
        <v>236</v>
      </c>
      <c r="M150" s="69" t="s">
        <v>236</v>
      </c>
      <c r="N150" s="69" t="s">
        <v>236</v>
      </c>
    </row>
    <row r="151" spans="1:23" ht="15" thickBot="1">
      <c r="C151" s="65"/>
      <c r="D151" s="65"/>
      <c r="E151" s="65"/>
      <c r="F151" s="65"/>
      <c r="G151" s="65"/>
      <c r="H151" s="65"/>
      <c r="I151" s="65"/>
      <c r="J151" s="65"/>
      <c r="K151" s="65"/>
      <c r="L151" s="65"/>
      <c r="M151" s="65"/>
      <c r="N151" s="65"/>
      <c r="P151" s="70" t="s">
        <v>238</v>
      </c>
      <c r="Q151" s="70" t="s">
        <v>568</v>
      </c>
      <c r="R151" s="70"/>
      <c r="S151" s="70"/>
      <c r="T151" s="70" t="s">
        <v>569</v>
      </c>
      <c r="U151" s="65"/>
      <c r="V151" s="70" t="s">
        <v>238</v>
      </c>
      <c r="W151" s="70" t="s">
        <v>240</v>
      </c>
    </row>
    <row r="152" spans="1:23">
      <c r="C152" s="65" t="s">
        <v>284</v>
      </c>
      <c r="D152" s="65" t="s">
        <v>223</v>
      </c>
      <c r="E152" s="71">
        <v>1E-10</v>
      </c>
      <c r="F152" s="73">
        <v>1E-10</v>
      </c>
      <c r="G152" s="73">
        <v>1E-10</v>
      </c>
      <c r="H152" s="73">
        <v>1E-10</v>
      </c>
      <c r="I152" s="73">
        <v>1E-10</v>
      </c>
      <c r="J152" s="73">
        <v>1E-10</v>
      </c>
      <c r="K152" s="73">
        <v>1E-10</v>
      </c>
      <c r="L152" s="73">
        <v>1E-10</v>
      </c>
      <c r="M152" s="73">
        <v>1E-10</v>
      </c>
      <c r="N152" s="107">
        <v>0.19800000000000001</v>
      </c>
      <c r="O152" s="66">
        <f>SUM(E152:N152)</f>
        <v>0.1980000009</v>
      </c>
      <c r="P152" s="66">
        <f>O152/$O$173</f>
        <v>1.3141222960056994E-3</v>
      </c>
      <c r="Q152" s="66" t="s">
        <v>87</v>
      </c>
      <c r="R152" s="66">
        <f>SUM(O152:O155)</f>
        <v>29.826000003500003</v>
      </c>
      <c r="T152" s="75" t="s">
        <v>104</v>
      </c>
      <c r="U152" s="76">
        <v>89.262000002200011</v>
      </c>
      <c r="V152" s="75">
        <f>U152/$U$157</f>
        <v>0.59479882268207585</v>
      </c>
      <c r="W152" s="77">
        <f>V152</f>
        <v>0.59479882268207585</v>
      </c>
    </row>
    <row r="153" spans="1:23">
      <c r="C153" s="65" t="s">
        <v>285</v>
      </c>
      <c r="D153" s="65" t="s">
        <v>223</v>
      </c>
      <c r="E153" s="78">
        <v>1E-10</v>
      </c>
      <c r="F153" s="80">
        <v>1E-10</v>
      </c>
      <c r="G153" s="80">
        <v>1E-10</v>
      </c>
      <c r="H153" s="80">
        <v>1E-10</v>
      </c>
      <c r="I153" s="80">
        <v>1E-10</v>
      </c>
      <c r="J153" s="103">
        <v>8.0069999999999997</v>
      </c>
      <c r="K153" s="80">
        <v>1E-10</v>
      </c>
      <c r="L153" s="80">
        <v>1E-10</v>
      </c>
      <c r="M153" s="80">
        <v>1E-10</v>
      </c>
      <c r="N153" s="108">
        <v>18.693000000000001</v>
      </c>
      <c r="O153" s="66">
        <f t="shared" ref="O153:O172" si="15">SUM(E153:N153)</f>
        <v>26.700000000800003</v>
      </c>
      <c r="P153" s="66">
        <f t="shared" ref="P153:P172" si="16">O153/$O$173</f>
        <v>0.17720739972180211</v>
      </c>
      <c r="Q153" s="66" t="s">
        <v>104</v>
      </c>
      <c r="R153" s="66">
        <f>SUM(O156:O158)</f>
        <v>89.262000002200011</v>
      </c>
      <c r="T153" s="82" t="s">
        <v>87</v>
      </c>
      <c r="U153" s="83">
        <v>29.826000003499999</v>
      </c>
      <c r="V153" s="82">
        <f>U153/$U$157</f>
        <v>0.19874604744415481</v>
      </c>
      <c r="W153" s="84">
        <f>W152+V153</f>
        <v>0.79354487012623065</v>
      </c>
    </row>
    <row r="154" spans="1:23">
      <c r="C154" s="65" t="s">
        <v>286</v>
      </c>
      <c r="D154" s="65" t="s">
        <v>223</v>
      </c>
      <c r="E154" s="78">
        <v>1E-10</v>
      </c>
      <c r="F154" s="80">
        <v>1E-10</v>
      </c>
      <c r="G154" s="80">
        <v>1E-10</v>
      </c>
      <c r="H154" s="80">
        <v>1E-10</v>
      </c>
      <c r="I154" s="80">
        <v>1E-10</v>
      </c>
      <c r="J154" s="80">
        <v>1E-10</v>
      </c>
      <c r="K154" s="80">
        <v>1E-10</v>
      </c>
      <c r="L154" s="80">
        <v>1E-10</v>
      </c>
      <c r="M154" s="80">
        <v>1E-10</v>
      </c>
      <c r="N154" s="108">
        <v>1.228</v>
      </c>
      <c r="O154" s="66">
        <f t="shared" si="15"/>
        <v>1.2280000009000001</v>
      </c>
      <c r="P154" s="66">
        <f t="shared" si="16"/>
        <v>8.1502129966793801E-3</v>
      </c>
      <c r="Q154" s="66" t="s">
        <v>86</v>
      </c>
      <c r="R154" s="66">
        <f>SUM(O159:O167)</f>
        <v>29.042000007800002</v>
      </c>
      <c r="T154" s="82" t="s">
        <v>86</v>
      </c>
      <c r="U154" s="83">
        <v>29.042000007800002</v>
      </c>
      <c r="V154" s="82">
        <f>U154/$U$157</f>
        <v>0.19352185042399375</v>
      </c>
      <c r="W154" s="84">
        <f>W153+V154</f>
        <v>0.98706672055022437</v>
      </c>
    </row>
    <row r="155" spans="1:23">
      <c r="C155" s="65" t="s">
        <v>287</v>
      </c>
      <c r="D155" s="65" t="s">
        <v>223</v>
      </c>
      <c r="E155" s="78">
        <v>1E-10</v>
      </c>
      <c r="F155" s="80">
        <v>1E-10</v>
      </c>
      <c r="G155" s="80">
        <v>1E-10</v>
      </c>
      <c r="H155" s="80">
        <v>1E-10</v>
      </c>
      <c r="I155" s="80">
        <v>1E-10</v>
      </c>
      <c r="J155" s="80">
        <v>1E-10</v>
      </c>
      <c r="K155" s="80">
        <v>1E-10</v>
      </c>
      <c r="L155" s="80">
        <v>1E-10</v>
      </c>
      <c r="M155" s="80">
        <v>1E-10</v>
      </c>
      <c r="N155" s="108">
        <v>1.7</v>
      </c>
      <c r="O155" s="66">
        <f t="shared" si="15"/>
        <v>1.7000000009</v>
      </c>
      <c r="P155" s="66">
        <f t="shared" si="16"/>
        <v>1.1282868152716251E-2</v>
      </c>
      <c r="Q155" s="66" t="s">
        <v>93</v>
      </c>
      <c r="R155" s="66">
        <f>O168</f>
        <v>1.2000000009</v>
      </c>
      <c r="T155" s="82" t="s">
        <v>93</v>
      </c>
      <c r="U155" s="83">
        <v>1.2000000009</v>
      </c>
      <c r="V155" s="82">
        <f>U155/$U$157</f>
        <v>7.9962199786719791E-3</v>
      </c>
      <c r="W155" s="83">
        <f>W154+V155</f>
        <v>0.99506294052889632</v>
      </c>
    </row>
    <row r="156" spans="1:23" ht="15" thickBot="1">
      <c r="C156" s="65" t="s">
        <v>288</v>
      </c>
      <c r="D156" s="65" t="s">
        <v>223</v>
      </c>
      <c r="E156" s="78">
        <v>1E-10</v>
      </c>
      <c r="F156" s="80">
        <v>1E-10</v>
      </c>
      <c r="G156" s="80">
        <v>1E-10</v>
      </c>
      <c r="H156" s="80">
        <v>1E-10</v>
      </c>
      <c r="I156" s="80">
        <v>1E-10</v>
      </c>
      <c r="J156" s="80">
        <v>1E-10</v>
      </c>
      <c r="K156" s="80">
        <v>1E-10</v>
      </c>
      <c r="L156" s="80">
        <v>1E-10</v>
      </c>
      <c r="M156" s="80">
        <v>1E-10</v>
      </c>
      <c r="N156" s="108">
        <v>0.152</v>
      </c>
      <c r="O156" s="66">
        <f t="shared" si="15"/>
        <v>0.15200000089999999</v>
      </c>
      <c r="P156" s="66">
        <f t="shared" si="16"/>
        <v>1.0088211579173602E-3</v>
      </c>
      <c r="Q156" s="66" t="s">
        <v>94</v>
      </c>
      <c r="R156" s="66">
        <f>SUM(O169:O171)</f>
        <v>0.74090900270000004</v>
      </c>
      <c r="T156" s="85" t="s">
        <v>94</v>
      </c>
      <c r="U156" s="86">
        <v>0.74090900270000004</v>
      </c>
      <c r="V156" s="85">
        <f>U156/$U$157</f>
        <v>4.9370594711035986E-3</v>
      </c>
      <c r="W156" s="86">
        <f>W155+V156</f>
        <v>0.99999999999999989</v>
      </c>
    </row>
    <row r="157" spans="1:23">
      <c r="C157" s="65" t="s">
        <v>289</v>
      </c>
      <c r="D157" s="65" t="s">
        <v>223</v>
      </c>
      <c r="E157" s="97">
        <v>29.73</v>
      </c>
      <c r="F157" s="80">
        <v>1E-10</v>
      </c>
      <c r="G157" s="103">
        <v>6.3470000000000004</v>
      </c>
      <c r="H157" s="80">
        <v>1E-10</v>
      </c>
      <c r="I157" s="103">
        <v>1.49</v>
      </c>
      <c r="J157" s="80">
        <v>1E-10</v>
      </c>
      <c r="K157" s="80">
        <v>1E-10</v>
      </c>
      <c r="L157" s="80">
        <v>1E-10</v>
      </c>
      <c r="M157" s="103">
        <v>0.30499999999999999</v>
      </c>
      <c r="N157" s="108">
        <v>28.638000000000002</v>
      </c>
      <c r="O157" s="66">
        <f t="shared" si="15"/>
        <v>66.510000000500014</v>
      </c>
      <c r="P157" s="66">
        <f t="shared" si="16"/>
        <v>0.4414256237914802</v>
      </c>
      <c r="U157" s="66">
        <f>SUM(U152:U156)</f>
        <v>150.07090901710001</v>
      </c>
    </row>
    <row r="158" spans="1:23">
      <c r="C158" s="65" t="s">
        <v>290</v>
      </c>
      <c r="D158" s="65" t="s">
        <v>223</v>
      </c>
      <c r="E158" s="78">
        <v>1E-10</v>
      </c>
      <c r="F158" s="103">
        <v>8.2710000000000008</v>
      </c>
      <c r="G158" s="80">
        <v>1E-10</v>
      </c>
      <c r="H158" s="80">
        <v>1E-10</v>
      </c>
      <c r="I158" s="80">
        <v>1E-10</v>
      </c>
      <c r="J158" s="80">
        <v>1E-10</v>
      </c>
      <c r="K158" s="80">
        <v>1E-10</v>
      </c>
      <c r="L158" s="80">
        <v>1E-10</v>
      </c>
      <c r="M158" s="80">
        <v>1E-10</v>
      </c>
      <c r="N158" s="108">
        <v>14.329000000000001</v>
      </c>
      <c r="O158" s="66">
        <f t="shared" si="15"/>
        <v>22.600000000800001</v>
      </c>
      <c r="P158" s="66">
        <f t="shared" si="16"/>
        <v>0.14999577654436316</v>
      </c>
    </row>
    <row r="159" spans="1:23">
      <c r="C159" s="65" t="s">
        <v>291</v>
      </c>
      <c r="D159" s="65" t="s">
        <v>223</v>
      </c>
      <c r="E159" s="78">
        <v>1E-10</v>
      </c>
      <c r="F159" s="80">
        <v>1E-10</v>
      </c>
      <c r="G159" s="80">
        <v>1E-10</v>
      </c>
      <c r="H159" s="103">
        <v>0.505</v>
      </c>
      <c r="I159" s="80">
        <v>1E-10</v>
      </c>
      <c r="J159" s="80">
        <v>1E-10</v>
      </c>
      <c r="K159" s="80">
        <v>1E-10</v>
      </c>
      <c r="L159" s="80">
        <v>1E-10</v>
      </c>
      <c r="M159" s="80">
        <v>1E-10</v>
      </c>
      <c r="N159" s="108">
        <v>0.93200000000000005</v>
      </c>
      <c r="O159" s="66">
        <f t="shared" si="15"/>
        <v>1.4370000008000001</v>
      </c>
      <c r="P159" s="66">
        <f t="shared" si="16"/>
        <v>9.537342079938789E-3</v>
      </c>
    </row>
    <row r="160" spans="1:23">
      <c r="C160" s="65" t="s">
        <v>292</v>
      </c>
      <c r="D160" s="65" t="s">
        <v>223</v>
      </c>
      <c r="E160" s="78">
        <v>1E-10</v>
      </c>
      <c r="F160" s="80">
        <v>1E-10</v>
      </c>
      <c r="G160" s="80">
        <v>1E-10</v>
      </c>
      <c r="H160" s="80">
        <v>1E-10</v>
      </c>
      <c r="I160" s="80">
        <v>1E-10</v>
      </c>
      <c r="J160" s="80">
        <v>1E-10</v>
      </c>
      <c r="K160" s="80">
        <v>1E-10</v>
      </c>
      <c r="L160" s="80">
        <v>1E-10</v>
      </c>
      <c r="M160" s="80">
        <v>1E-10</v>
      </c>
      <c r="N160" s="108">
        <v>7.6</v>
      </c>
      <c r="O160" s="66">
        <f t="shared" si="15"/>
        <v>7.6000000008999997</v>
      </c>
      <c r="P160" s="66">
        <f t="shared" si="16"/>
        <v>5.0441057603177138E-2</v>
      </c>
    </row>
    <row r="161" spans="2:16">
      <c r="C161" s="65" t="s">
        <v>293</v>
      </c>
      <c r="D161" s="65" t="s">
        <v>223</v>
      </c>
      <c r="E161" s="78">
        <v>1E-10</v>
      </c>
      <c r="F161" s="80">
        <v>1E-10</v>
      </c>
      <c r="G161" s="80">
        <v>1E-10</v>
      </c>
      <c r="H161" s="80">
        <v>1E-10</v>
      </c>
      <c r="I161" s="80">
        <v>1E-10</v>
      </c>
      <c r="J161" s="80">
        <v>1E-10</v>
      </c>
      <c r="K161" s="80">
        <v>1E-10</v>
      </c>
      <c r="L161" s="80">
        <v>1E-10</v>
      </c>
      <c r="M161" s="80">
        <v>1E-10</v>
      </c>
      <c r="N161" s="108">
        <v>4.3</v>
      </c>
      <c r="O161" s="66">
        <f t="shared" si="15"/>
        <v>4.3000000008999999</v>
      </c>
      <c r="P161" s="66">
        <f t="shared" si="16"/>
        <v>2.85390194359702E-2</v>
      </c>
    </row>
    <row r="162" spans="2:16">
      <c r="C162" s="65" t="s">
        <v>294</v>
      </c>
      <c r="D162" s="65" t="s">
        <v>223</v>
      </c>
      <c r="E162" s="78">
        <v>1E-10</v>
      </c>
      <c r="F162" s="80">
        <v>1E-10</v>
      </c>
      <c r="G162" s="80">
        <v>1E-10</v>
      </c>
      <c r="H162" s="80">
        <v>1E-10</v>
      </c>
      <c r="I162" s="80">
        <v>1E-10</v>
      </c>
      <c r="J162" s="80">
        <v>1E-10</v>
      </c>
      <c r="K162" s="80">
        <v>1E-10</v>
      </c>
      <c r="L162" s="80">
        <v>1E-10</v>
      </c>
      <c r="M162" s="80">
        <v>1E-10</v>
      </c>
      <c r="N162" s="108">
        <v>0.36699999999999999</v>
      </c>
      <c r="O162" s="66">
        <f t="shared" si="15"/>
        <v>0.36700000090000001</v>
      </c>
      <c r="P162" s="66">
        <f t="shared" si="16"/>
        <v>2.4357721294172062E-3</v>
      </c>
    </row>
    <row r="163" spans="2:16">
      <c r="C163" s="65" t="s">
        <v>295</v>
      </c>
      <c r="D163" s="65" t="s">
        <v>223</v>
      </c>
      <c r="E163" s="78">
        <v>1E-10</v>
      </c>
      <c r="F163" s="80">
        <v>1E-10</v>
      </c>
      <c r="G163" s="80">
        <v>1E-10</v>
      </c>
      <c r="H163" s="80">
        <v>1E-10</v>
      </c>
      <c r="I163" s="80">
        <v>1E-10</v>
      </c>
      <c r="J163" s="80">
        <v>1E-10</v>
      </c>
      <c r="K163" s="103">
        <v>8.6999999999999994E-2</v>
      </c>
      <c r="L163" s="103">
        <v>0.23699999999999999</v>
      </c>
      <c r="M163" s="80">
        <v>1E-10</v>
      </c>
      <c r="N163" s="108">
        <v>2.3759999999999999</v>
      </c>
      <c r="O163" s="66">
        <f t="shared" si="15"/>
        <v>2.7000000006999998</v>
      </c>
      <c r="P163" s="66">
        <f t="shared" si="16"/>
        <v>1.7919849414178835E-2</v>
      </c>
    </row>
    <row r="164" spans="2:16">
      <c r="C164" s="65" t="s">
        <v>296</v>
      </c>
      <c r="D164" s="65" t="s">
        <v>223</v>
      </c>
      <c r="E164" s="78">
        <v>1E-10</v>
      </c>
      <c r="F164" s="80">
        <v>1E-10</v>
      </c>
      <c r="G164" s="80">
        <v>1E-10</v>
      </c>
      <c r="H164" s="80">
        <v>1E-10</v>
      </c>
      <c r="I164" s="80">
        <v>1E-10</v>
      </c>
      <c r="J164" s="80">
        <v>1E-10</v>
      </c>
      <c r="K164" s="103">
        <v>2.1</v>
      </c>
      <c r="L164" s="80">
        <v>1E-10</v>
      </c>
      <c r="M164" s="80">
        <v>1E-10</v>
      </c>
      <c r="N164" s="81">
        <v>1E-10</v>
      </c>
      <c r="O164" s="66">
        <f t="shared" si="15"/>
        <v>2.1000000009000002</v>
      </c>
      <c r="P164" s="66">
        <f t="shared" si="16"/>
        <v>1.3937660657832245E-2</v>
      </c>
    </row>
    <row r="165" spans="2:16">
      <c r="C165" s="65" t="s">
        <v>297</v>
      </c>
      <c r="D165" s="65" t="s">
        <v>223</v>
      </c>
      <c r="E165" s="78">
        <v>1E-10</v>
      </c>
      <c r="F165" s="80">
        <v>1E-10</v>
      </c>
      <c r="G165" s="80">
        <v>1E-10</v>
      </c>
      <c r="H165" s="80">
        <v>1E-10</v>
      </c>
      <c r="I165" s="80">
        <v>1E-10</v>
      </c>
      <c r="J165" s="80">
        <v>1E-10</v>
      </c>
      <c r="K165" s="80">
        <v>1E-10</v>
      </c>
      <c r="L165" s="80">
        <v>1E-10</v>
      </c>
      <c r="M165" s="80">
        <v>1E-10</v>
      </c>
      <c r="N165" s="108">
        <v>2.7</v>
      </c>
      <c r="O165" s="66">
        <f t="shared" si="15"/>
        <v>2.7000000009000003</v>
      </c>
      <c r="P165" s="66">
        <f t="shared" si="16"/>
        <v>1.7919849415506235E-2</v>
      </c>
    </row>
    <row r="166" spans="2:16">
      <c r="C166" s="65" t="s">
        <v>298</v>
      </c>
      <c r="D166" s="65" t="s">
        <v>223</v>
      </c>
      <c r="E166" s="78">
        <v>1E-10</v>
      </c>
      <c r="F166" s="80">
        <v>1E-10</v>
      </c>
      <c r="G166" s="80">
        <v>1E-10</v>
      </c>
      <c r="H166" s="80">
        <v>1E-10</v>
      </c>
      <c r="I166" s="80">
        <v>1E-10</v>
      </c>
      <c r="J166" s="80">
        <v>1E-10</v>
      </c>
      <c r="K166" s="80">
        <v>1E-10</v>
      </c>
      <c r="L166" s="80">
        <v>1E-10</v>
      </c>
      <c r="M166" s="80">
        <v>1E-10</v>
      </c>
      <c r="N166" s="108">
        <v>5.1379999999999999</v>
      </c>
      <c r="O166" s="66">
        <f t="shared" si="15"/>
        <v>5.1380000009</v>
      </c>
      <c r="P166" s="66">
        <f t="shared" si="16"/>
        <v>3.4100809734188206E-2</v>
      </c>
    </row>
    <row r="167" spans="2:16">
      <c r="C167" s="65" t="s">
        <v>299</v>
      </c>
      <c r="D167" s="65" t="s">
        <v>223</v>
      </c>
      <c r="E167" s="78">
        <v>1E-10</v>
      </c>
      <c r="F167" s="80">
        <v>1E-10</v>
      </c>
      <c r="G167" s="80">
        <v>1E-10</v>
      </c>
      <c r="H167" s="80">
        <v>1E-10</v>
      </c>
      <c r="I167" s="80">
        <v>1E-10</v>
      </c>
      <c r="J167" s="80">
        <v>1E-10</v>
      </c>
      <c r="K167" s="80">
        <v>1E-10</v>
      </c>
      <c r="L167" s="80">
        <v>1E-10</v>
      </c>
      <c r="M167" s="80">
        <v>1E-10</v>
      </c>
      <c r="N167" s="108">
        <v>2.7</v>
      </c>
      <c r="O167" s="66">
        <f t="shared" si="15"/>
        <v>2.7000000009000003</v>
      </c>
      <c r="P167" s="66">
        <f t="shared" si="16"/>
        <v>1.7919849415506235E-2</v>
      </c>
    </row>
    <row r="168" spans="2:16">
      <c r="C168" s="65" t="s">
        <v>300</v>
      </c>
      <c r="D168" s="65" t="s">
        <v>223</v>
      </c>
      <c r="E168" s="78">
        <v>1E-10</v>
      </c>
      <c r="F168" s="80">
        <v>1E-10</v>
      </c>
      <c r="G168" s="80">
        <v>1E-10</v>
      </c>
      <c r="H168" s="80">
        <v>1E-10</v>
      </c>
      <c r="I168" s="80">
        <v>1E-10</v>
      </c>
      <c r="J168" s="80">
        <v>1E-10</v>
      </c>
      <c r="K168" s="80">
        <v>1E-10</v>
      </c>
      <c r="L168" s="80">
        <v>1E-10</v>
      </c>
      <c r="M168" s="80">
        <v>1E-10</v>
      </c>
      <c r="N168" s="108">
        <v>1.2</v>
      </c>
      <c r="O168" s="66">
        <f t="shared" si="15"/>
        <v>1.2000000009</v>
      </c>
      <c r="P168" s="66">
        <f t="shared" si="16"/>
        <v>7.9643775213212604E-3</v>
      </c>
    </row>
    <row r="169" spans="2:16">
      <c r="C169" s="65" t="s">
        <v>301</v>
      </c>
      <c r="D169" s="65" t="s">
        <v>223</v>
      </c>
      <c r="E169" s="78">
        <v>1E-10</v>
      </c>
      <c r="F169" s="80">
        <v>1E-10</v>
      </c>
      <c r="G169" s="80">
        <v>1E-10</v>
      </c>
      <c r="H169" s="80">
        <v>1E-10</v>
      </c>
      <c r="I169" s="80">
        <v>1E-10</v>
      </c>
      <c r="J169" s="80">
        <v>1E-10</v>
      </c>
      <c r="K169" s="80">
        <v>1E-10</v>
      </c>
      <c r="L169" s="80">
        <v>1E-10</v>
      </c>
      <c r="M169" s="80">
        <v>1E-10</v>
      </c>
      <c r="N169" s="108">
        <v>0.1</v>
      </c>
      <c r="O169" s="66">
        <f t="shared" si="15"/>
        <v>0.10000000090000001</v>
      </c>
      <c r="P169" s="66">
        <f t="shared" si="16"/>
        <v>6.6369813225228128E-4</v>
      </c>
    </row>
    <row r="170" spans="2:16">
      <c r="C170" s="65" t="s">
        <v>302</v>
      </c>
      <c r="D170" s="65" t="s">
        <v>223</v>
      </c>
      <c r="E170" s="78">
        <v>1E-10</v>
      </c>
      <c r="F170" s="80">
        <v>1E-10</v>
      </c>
      <c r="G170" s="80">
        <v>1E-10</v>
      </c>
      <c r="H170" s="80">
        <v>1E-10</v>
      </c>
      <c r="I170" s="80">
        <v>1E-10</v>
      </c>
      <c r="J170" s="80">
        <v>1E-10</v>
      </c>
      <c r="K170" s="80">
        <v>1E-10</v>
      </c>
      <c r="L170" s="80">
        <v>1E-10</v>
      </c>
      <c r="M170" s="80">
        <v>1E-10</v>
      </c>
      <c r="N170" s="108">
        <v>0.54090899999999997</v>
      </c>
      <c r="O170" s="66">
        <f t="shared" si="15"/>
        <v>0.54090900089999994</v>
      </c>
      <c r="P170" s="66">
        <f t="shared" si="16"/>
        <v>3.5900029038477485E-3</v>
      </c>
    </row>
    <row r="171" spans="2:16">
      <c r="C171" s="65" t="s">
        <v>303</v>
      </c>
      <c r="D171" s="65" t="s">
        <v>223</v>
      </c>
      <c r="E171" s="78">
        <v>1E-10</v>
      </c>
      <c r="F171" s="80">
        <v>1E-10</v>
      </c>
      <c r="G171" s="80">
        <v>1E-10</v>
      </c>
      <c r="H171" s="80">
        <v>1E-10</v>
      </c>
      <c r="I171" s="80">
        <v>1E-10</v>
      </c>
      <c r="J171" s="80">
        <v>1E-10</v>
      </c>
      <c r="K171" s="80">
        <v>1E-10</v>
      </c>
      <c r="L171" s="80">
        <v>1E-10</v>
      </c>
      <c r="M171" s="80">
        <v>1E-10</v>
      </c>
      <c r="N171" s="108">
        <v>0.1</v>
      </c>
      <c r="O171" s="66">
        <f t="shared" si="15"/>
        <v>0.10000000090000001</v>
      </c>
      <c r="P171" s="66">
        <f t="shared" si="16"/>
        <v>6.6369813225228128E-4</v>
      </c>
    </row>
    <row r="172" spans="2:16" ht="15" thickBot="1">
      <c r="C172" s="65" t="s">
        <v>304</v>
      </c>
      <c r="D172" s="65" t="s">
        <v>223</v>
      </c>
      <c r="E172" s="89">
        <v>1E-10</v>
      </c>
      <c r="F172" s="90">
        <v>1E-10</v>
      </c>
      <c r="G172" s="90">
        <v>1E-10</v>
      </c>
      <c r="H172" s="90">
        <v>1E-10</v>
      </c>
      <c r="I172" s="90">
        <v>1E-10</v>
      </c>
      <c r="J172" s="90">
        <v>1E-10</v>
      </c>
      <c r="K172" s="90">
        <v>1E-10</v>
      </c>
      <c r="L172" s="90">
        <v>1E-10</v>
      </c>
      <c r="M172" s="90">
        <v>1E-10</v>
      </c>
      <c r="N172" s="109">
        <v>0.6</v>
      </c>
      <c r="O172" s="66">
        <f t="shared" si="15"/>
        <v>0.60000000089999994</v>
      </c>
      <c r="P172" s="66">
        <f t="shared" si="16"/>
        <v>3.9821887636472715E-3</v>
      </c>
    </row>
    <row r="173" spans="2:16">
      <c r="B173" s="65"/>
      <c r="C173" s="65"/>
      <c r="D173" s="65"/>
      <c r="E173" s="110">
        <f>SUM(E152:E172)</f>
        <v>29.730000001999972</v>
      </c>
      <c r="F173" s="110">
        <f>SUM(F152:F172)</f>
        <v>8.271000002000001</v>
      </c>
      <c r="G173" s="110">
        <f t="shared" ref="G173:M173" si="17">SUM(G152:G172)</f>
        <v>6.3470000020000006</v>
      </c>
      <c r="H173" s="110">
        <f t="shared" si="17"/>
        <v>0.50500000200000006</v>
      </c>
      <c r="I173" s="110">
        <f t="shared" si="17"/>
        <v>1.4900000020000002</v>
      </c>
      <c r="J173" s="110">
        <f>SUM(J152:J172)</f>
        <v>8.0070000019999998</v>
      </c>
      <c r="K173" s="110">
        <f t="shared" si="17"/>
        <v>2.1870000019</v>
      </c>
      <c r="L173" s="110">
        <f t="shared" si="17"/>
        <v>0.23700000200000007</v>
      </c>
      <c r="M173" s="110">
        <f t="shared" si="17"/>
        <v>0.3050000020000001</v>
      </c>
      <c r="N173" s="110">
        <f>SUM(N152:N172)</f>
        <v>93.591909000100017</v>
      </c>
      <c r="O173" s="70">
        <f>SUM(E173:N173)</f>
        <v>150.670909018</v>
      </c>
    </row>
    <row r="178" spans="1:11">
      <c r="E178" s="70" t="s">
        <v>256</v>
      </c>
    </row>
    <row r="179" spans="1:11" ht="81.599999999999994">
      <c r="B179" s="66" t="s">
        <v>224</v>
      </c>
      <c r="C179" s="65"/>
      <c r="D179" s="65"/>
      <c r="E179" s="111" t="s">
        <v>305</v>
      </c>
      <c r="F179" s="111" t="s">
        <v>306</v>
      </c>
      <c r="G179" s="111" t="s">
        <v>307</v>
      </c>
      <c r="H179" s="111" t="s">
        <v>308</v>
      </c>
      <c r="I179" s="111" t="s">
        <v>309</v>
      </c>
    </row>
    <row r="180" spans="1:11">
      <c r="A180" s="68" t="s">
        <v>77</v>
      </c>
      <c r="C180" s="87"/>
      <c r="D180" s="65" t="s">
        <v>235</v>
      </c>
      <c r="E180" s="69" t="s">
        <v>236</v>
      </c>
      <c r="F180" s="69" t="s">
        <v>236</v>
      </c>
      <c r="G180" s="69" t="s">
        <v>236</v>
      </c>
      <c r="H180" s="69" t="s">
        <v>236</v>
      </c>
      <c r="I180" s="69" t="s">
        <v>236</v>
      </c>
    </row>
    <row r="181" spans="1:11" ht="15" thickBot="1">
      <c r="C181" s="79"/>
      <c r="D181" s="65"/>
      <c r="E181" s="65"/>
      <c r="F181" s="65"/>
      <c r="G181" s="65"/>
      <c r="H181" s="65"/>
      <c r="I181" s="65"/>
      <c r="K181" s="70"/>
    </row>
    <row r="182" spans="1:11">
      <c r="C182" s="112" t="s">
        <v>305</v>
      </c>
      <c r="D182" s="65" t="s">
        <v>223</v>
      </c>
      <c r="E182" s="75">
        <v>0.8</v>
      </c>
      <c r="F182" s="73">
        <v>1E-10</v>
      </c>
      <c r="G182" s="73">
        <v>1E-10</v>
      </c>
      <c r="H182" s="73">
        <v>1E-10</v>
      </c>
      <c r="I182" s="74">
        <v>1E-10</v>
      </c>
      <c r="J182" s="66">
        <f t="shared" ref="J182:J187" si="18">SUM(E182:I182)</f>
        <v>0.80000000040000008</v>
      </c>
    </row>
    <row r="183" spans="1:11">
      <c r="C183" s="112" t="s">
        <v>306</v>
      </c>
      <c r="D183" s="65" t="s">
        <v>223</v>
      </c>
      <c r="E183" s="78">
        <v>1E-10</v>
      </c>
      <c r="F183" s="79">
        <v>2.14</v>
      </c>
      <c r="G183" s="80">
        <v>1E-10</v>
      </c>
      <c r="H183" s="80">
        <v>1E-10</v>
      </c>
      <c r="I183" s="81">
        <v>1E-10</v>
      </c>
      <c r="J183" s="66">
        <f t="shared" si="18"/>
        <v>2.1400000004000002</v>
      </c>
    </row>
    <row r="184" spans="1:11">
      <c r="C184" s="112" t="s">
        <v>307</v>
      </c>
      <c r="D184" s="65" t="s">
        <v>223</v>
      </c>
      <c r="E184" s="78">
        <v>1E-10</v>
      </c>
      <c r="F184" s="80">
        <v>1E-10</v>
      </c>
      <c r="G184" s="79">
        <v>0.35</v>
      </c>
      <c r="H184" s="80">
        <v>1E-10</v>
      </c>
      <c r="I184" s="81">
        <v>1E-10</v>
      </c>
      <c r="J184" s="66">
        <f t="shared" si="18"/>
        <v>0.35000000040000001</v>
      </c>
    </row>
    <row r="185" spans="1:11">
      <c r="C185" s="112" t="s">
        <v>308</v>
      </c>
      <c r="D185" s="65" t="s">
        <v>223</v>
      </c>
      <c r="E185" s="78">
        <v>1E-10</v>
      </c>
      <c r="F185" s="80">
        <v>1E-10</v>
      </c>
      <c r="G185" s="80">
        <v>1E-10</v>
      </c>
      <c r="H185" s="79">
        <v>4.5</v>
      </c>
      <c r="I185" s="81">
        <v>1E-10</v>
      </c>
      <c r="J185" s="66">
        <f t="shared" si="18"/>
        <v>4.5000000004</v>
      </c>
    </row>
    <row r="186" spans="1:11" ht="15" thickBot="1">
      <c r="C186" s="112" t="s">
        <v>309</v>
      </c>
      <c r="D186" s="65" t="s">
        <v>223</v>
      </c>
      <c r="E186" s="89">
        <v>1E-10</v>
      </c>
      <c r="F186" s="90">
        <v>1E-10</v>
      </c>
      <c r="G186" s="90">
        <v>1E-10</v>
      </c>
      <c r="H186" s="90">
        <v>1E-10</v>
      </c>
      <c r="I186" s="86">
        <v>0.75</v>
      </c>
      <c r="J186" s="66">
        <f t="shared" si="18"/>
        <v>0.75000000040000003</v>
      </c>
    </row>
    <row r="187" spans="1:11">
      <c r="B187" s="87"/>
      <c r="C187" s="65"/>
      <c r="D187" s="65"/>
      <c r="E187" s="93">
        <f>SUM(E182:E186)</f>
        <v>0.80000000040000008</v>
      </c>
      <c r="F187" s="93">
        <f>SUM(F182:F186)</f>
        <v>2.1400000004000002</v>
      </c>
      <c r="G187" s="93">
        <f>SUM(G182:G186)</f>
        <v>0.35000000040000001</v>
      </c>
      <c r="H187" s="93">
        <f>SUM(H182:H186)</f>
        <v>4.5000000004</v>
      </c>
      <c r="I187" s="93">
        <f>SUM(I182:I186)</f>
        <v>0.75000000040000003</v>
      </c>
      <c r="J187" s="70">
        <f t="shared" si="18"/>
        <v>8.5400000020000011</v>
      </c>
    </row>
    <row r="193" spans="1:15">
      <c r="E193" s="70" t="s">
        <v>256</v>
      </c>
    </row>
    <row r="194" spans="1:15" ht="49.2">
      <c r="A194" s="64">
        <v>5</v>
      </c>
      <c r="B194" s="66" t="s">
        <v>224</v>
      </c>
      <c r="C194" s="65"/>
      <c r="D194" s="65"/>
      <c r="E194" s="67" t="s">
        <v>310</v>
      </c>
      <c r="F194" s="67" t="s">
        <v>311</v>
      </c>
    </row>
    <row r="195" spans="1:15">
      <c r="A195" s="68" t="s">
        <v>312</v>
      </c>
      <c r="C195" s="65"/>
      <c r="D195" s="65" t="s">
        <v>235</v>
      </c>
      <c r="E195" s="69" t="s">
        <v>236</v>
      </c>
      <c r="F195" s="69" t="s">
        <v>236</v>
      </c>
    </row>
    <row r="196" spans="1:15" ht="15" thickBot="1">
      <c r="C196" s="65"/>
      <c r="D196" s="65"/>
      <c r="E196" s="65"/>
      <c r="F196" s="65"/>
      <c r="H196" s="70" t="s">
        <v>238</v>
      </c>
      <c r="I196" s="70" t="s">
        <v>568</v>
      </c>
      <c r="J196" s="70"/>
      <c r="K196" s="70"/>
      <c r="L196" s="70" t="s">
        <v>569</v>
      </c>
      <c r="M196" s="65"/>
      <c r="N196" s="70" t="s">
        <v>238</v>
      </c>
      <c r="O196" s="70" t="s">
        <v>240</v>
      </c>
    </row>
    <row r="197" spans="1:15">
      <c r="C197" s="66" t="s">
        <v>313</v>
      </c>
      <c r="D197" s="65" t="s">
        <v>223</v>
      </c>
      <c r="E197" s="71">
        <v>1E-10</v>
      </c>
      <c r="F197" s="102">
        <v>41.276910000000001</v>
      </c>
      <c r="G197" s="113">
        <f>SUM(E197:F197)</f>
        <v>41.276910000100003</v>
      </c>
      <c r="H197" s="66">
        <f>G197/$G$206</f>
        <v>0.52014490617914044</v>
      </c>
      <c r="I197" s="66" t="s">
        <v>314</v>
      </c>
      <c r="J197" s="66">
        <f>G197+G201</f>
        <v>46.949892456340351</v>
      </c>
      <c r="L197" s="65" t="s">
        <v>314</v>
      </c>
      <c r="M197" s="66">
        <v>46.9498924563404</v>
      </c>
      <c r="N197" s="75">
        <f t="shared" ref="N197:N204" si="19">M197/$M$205</f>
        <v>0.59163215964481719</v>
      </c>
      <c r="O197" s="114">
        <f>N197</f>
        <v>0.59163215964481719</v>
      </c>
    </row>
    <row r="198" spans="1:15">
      <c r="C198" s="66" t="s">
        <v>106</v>
      </c>
      <c r="D198" s="66" t="s">
        <v>223</v>
      </c>
      <c r="E198" s="78">
        <v>1E-10</v>
      </c>
      <c r="F198" s="99">
        <v>0.3</v>
      </c>
      <c r="G198" s="115">
        <f t="shared" ref="G198:G205" si="20">SUM(E198:F198)</f>
        <v>0.3000000001</v>
      </c>
      <c r="H198" s="66">
        <f t="shared" ref="H198:H205" si="21">G198/$G$206</f>
        <v>3.7804058468857908E-3</v>
      </c>
      <c r="I198" s="66" t="s">
        <v>106</v>
      </c>
      <c r="J198" s="66">
        <f>G198</f>
        <v>0.3000000001</v>
      </c>
      <c r="L198" s="65" t="s">
        <v>94</v>
      </c>
      <c r="M198" s="66">
        <v>18.105263157994699</v>
      </c>
      <c r="N198" s="82">
        <f t="shared" si="19"/>
        <v>0.22815080893024664</v>
      </c>
      <c r="O198" s="116">
        <f t="shared" ref="O198:O204" si="22">O197+N198</f>
        <v>0.81978296857506383</v>
      </c>
    </row>
    <row r="199" spans="1:15">
      <c r="C199" s="65" t="s">
        <v>94</v>
      </c>
      <c r="D199" s="65" t="s">
        <v>223</v>
      </c>
      <c r="E199" s="97">
        <v>18.105263157894736</v>
      </c>
      <c r="F199" s="81">
        <v>1E-10</v>
      </c>
      <c r="G199" s="115">
        <f t="shared" si="20"/>
        <v>18.105263157994735</v>
      </c>
      <c r="H199" s="66">
        <f t="shared" si="21"/>
        <v>0.22815080893024703</v>
      </c>
      <c r="I199" s="65" t="s">
        <v>94</v>
      </c>
      <c r="J199" s="66">
        <f>G199</f>
        <v>18.105263157994735</v>
      </c>
      <c r="L199" s="65" t="s">
        <v>95</v>
      </c>
      <c r="M199" s="66">
        <v>8.3284210527315796</v>
      </c>
      <c r="N199" s="82">
        <f t="shared" si="19"/>
        <v>0.10494937210859415</v>
      </c>
      <c r="O199" s="116">
        <f t="shared" si="22"/>
        <v>0.92473234068365795</v>
      </c>
    </row>
    <row r="200" spans="1:15">
      <c r="C200" s="65" t="s">
        <v>95</v>
      </c>
      <c r="D200" s="65" t="s">
        <v>223</v>
      </c>
      <c r="E200" s="97">
        <v>8.3284210526315778</v>
      </c>
      <c r="F200" s="81">
        <v>1E-10</v>
      </c>
      <c r="G200" s="115">
        <f t="shared" si="20"/>
        <v>8.3284210527315778</v>
      </c>
      <c r="H200" s="66">
        <f t="shared" si="21"/>
        <v>0.10494937210859411</v>
      </c>
      <c r="I200" s="65" t="s">
        <v>95</v>
      </c>
      <c r="J200" s="66">
        <f>G200</f>
        <v>8.3284210527315778</v>
      </c>
      <c r="L200" s="65" t="s">
        <v>315</v>
      </c>
      <c r="M200" s="66">
        <v>3.0175438597491224</v>
      </c>
      <c r="N200" s="82">
        <f t="shared" si="19"/>
        <v>3.8025134822757961E-2</v>
      </c>
      <c r="O200" s="83">
        <f t="shared" si="22"/>
        <v>0.96275747550641588</v>
      </c>
    </row>
    <row r="201" spans="1:15">
      <c r="C201" s="66" t="s">
        <v>316</v>
      </c>
      <c r="D201" s="65" t="s">
        <v>223</v>
      </c>
      <c r="E201" s="97">
        <v>5.6729824561403515</v>
      </c>
      <c r="F201" s="81">
        <v>1E-10</v>
      </c>
      <c r="G201" s="115">
        <f t="shared" si="20"/>
        <v>5.6729824562403515</v>
      </c>
      <c r="H201" s="66">
        <f t="shared" si="21"/>
        <v>7.1487253465676054E-2</v>
      </c>
      <c r="I201" s="65" t="s">
        <v>317</v>
      </c>
      <c r="J201" s="66">
        <f>G202</f>
        <v>1.9312280702754385</v>
      </c>
      <c r="L201" s="65" t="s">
        <v>317</v>
      </c>
      <c r="M201" s="66">
        <v>1.9312280702754385</v>
      </c>
      <c r="N201" s="82">
        <f t="shared" si="19"/>
        <v>2.4336086287018745E-2</v>
      </c>
      <c r="O201" s="83">
        <f t="shared" si="22"/>
        <v>0.98709356179343466</v>
      </c>
    </row>
    <row r="202" spans="1:15">
      <c r="C202" s="65" t="s">
        <v>317</v>
      </c>
      <c r="D202" s="65" t="s">
        <v>223</v>
      </c>
      <c r="E202" s="97">
        <v>1.9312280701754385</v>
      </c>
      <c r="F202" s="81">
        <v>1E-10</v>
      </c>
      <c r="G202" s="115">
        <f t="shared" si="20"/>
        <v>1.9312280702754385</v>
      </c>
      <c r="H202" s="66">
        <f t="shared" si="21"/>
        <v>2.4336086287018738E-2</v>
      </c>
      <c r="I202" s="65" t="s">
        <v>318</v>
      </c>
      <c r="J202" s="66">
        <f>G203</f>
        <v>0.36210526325789472</v>
      </c>
      <c r="L202" s="65" t="s">
        <v>318</v>
      </c>
      <c r="M202" s="66">
        <v>0.36210526325789472</v>
      </c>
      <c r="N202" s="82">
        <f t="shared" si="19"/>
        <v>4.5630161798398744E-3</v>
      </c>
      <c r="O202" s="83">
        <f t="shared" si="22"/>
        <v>0.99165657797327456</v>
      </c>
    </row>
    <row r="203" spans="1:15">
      <c r="C203" s="65" t="s">
        <v>318</v>
      </c>
      <c r="D203" s="65" t="s">
        <v>223</v>
      </c>
      <c r="E203" s="97">
        <v>0.36210526315789471</v>
      </c>
      <c r="F203" s="81">
        <v>1E-10</v>
      </c>
      <c r="G203" s="115">
        <f t="shared" si="20"/>
        <v>0.36210526325789472</v>
      </c>
      <c r="H203" s="66">
        <f t="shared" si="21"/>
        <v>4.5630161798398735E-3</v>
      </c>
      <c r="I203" s="65" t="s">
        <v>319</v>
      </c>
      <c r="J203" s="66">
        <f>G204</f>
        <v>0.36210526325789472</v>
      </c>
      <c r="L203" s="65" t="s">
        <v>319</v>
      </c>
      <c r="M203" s="66">
        <v>0.36210526325789472</v>
      </c>
      <c r="N203" s="82">
        <f t="shared" si="19"/>
        <v>4.5630161798398744E-3</v>
      </c>
      <c r="O203" s="83">
        <f t="shared" si="22"/>
        <v>0.99621959415311445</v>
      </c>
    </row>
    <row r="204" spans="1:15" ht="15" thickBot="1">
      <c r="C204" s="65" t="s">
        <v>319</v>
      </c>
      <c r="D204" s="65" t="s">
        <v>223</v>
      </c>
      <c r="E204" s="97">
        <v>0.36210526315789471</v>
      </c>
      <c r="F204" s="81">
        <v>1E-10</v>
      </c>
      <c r="G204" s="115">
        <f t="shared" si="20"/>
        <v>0.36210526325789472</v>
      </c>
      <c r="H204" s="66">
        <f t="shared" si="21"/>
        <v>4.5630161798398735E-3</v>
      </c>
      <c r="I204" s="65" t="s">
        <v>315</v>
      </c>
      <c r="J204" s="66">
        <f>G205</f>
        <v>3.0175438597491224</v>
      </c>
      <c r="L204" s="66" t="s">
        <v>106</v>
      </c>
      <c r="M204" s="66">
        <v>0.3000000001</v>
      </c>
      <c r="N204" s="85">
        <f t="shared" si="19"/>
        <v>3.7804058468857912E-3</v>
      </c>
      <c r="O204" s="86">
        <f t="shared" si="22"/>
        <v>1.0000000000000002</v>
      </c>
    </row>
    <row r="205" spans="1:15" ht="15" thickBot="1">
      <c r="C205" s="65" t="s">
        <v>315</v>
      </c>
      <c r="D205" s="65" t="s">
        <v>223</v>
      </c>
      <c r="E205" s="117">
        <v>3.0175438596491224</v>
      </c>
      <c r="F205" s="92">
        <v>1E-10</v>
      </c>
      <c r="G205" s="115">
        <f t="shared" si="20"/>
        <v>3.0175438597491224</v>
      </c>
      <c r="H205" s="66">
        <f t="shared" si="21"/>
        <v>3.8025134822757954E-2</v>
      </c>
      <c r="J205" s="70">
        <f>SUM(J197:J204)</f>
        <v>79.356559123707015</v>
      </c>
      <c r="M205" s="70">
        <f>SUM(M197:M204)</f>
        <v>79.356559123707015</v>
      </c>
    </row>
    <row r="206" spans="1:15" ht="15" thickBot="1">
      <c r="B206" s="65"/>
      <c r="C206" s="65"/>
      <c r="D206" s="65"/>
      <c r="E206" s="93">
        <f>SUM(E197:E205)</f>
        <v>37.779649123007012</v>
      </c>
      <c r="F206" s="93">
        <f>SUM(F197:F205)</f>
        <v>41.576910000700011</v>
      </c>
      <c r="G206" s="118">
        <f>SUM(E206:F206)</f>
        <v>79.356559123707029</v>
      </c>
    </row>
    <row r="212" spans="1:8">
      <c r="E212" s="70" t="s">
        <v>256</v>
      </c>
    </row>
    <row r="213" spans="1:8" ht="73.2">
      <c r="B213" s="66" t="s">
        <v>224</v>
      </c>
      <c r="C213" s="65"/>
      <c r="D213" s="65"/>
      <c r="E213" s="111" t="s">
        <v>320</v>
      </c>
      <c r="F213" s="111" t="s">
        <v>321</v>
      </c>
      <c r="G213" s="111" t="s">
        <v>322</v>
      </c>
    </row>
    <row r="214" spans="1:8">
      <c r="A214" s="68" t="s">
        <v>323</v>
      </c>
      <c r="C214" s="87"/>
      <c r="D214" s="65" t="s">
        <v>235</v>
      </c>
      <c r="E214" s="69" t="s">
        <v>236</v>
      </c>
      <c r="F214" s="69" t="s">
        <v>236</v>
      </c>
      <c r="G214" s="69" t="s">
        <v>236</v>
      </c>
    </row>
    <row r="215" spans="1:8" ht="15" thickBot="1">
      <c r="C215" s="79"/>
      <c r="D215" s="65"/>
      <c r="E215" s="65"/>
      <c r="F215" s="65"/>
      <c r="G215" s="65"/>
    </row>
    <row r="216" spans="1:8">
      <c r="C216" s="112" t="s">
        <v>320</v>
      </c>
      <c r="D216" s="65" t="s">
        <v>223</v>
      </c>
      <c r="E216" s="75">
        <v>3.4</v>
      </c>
      <c r="F216" s="74">
        <v>1E-10</v>
      </c>
      <c r="G216" s="119">
        <v>1E-10</v>
      </c>
      <c r="H216" s="66">
        <f>SUM(E216:G216)</f>
        <v>3.4000000001999999</v>
      </c>
    </row>
    <row r="217" spans="1:8">
      <c r="C217" s="112" t="s">
        <v>321</v>
      </c>
      <c r="D217" s="65" t="s">
        <v>223</v>
      </c>
      <c r="E217" s="78">
        <v>1E-10</v>
      </c>
      <c r="F217" s="83">
        <v>6.85</v>
      </c>
      <c r="G217" s="120">
        <v>1E-10</v>
      </c>
      <c r="H217" s="66">
        <f>SUM(E217:G217)</f>
        <v>6.8500000001999997</v>
      </c>
    </row>
    <row r="218" spans="1:8" ht="15" thickBot="1">
      <c r="C218" s="112" t="s">
        <v>324</v>
      </c>
      <c r="D218" s="65" t="s">
        <v>223</v>
      </c>
      <c r="E218" s="89">
        <v>1E-10</v>
      </c>
      <c r="F218" s="92">
        <v>1E-10</v>
      </c>
      <c r="G218" s="121">
        <v>33.799999999999997</v>
      </c>
      <c r="H218" s="66">
        <f>SUM(E218:G218)</f>
        <v>33.800000000199994</v>
      </c>
    </row>
    <row r="219" spans="1:8" ht="15" thickBot="1">
      <c r="B219" s="87"/>
      <c r="C219" s="65"/>
      <c r="D219" s="65"/>
      <c r="E219" s="93">
        <f>SUM(E216:E218)</f>
        <v>3.4000000001999999</v>
      </c>
      <c r="F219" s="93">
        <f>SUM(F216:F218)</f>
        <v>6.8500000001999997</v>
      </c>
      <c r="G219" s="122">
        <f>SUM(G216:G218)</f>
        <v>33.800000000199994</v>
      </c>
      <c r="H219" s="70">
        <f>SUM(E219:G219)</f>
        <v>44.050000000599994</v>
      </c>
    </row>
    <row r="225" spans="1:39">
      <c r="E225" s="70" t="s">
        <v>256</v>
      </c>
    </row>
    <row r="226" spans="1:39" ht="133.19999999999999">
      <c r="C226" s="123"/>
      <c r="E226" s="94" t="s">
        <v>325</v>
      </c>
      <c r="F226" s="94" t="s">
        <v>326</v>
      </c>
      <c r="G226" s="94" t="s">
        <v>327</v>
      </c>
      <c r="H226" s="94" t="s">
        <v>328</v>
      </c>
      <c r="I226" s="94" t="s">
        <v>329</v>
      </c>
      <c r="J226" s="94" t="s">
        <v>330</v>
      </c>
      <c r="K226" s="94" t="s">
        <v>331</v>
      </c>
      <c r="L226" s="94" t="s">
        <v>332</v>
      </c>
      <c r="M226" s="94" t="s">
        <v>333</v>
      </c>
    </row>
    <row r="227" spans="1:39">
      <c r="A227" s="64">
        <v>6</v>
      </c>
      <c r="C227" s="123"/>
      <c r="E227" s="112" t="s">
        <v>236</v>
      </c>
      <c r="F227" s="112" t="s">
        <v>236</v>
      </c>
      <c r="G227" s="112" t="s">
        <v>236</v>
      </c>
      <c r="H227" s="112" t="s">
        <v>236</v>
      </c>
      <c r="I227" s="112" t="s">
        <v>236</v>
      </c>
      <c r="J227" s="112" t="s">
        <v>236</v>
      </c>
      <c r="K227" s="112" t="s">
        <v>236</v>
      </c>
      <c r="L227" s="112" t="s">
        <v>236</v>
      </c>
      <c r="M227" s="112" t="s">
        <v>236</v>
      </c>
      <c r="N227" s="112" t="s">
        <v>237</v>
      </c>
    </row>
    <row r="228" spans="1:39" ht="15" thickBot="1">
      <c r="A228" s="68" t="s">
        <v>334</v>
      </c>
      <c r="C228" s="123"/>
      <c r="E228" s="112"/>
      <c r="F228" s="112"/>
      <c r="G228" s="112"/>
      <c r="H228" s="112"/>
      <c r="I228" s="112"/>
      <c r="O228" s="70" t="s">
        <v>238</v>
      </c>
      <c r="P228" s="70" t="s">
        <v>568</v>
      </c>
      <c r="Q228" s="70"/>
      <c r="R228" s="70"/>
      <c r="S228" s="70" t="s">
        <v>569</v>
      </c>
      <c r="T228" s="65"/>
      <c r="U228" s="65" t="s">
        <v>238</v>
      </c>
      <c r="V228" s="65" t="s">
        <v>240</v>
      </c>
    </row>
    <row r="229" spans="1:39">
      <c r="B229" s="66" t="s">
        <v>335</v>
      </c>
      <c r="C229" s="95" t="s">
        <v>86</v>
      </c>
      <c r="D229" s="66" t="s">
        <v>223</v>
      </c>
      <c r="E229" s="124">
        <v>9.5495508180272068</v>
      </c>
      <c r="F229" s="125">
        <v>35.670329062454563</v>
      </c>
      <c r="G229" s="73">
        <v>1E-10</v>
      </c>
      <c r="H229" s="73">
        <v>1E-10</v>
      </c>
      <c r="I229" s="125">
        <v>7.9279289810037197</v>
      </c>
      <c r="J229" s="73">
        <v>1E-10</v>
      </c>
      <c r="K229" s="73">
        <v>1E-10</v>
      </c>
      <c r="L229" s="73">
        <v>1E-10</v>
      </c>
      <c r="M229" s="74">
        <v>1E-10</v>
      </c>
      <c r="N229" s="113">
        <f>SUM(E229:M229)</f>
        <v>53.147808862085498</v>
      </c>
      <c r="O229" s="66">
        <f>N229/$N$244</f>
        <v>0.57612665004018759</v>
      </c>
      <c r="P229" s="95" t="s">
        <v>86</v>
      </c>
      <c r="Q229" s="66">
        <f>N229</f>
        <v>53.147808862085498</v>
      </c>
      <c r="S229" s="98" t="s">
        <v>86</v>
      </c>
      <c r="T229" s="75">
        <v>53.147808862085498</v>
      </c>
      <c r="U229" s="72">
        <f>T229/$T$236</f>
        <v>0.57612665005704966</v>
      </c>
      <c r="V229" s="77">
        <f>U229</f>
        <v>0.57612665005704966</v>
      </c>
    </row>
    <row r="230" spans="1:39">
      <c r="C230" s="95" t="s">
        <v>219</v>
      </c>
      <c r="D230" s="66" t="s">
        <v>223</v>
      </c>
      <c r="E230" s="78">
        <v>1E-10</v>
      </c>
      <c r="F230" s="80">
        <v>1E-10</v>
      </c>
      <c r="G230" s="80">
        <v>1E-10</v>
      </c>
      <c r="H230" s="80">
        <v>1E-10</v>
      </c>
      <c r="I230" s="80">
        <v>1E-10</v>
      </c>
      <c r="J230" s="80">
        <v>1E-10</v>
      </c>
      <c r="K230" s="80">
        <v>1E-10</v>
      </c>
      <c r="L230" s="80">
        <v>1E-10</v>
      </c>
      <c r="M230" s="81">
        <v>1E-10</v>
      </c>
      <c r="N230" s="115">
        <f t="shared" ref="N230:N243" si="23">SUM(E230:M230)</f>
        <v>8.9999999999999989E-10</v>
      </c>
      <c r="O230" s="66">
        <f t="shared" ref="O230:O243" si="24">N230/$N$244</f>
        <v>9.7560745426339771E-12</v>
      </c>
      <c r="P230" s="95" t="s">
        <v>102</v>
      </c>
      <c r="Q230" s="66">
        <f>N233</f>
        <v>6.5009017651230492</v>
      </c>
      <c r="S230" s="98" t="s">
        <v>93</v>
      </c>
      <c r="T230" s="82">
        <v>29.694507020211585</v>
      </c>
      <c r="U230" s="79">
        <f t="shared" ref="U230:U235" si="25">T230/$T$236</f>
        <v>0.32189091556047905</v>
      </c>
      <c r="V230" s="84">
        <f t="shared" ref="V230:V235" si="26">V229+U230</f>
        <v>0.89801756561752866</v>
      </c>
    </row>
    <row r="231" spans="1:39">
      <c r="B231" s="66" t="s">
        <v>248</v>
      </c>
      <c r="C231" s="95" t="s">
        <v>249</v>
      </c>
      <c r="D231" s="66" t="s">
        <v>223</v>
      </c>
      <c r="E231" s="78">
        <v>1E-10</v>
      </c>
      <c r="F231" s="80">
        <v>1E-10</v>
      </c>
      <c r="G231" s="80">
        <v>1E-10</v>
      </c>
      <c r="H231" s="80">
        <v>1E-10</v>
      </c>
      <c r="I231" s="80">
        <v>1E-10</v>
      </c>
      <c r="J231" s="80">
        <v>1E-10</v>
      </c>
      <c r="K231" s="80">
        <v>1E-10</v>
      </c>
      <c r="L231" s="80">
        <v>1E-10</v>
      </c>
      <c r="M231" s="81">
        <v>1E-10</v>
      </c>
      <c r="N231" s="115">
        <f t="shared" si="23"/>
        <v>8.9999999999999989E-10</v>
      </c>
      <c r="O231" s="66">
        <f t="shared" si="24"/>
        <v>9.7560745426339771E-12</v>
      </c>
      <c r="P231" s="95" t="s">
        <v>253</v>
      </c>
      <c r="Q231" s="66">
        <f>N234</f>
        <v>1.1000008000000003E-3</v>
      </c>
      <c r="S231" s="98" t="s">
        <v>102</v>
      </c>
      <c r="T231" s="82">
        <v>6.5009017651230492</v>
      </c>
      <c r="U231" s="79">
        <f t="shared" si="25"/>
        <v>7.0470313574152829E-2</v>
      </c>
      <c r="V231" s="84">
        <f t="shared" si="26"/>
        <v>0.96848787919168144</v>
      </c>
    </row>
    <row r="232" spans="1:39">
      <c r="C232" s="95" t="s">
        <v>250</v>
      </c>
      <c r="D232" s="66" t="s">
        <v>223</v>
      </c>
      <c r="E232" s="78">
        <v>1E-10</v>
      </c>
      <c r="F232" s="80">
        <v>1E-10</v>
      </c>
      <c r="G232" s="80">
        <v>1E-10</v>
      </c>
      <c r="H232" s="80">
        <v>1E-10</v>
      </c>
      <c r="I232" s="80">
        <v>1E-10</v>
      </c>
      <c r="J232" s="80">
        <v>1E-10</v>
      </c>
      <c r="K232" s="80">
        <v>1E-10</v>
      </c>
      <c r="L232" s="80">
        <v>1E-10</v>
      </c>
      <c r="M232" s="81">
        <v>1E-10</v>
      </c>
      <c r="N232" s="115">
        <f t="shared" si="23"/>
        <v>8.9999999999999989E-10</v>
      </c>
      <c r="O232" s="66">
        <f t="shared" si="24"/>
        <v>9.7560745426339771E-12</v>
      </c>
      <c r="P232" s="126" t="s">
        <v>336</v>
      </c>
      <c r="Q232" s="66">
        <f>N235</f>
        <v>5.3000007999999968E-3</v>
      </c>
      <c r="S232" s="66" t="s">
        <v>262</v>
      </c>
      <c r="T232" s="82">
        <v>2.9000000008</v>
      </c>
      <c r="U232" s="79">
        <f t="shared" si="25"/>
        <v>3.1436240202523849E-2</v>
      </c>
      <c r="V232" s="83">
        <f t="shared" si="26"/>
        <v>0.99992411939420534</v>
      </c>
    </row>
    <row r="233" spans="1:39">
      <c r="C233" s="95" t="s">
        <v>102</v>
      </c>
      <c r="D233" s="66" t="s">
        <v>223</v>
      </c>
      <c r="E233" s="78">
        <v>1E-10</v>
      </c>
      <c r="F233" s="80">
        <v>1E-10</v>
      </c>
      <c r="G233" s="112">
        <v>3.2504508822115246</v>
      </c>
      <c r="H233" s="112">
        <v>3.2504508822115246</v>
      </c>
      <c r="I233" s="80">
        <v>1E-10</v>
      </c>
      <c r="J233" s="80">
        <v>1E-10</v>
      </c>
      <c r="K233" s="80">
        <v>1E-10</v>
      </c>
      <c r="L233" s="80">
        <v>1E-10</v>
      </c>
      <c r="M233" s="81">
        <v>1E-10</v>
      </c>
      <c r="N233" s="115">
        <f t="shared" si="23"/>
        <v>6.5009017651230492</v>
      </c>
      <c r="O233" s="66">
        <f t="shared" si="24"/>
        <v>7.0470313572090298E-2</v>
      </c>
      <c r="P233" s="126" t="s">
        <v>337</v>
      </c>
      <c r="Q233" s="66">
        <f>N236</f>
        <v>6.0000080000000022E-4</v>
      </c>
      <c r="S233" s="66" t="s">
        <v>336</v>
      </c>
      <c r="T233" s="82">
        <v>5.3000007999999968E-3</v>
      </c>
      <c r="U233" s="79">
        <f t="shared" si="25"/>
        <v>5.7452447647036726E-5</v>
      </c>
      <c r="V233" s="83">
        <f t="shared" si="26"/>
        <v>0.99998157184185232</v>
      </c>
    </row>
    <row r="234" spans="1:39">
      <c r="C234" s="95" t="s">
        <v>253</v>
      </c>
      <c r="D234" s="66" t="s">
        <v>223</v>
      </c>
      <c r="E234" s="78">
        <v>1E-10</v>
      </c>
      <c r="F234" s="112">
        <v>1.1000000000000001E-3</v>
      </c>
      <c r="G234" s="80">
        <v>1E-10</v>
      </c>
      <c r="H234" s="80">
        <v>1E-10</v>
      </c>
      <c r="I234" s="80">
        <v>1E-10</v>
      </c>
      <c r="J234" s="80">
        <v>1E-10</v>
      </c>
      <c r="K234" s="80">
        <v>1E-10</v>
      </c>
      <c r="L234" s="80">
        <v>1E-10</v>
      </c>
      <c r="M234" s="81">
        <v>1E-10</v>
      </c>
      <c r="N234" s="115">
        <f t="shared" si="23"/>
        <v>1.1000008000000003E-3</v>
      </c>
      <c r="O234" s="66">
        <f t="shared" si="24"/>
        <v>1.1924099779730014E-5</v>
      </c>
      <c r="P234" s="126" t="s">
        <v>262</v>
      </c>
      <c r="Q234" s="66">
        <f>N237</f>
        <v>2.9000000008</v>
      </c>
      <c r="S234" s="66" t="s">
        <v>253</v>
      </c>
      <c r="T234" s="82">
        <v>1.1000008000000003E-3</v>
      </c>
      <c r="U234" s="79">
        <f t="shared" si="25"/>
        <v>1.1924099780079008E-5</v>
      </c>
      <c r="V234" s="83">
        <f t="shared" si="26"/>
        <v>0.99999349594163245</v>
      </c>
    </row>
    <row r="235" spans="1:39" ht="15" thickBot="1">
      <c r="C235" s="126" t="s">
        <v>336</v>
      </c>
      <c r="D235" s="66" t="s">
        <v>223</v>
      </c>
      <c r="E235" s="78">
        <v>1E-10</v>
      </c>
      <c r="F235" s="112">
        <v>5.3E-3</v>
      </c>
      <c r="G235" s="80">
        <v>1E-10</v>
      </c>
      <c r="H235" s="80">
        <v>1E-10</v>
      </c>
      <c r="I235" s="80">
        <v>1E-10</v>
      </c>
      <c r="J235" s="80">
        <v>1E-10</v>
      </c>
      <c r="K235" s="80">
        <v>1E-10</v>
      </c>
      <c r="L235" s="80">
        <v>1E-10</v>
      </c>
      <c r="M235" s="81">
        <v>1E-10</v>
      </c>
      <c r="N235" s="115">
        <f t="shared" si="23"/>
        <v>5.3000007999999968E-3</v>
      </c>
      <c r="O235" s="66">
        <f t="shared" si="24"/>
        <v>5.7452447645355203E-5</v>
      </c>
      <c r="P235" s="126" t="s">
        <v>93</v>
      </c>
      <c r="Q235" s="66">
        <f>SUM(N238:N243)</f>
        <v>29.694507020211585</v>
      </c>
      <c r="S235" s="66" t="s">
        <v>337</v>
      </c>
      <c r="T235" s="85">
        <v>6.0000080000000022E-4</v>
      </c>
      <c r="U235" s="91">
        <f t="shared" si="25"/>
        <v>6.5040583673459414E-6</v>
      </c>
      <c r="V235" s="86">
        <f t="shared" si="26"/>
        <v>0.99999999999999978</v>
      </c>
    </row>
    <row r="236" spans="1:39">
      <c r="C236" s="126" t="s">
        <v>337</v>
      </c>
      <c r="D236" s="66" t="s">
        <v>223</v>
      </c>
      <c r="E236" s="78">
        <v>1E-10</v>
      </c>
      <c r="F236" s="112">
        <v>5.9999999999999995E-4</v>
      </c>
      <c r="G236" s="80">
        <v>1E-10</v>
      </c>
      <c r="H236" s="80">
        <v>1E-10</v>
      </c>
      <c r="I236" s="80">
        <v>1E-10</v>
      </c>
      <c r="J236" s="80">
        <v>1E-10</v>
      </c>
      <c r="K236" s="80">
        <v>1E-10</v>
      </c>
      <c r="L236" s="80">
        <v>1E-10</v>
      </c>
      <c r="M236" s="81">
        <v>1E-10</v>
      </c>
      <c r="N236" s="115">
        <f t="shared" si="23"/>
        <v>6.0000080000000022E-4</v>
      </c>
      <c r="O236" s="66">
        <f t="shared" si="24"/>
        <v>6.5040583671555809E-6</v>
      </c>
      <c r="Q236" s="66">
        <f>SUM(Q229:Q235)</f>
        <v>92.250217650620129</v>
      </c>
      <c r="T236" s="66">
        <f>SUM(T229:T235)</f>
        <v>92.250217650620144</v>
      </c>
    </row>
    <row r="237" spans="1:39">
      <c r="C237" s="126" t="s">
        <v>262</v>
      </c>
      <c r="D237" s="66" t="s">
        <v>223</v>
      </c>
      <c r="E237" s="78">
        <v>1E-10</v>
      </c>
      <c r="F237" s="112">
        <v>2.9</v>
      </c>
      <c r="G237" s="80">
        <v>1E-10</v>
      </c>
      <c r="H237" s="80">
        <v>1E-10</v>
      </c>
      <c r="I237" s="80">
        <v>1E-10</v>
      </c>
      <c r="J237" s="80">
        <v>1E-10</v>
      </c>
      <c r="K237" s="80">
        <v>1E-10</v>
      </c>
      <c r="L237" s="80">
        <v>1E-10</v>
      </c>
      <c r="M237" s="81">
        <v>1E-10</v>
      </c>
      <c r="N237" s="115">
        <f t="shared" si="23"/>
        <v>2.9000000008</v>
      </c>
      <c r="O237" s="66">
        <f t="shared" si="24"/>
        <v>3.1436240201603773E-2</v>
      </c>
      <c r="T237" s="66">
        <f>SUM(T229:T231)</f>
        <v>89.343217647420133</v>
      </c>
    </row>
    <row r="238" spans="1:39">
      <c r="B238" s="66" t="s">
        <v>255</v>
      </c>
      <c r="C238" s="127" t="s">
        <v>338</v>
      </c>
      <c r="D238" s="66" t="s">
        <v>223</v>
      </c>
      <c r="E238" s="128">
        <v>9.5495508180272068</v>
      </c>
      <c r="F238" s="80">
        <v>1E-10</v>
      </c>
      <c r="G238" s="112">
        <v>4.6774780987921938</v>
      </c>
      <c r="H238" s="112">
        <v>4.6774780987921938</v>
      </c>
      <c r="I238" s="80">
        <v>1E-10</v>
      </c>
      <c r="J238" s="80">
        <v>1E-10</v>
      </c>
      <c r="K238" s="80">
        <v>1E-10</v>
      </c>
      <c r="L238" s="80">
        <v>1E-10</v>
      </c>
      <c r="M238" s="81">
        <v>1E-10</v>
      </c>
      <c r="N238" s="115">
        <f t="shared" si="23"/>
        <v>18.904507016211586</v>
      </c>
      <c r="O238" s="66">
        <f t="shared" si="24"/>
        <v>0.2049264218243414</v>
      </c>
    </row>
    <row r="239" spans="1:39">
      <c r="C239" s="95" t="s">
        <v>94</v>
      </c>
      <c r="D239" s="66" t="s">
        <v>223</v>
      </c>
      <c r="E239" s="78">
        <v>1E-10</v>
      </c>
      <c r="F239" s="80">
        <v>1E-10</v>
      </c>
      <c r="G239" s="80">
        <v>1E-10</v>
      </c>
      <c r="H239" s="80">
        <v>1E-10</v>
      </c>
      <c r="I239" s="80">
        <v>1E-10</v>
      </c>
      <c r="J239" s="80">
        <v>1E-10</v>
      </c>
      <c r="K239" s="80">
        <v>1E-10</v>
      </c>
      <c r="L239" s="80">
        <v>1E-10</v>
      </c>
      <c r="M239" s="81">
        <v>1E-10</v>
      </c>
      <c r="N239" s="115">
        <f t="shared" si="23"/>
        <v>8.9999999999999989E-10</v>
      </c>
      <c r="O239" s="66">
        <f t="shared" si="24"/>
        <v>9.7560745426339771E-12</v>
      </c>
    </row>
    <row r="240" spans="1:39">
      <c r="C240" s="129" t="s">
        <v>339</v>
      </c>
      <c r="D240" s="66" t="s">
        <v>223</v>
      </c>
      <c r="E240" s="78">
        <v>1E-10</v>
      </c>
      <c r="F240" s="80">
        <v>1E-10</v>
      </c>
      <c r="G240" s="80">
        <v>1E-10</v>
      </c>
      <c r="H240" s="80">
        <v>1E-10</v>
      </c>
      <c r="I240" s="80">
        <v>1E-10</v>
      </c>
      <c r="J240" s="80">
        <v>1E-10</v>
      </c>
      <c r="K240" s="80">
        <v>1E-10</v>
      </c>
      <c r="L240" s="79">
        <v>0.1525</v>
      </c>
      <c r="M240" s="81">
        <v>1E-10</v>
      </c>
      <c r="N240" s="115">
        <f t="shared" si="23"/>
        <v>0.15250000080000001</v>
      </c>
      <c r="O240" s="66">
        <f t="shared" si="24"/>
        <v>1.6531126395072681E-3</v>
      </c>
    </row>
    <row r="241" spans="1:36">
      <c r="C241" s="129" t="s">
        <v>340</v>
      </c>
      <c r="D241" s="66" t="s">
        <v>223</v>
      </c>
      <c r="E241" s="78">
        <v>1E-10</v>
      </c>
      <c r="F241" s="80">
        <v>1E-10</v>
      </c>
      <c r="G241" s="80">
        <v>1E-10</v>
      </c>
      <c r="H241" s="80">
        <v>1E-10</v>
      </c>
      <c r="I241" s="80">
        <v>1E-10</v>
      </c>
      <c r="J241" s="79">
        <v>9.2759999999999998</v>
      </c>
      <c r="K241" s="80">
        <v>1E-10</v>
      </c>
      <c r="L241" s="80">
        <v>1E-10</v>
      </c>
      <c r="M241" s="81">
        <v>1E-10</v>
      </c>
      <c r="N241" s="115">
        <f t="shared" si="23"/>
        <v>9.2760000007999999</v>
      </c>
      <c r="O241" s="66">
        <f t="shared" si="24"/>
        <v>0.10055260829475293</v>
      </c>
    </row>
    <row r="242" spans="1:36">
      <c r="C242" s="129" t="s">
        <v>341</v>
      </c>
      <c r="D242" s="66" t="s">
        <v>223</v>
      </c>
      <c r="E242" s="78">
        <v>1E-10</v>
      </c>
      <c r="F242" s="80">
        <v>1E-10</v>
      </c>
      <c r="G242" s="80">
        <v>1E-10</v>
      </c>
      <c r="H242" s="80">
        <v>1E-10</v>
      </c>
      <c r="I242" s="80">
        <v>1E-10</v>
      </c>
      <c r="J242" s="80">
        <v>1E-10</v>
      </c>
      <c r="K242" s="80">
        <v>1E-10</v>
      </c>
      <c r="L242" s="79">
        <v>0.1525</v>
      </c>
      <c r="M242" s="81">
        <v>1E-10</v>
      </c>
      <c r="N242" s="115">
        <f t="shared" si="23"/>
        <v>0.15250000080000001</v>
      </c>
      <c r="O242" s="66">
        <f t="shared" si="24"/>
        <v>1.6531126395072681E-3</v>
      </c>
    </row>
    <row r="243" spans="1:36" ht="15" thickBot="1">
      <c r="C243" s="129" t="s">
        <v>342</v>
      </c>
      <c r="D243" s="66" t="s">
        <v>223</v>
      </c>
      <c r="E243" s="89">
        <v>1E-10</v>
      </c>
      <c r="F243" s="90">
        <v>1E-10</v>
      </c>
      <c r="G243" s="90">
        <v>1E-10</v>
      </c>
      <c r="H243" s="90">
        <v>1E-10</v>
      </c>
      <c r="I243" s="90">
        <v>1E-10</v>
      </c>
      <c r="J243" s="90">
        <v>1E-10</v>
      </c>
      <c r="K243" s="91">
        <v>0.93799999999999994</v>
      </c>
      <c r="L243" s="90">
        <v>1E-10</v>
      </c>
      <c r="M243" s="86">
        <v>0.27100000000000002</v>
      </c>
      <c r="N243" s="115">
        <f t="shared" si="23"/>
        <v>1.2090000007000001</v>
      </c>
      <c r="O243" s="66">
        <f t="shared" si="24"/>
        <v>1.3105660143193035E-2</v>
      </c>
    </row>
    <row r="244" spans="1:36" ht="15" thickBot="1">
      <c r="B244" s="65"/>
      <c r="C244" s="65"/>
      <c r="D244" s="65"/>
      <c r="E244" s="93">
        <f t="shared" ref="E244:M244" si="27">SUM(E229:E243)</f>
        <v>19.099101637354405</v>
      </c>
      <c r="F244" s="93">
        <f t="shared" si="27"/>
        <v>38.577329063454577</v>
      </c>
      <c r="G244" s="93">
        <f t="shared" si="27"/>
        <v>7.9279289823037189</v>
      </c>
      <c r="H244" s="93">
        <f t="shared" si="27"/>
        <v>7.9279289823037189</v>
      </c>
      <c r="I244" s="93">
        <f t="shared" si="27"/>
        <v>7.9279289824037198</v>
      </c>
      <c r="J244" s="93">
        <f t="shared" si="27"/>
        <v>9.2760000013999999</v>
      </c>
      <c r="K244" s="93">
        <f t="shared" si="27"/>
        <v>0.93800000139999995</v>
      </c>
      <c r="L244" s="93">
        <f t="shared" si="27"/>
        <v>0.30500000130000005</v>
      </c>
      <c r="M244" s="93">
        <f t="shared" si="27"/>
        <v>0.27100000140000002</v>
      </c>
      <c r="N244" s="118">
        <f>SUM(E244:M244)</f>
        <v>92.250217653320121</v>
      </c>
    </row>
    <row r="250" spans="1:36">
      <c r="M250" s="70"/>
      <c r="U250" s="70"/>
      <c r="AC250" s="70"/>
    </row>
    <row r="251" spans="1:36" ht="98.4">
      <c r="C251" s="130"/>
      <c r="D251" s="131" t="s">
        <v>235</v>
      </c>
      <c r="E251" s="106" t="s">
        <v>343</v>
      </c>
      <c r="F251" s="106" t="s">
        <v>344</v>
      </c>
      <c r="G251" s="106" t="s">
        <v>345</v>
      </c>
      <c r="H251" s="106" t="s">
        <v>346</v>
      </c>
      <c r="I251" s="106" t="s">
        <v>347</v>
      </c>
      <c r="J251" s="106" t="s">
        <v>348</v>
      </c>
      <c r="M251" s="70"/>
      <c r="N251" s="70"/>
      <c r="O251" s="70"/>
      <c r="P251" s="70"/>
      <c r="Q251" s="70"/>
      <c r="R251" s="70"/>
      <c r="S251" s="70"/>
      <c r="T251" s="70"/>
      <c r="U251" s="70"/>
      <c r="V251" s="70"/>
      <c r="W251" s="70"/>
      <c r="X251" s="70"/>
      <c r="Y251" s="70"/>
      <c r="Z251" s="70"/>
      <c r="AA251" s="70"/>
      <c r="AB251" s="70"/>
      <c r="AC251" s="70"/>
      <c r="AD251" s="70"/>
      <c r="AE251" s="70"/>
      <c r="AF251" s="70"/>
      <c r="AG251" s="70"/>
      <c r="AH251" s="70"/>
      <c r="AI251" s="70"/>
      <c r="AJ251" s="70"/>
    </row>
    <row r="252" spans="1:36">
      <c r="A252" s="64">
        <v>7</v>
      </c>
      <c r="B252" s="65"/>
      <c r="C252" s="65"/>
      <c r="D252" s="65"/>
      <c r="E252" s="66" t="s">
        <v>236</v>
      </c>
      <c r="F252" s="66" t="s">
        <v>236</v>
      </c>
      <c r="G252" s="66" t="s">
        <v>236</v>
      </c>
      <c r="H252" s="66" t="s">
        <v>236</v>
      </c>
      <c r="I252" s="66" t="s">
        <v>236</v>
      </c>
      <c r="J252" s="66" t="s">
        <v>236</v>
      </c>
      <c r="K252" s="66" t="s">
        <v>237</v>
      </c>
      <c r="N252" s="70"/>
      <c r="O252" s="70"/>
      <c r="Q252" s="70"/>
      <c r="R252" s="70"/>
      <c r="S252" s="70"/>
      <c r="T252" s="70"/>
      <c r="U252" s="70"/>
      <c r="V252" s="70"/>
      <c r="W252" s="70"/>
      <c r="X252" s="70"/>
      <c r="Y252" s="70"/>
      <c r="Z252" s="70"/>
      <c r="AA252" s="70"/>
      <c r="AB252" s="70"/>
      <c r="AC252" s="70"/>
      <c r="AD252" s="70"/>
      <c r="AE252" s="70"/>
      <c r="AF252" s="70"/>
      <c r="AG252" s="70"/>
      <c r="AH252" s="70"/>
      <c r="AI252" s="70"/>
      <c r="AJ252" s="70"/>
    </row>
    <row r="253" spans="1:36" ht="15" thickBot="1">
      <c r="A253" s="68" t="s">
        <v>109</v>
      </c>
      <c r="B253" s="65"/>
      <c r="C253" s="68" t="s">
        <v>109</v>
      </c>
      <c r="D253" s="65"/>
      <c r="E253" s="70" t="s">
        <v>256</v>
      </c>
      <c r="F253" s="65"/>
      <c r="G253" s="65"/>
      <c r="H253" s="65"/>
      <c r="I253" s="65"/>
      <c r="J253" s="65"/>
      <c r="L253" s="70" t="s">
        <v>238</v>
      </c>
      <c r="M253" s="70" t="s">
        <v>568</v>
      </c>
      <c r="N253" s="70"/>
      <c r="O253" s="70"/>
      <c r="P253" s="70" t="s">
        <v>569</v>
      </c>
      <c r="Q253" s="65"/>
      <c r="R253" s="70" t="s">
        <v>238</v>
      </c>
      <c r="S253" s="70" t="s">
        <v>240</v>
      </c>
      <c r="T253" s="70"/>
      <c r="U253" s="70"/>
      <c r="V253" s="70"/>
      <c r="W253" s="70"/>
      <c r="X253" s="70"/>
      <c r="Y253" s="70"/>
      <c r="Z253" s="70"/>
      <c r="AA253" s="70"/>
      <c r="AB253" s="70"/>
      <c r="AC253" s="70"/>
      <c r="AD253" s="70"/>
      <c r="AE253" s="70"/>
      <c r="AF253" s="70"/>
      <c r="AG253" s="70"/>
      <c r="AH253" s="70"/>
      <c r="AI253" s="70"/>
      <c r="AJ253" s="70"/>
    </row>
    <row r="254" spans="1:36">
      <c r="C254" s="66" t="s">
        <v>86</v>
      </c>
      <c r="D254" s="66" t="s">
        <v>223</v>
      </c>
      <c r="E254" s="71">
        <v>1E-10</v>
      </c>
      <c r="F254" s="132">
        <v>4.4551354857515744</v>
      </c>
      <c r="G254" s="132">
        <v>5.4832436747711704</v>
      </c>
      <c r="H254" s="132">
        <v>7.0785839680774378</v>
      </c>
      <c r="I254" s="132">
        <v>0.98303687139981588</v>
      </c>
      <c r="J254" s="74">
        <v>1E-10</v>
      </c>
      <c r="K254" s="76">
        <f>SUM(E254:J254)</f>
        <v>18.000000000199996</v>
      </c>
      <c r="L254" s="66">
        <f>K254/$K$263</f>
        <v>0.40090748046812308</v>
      </c>
      <c r="M254" s="75" t="s">
        <v>86</v>
      </c>
      <c r="N254" s="76">
        <f>K254+K260</f>
        <v>26.568726921509828</v>
      </c>
      <c r="O254" s="70"/>
      <c r="P254" s="133" t="s">
        <v>86</v>
      </c>
      <c r="Q254" s="134">
        <v>26.568726921509828</v>
      </c>
      <c r="R254" s="133">
        <f>Q254/$Q$258</f>
        <v>0.61934450323120949</v>
      </c>
      <c r="S254" s="77">
        <f>R254</f>
        <v>0.61934450323120949</v>
      </c>
      <c r="T254" s="70"/>
      <c r="U254" s="70"/>
      <c r="V254" s="70"/>
      <c r="W254" s="70"/>
      <c r="X254" s="70"/>
      <c r="Y254" s="70"/>
      <c r="Z254" s="70"/>
      <c r="AA254" s="70"/>
      <c r="AB254" s="70"/>
      <c r="AC254" s="70"/>
      <c r="AD254" s="70"/>
      <c r="AE254" s="70"/>
      <c r="AF254" s="70"/>
      <c r="AG254" s="70"/>
      <c r="AH254" s="70"/>
      <c r="AI254" s="70"/>
      <c r="AJ254" s="70"/>
    </row>
    <row r="255" spans="1:36">
      <c r="C255" s="66" t="s">
        <v>349</v>
      </c>
      <c r="D255" s="66" t="s">
        <v>223</v>
      </c>
      <c r="E255" s="135">
        <v>10.124684868846057</v>
      </c>
      <c r="F255" s="80">
        <v>1E-10</v>
      </c>
      <c r="G255" s="80">
        <v>1E-10</v>
      </c>
      <c r="H255" s="80">
        <v>1E-10</v>
      </c>
      <c r="I255" s="80">
        <v>1E-10</v>
      </c>
      <c r="J255" s="88">
        <v>0.87531513115394233</v>
      </c>
      <c r="K255" s="83">
        <f t="shared" ref="K255:K262" si="28">SUM(E255:J255)</f>
        <v>11.000000000399998</v>
      </c>
      <c r="L255" s="66">
        <f t="shared" ref="L255:L262" si="29">K255/$K$263</f>
        <v>0.24499901584781761</v>
      </c>
      <c r="M255" s="82" t="s">
        <v>349</v>
      </c>
      <c r="N255" s="83">
        <f>K255+K261</f>
        <v>12.120000000899999</v>
      </c>
      <c r="O255" s="70"/>
      <c r="P255" s="135" t="s">
        <v>87</v>
      </c>
      <c r="Q255" s="88">
        <v>12.120000000899999</v>
      </c>
      <c r="R255" s="135">
        <f>Q255/$Q$258</f>
        <v>0.28252973512413582</v>
      </c>
      <c r="S255" s="84">
        <f>R255+S254</f>
        <v>0.9018742383553453</v>
      </c>
      <c r="T255" s="70"/>
      <c r="U255" s="70"/>
      <c r="V255" s="70"/>
      <c r="W255" s="70"/>
      <c r="X255" s="70"/>
      <c r="Y255" s="70"/>
      <c r="Z255" s="70"/>
      <c r="AA255" s="70"/>
      <c r="AB255" s="70"/>
      <c r="AC255" s="70"/>
      <c r="AD255" s="70"/>
      <c r="AE255" s="70"/>
      <c r="AF255" s="70"/>
      <c r="AG255" s="70"/>
      <c r="AH255" s="70"/>
      <c r="AI255" s="70"/>
      <c r="AJ255" s="70"/>
    </row>
    <row r="256" spans="1:36">
      <c r="C256" s="66" t="s">
        <v>248</v>
      </c>
      <c r="D256" s="66" t="s">
        <v>223</v>
      </c>
      <c r="E256" s="78">
        <v>1E-10</v>
      </c>
      <c r="F256" s="80">
        <v>1E-10</v>
      </c>
      <c r="G256" s="80">
        <v>1E-10</v>
      </c>
      <c r="H256" s="80">
        <v>1E-10</v>
      </c>
      <c r="I256" s="87">
        <v>0.15813953488371757</v>
      </c>
      <c r="J256" s="81">
        <v>1E-10</v>
      </c>
      <c r="K256" s="83">
        <f t="shared" si="28"/>
        <v>0.15813953538371758</v>
      </c>
      <c r="L256" s="66">
        <f t="shared" si="29"/>
        <v>3.5221845940211884E-3</v>
      </c>
      <c r="M256" s="82" t="s">
        <v>248</v>
      </c>
      <c r="N256" s="83">
        <f>K256+K262</f>
        <v>0.20941261477388687</v>
      </c>
      <c r="O256" s="70"/>
      <c r="P256" s="135" t="s">
        <v>93</v>
      </c>
      <c r="Q256" s="88">
        <v>4.0000000005</v>
      </c>
      <c r="R256" s="135">
        <f>Q256/$Q$258</f>
        <v>9.3244137009396738E-2</v>
      </c>
      <c r="S256" s="84">
        <f>R256+S255</f>
        <v>0.99511837536474201</v>
      </c>
      <c r="T256" s="70"/>
      <c r="U256" s="70"/>
      <c r="V256" s="70"/>
      <c r="W256" s="70"/>
      <c r="X256" s="70"/>
      <c r="Y256" s="70"/>
      <c r="Z256" s="70"/>
      <c r="AA256" s="70"/>
      <c r="AB256" s="70"/>
      <c r="AC256" s="70"/>
      <c r="AD256" s="70"/>
      <c r="AE256" s="70"/>
      <c r="AF256" s="70"/>
      <c r="AG256" s="70"/>
      <c r="AH256" s="70"/>
      <c r="AI256" s="70"/>
      <c r="AJ256" s="70"/>
    </row>
    <row r="257" spans="1:36" ht="15" thickBot="1">
      <c r="C257" s="66" t="s">
        <v>350</v>
      </c>
      <c r="D257" s="66" t="s">
        <v>223</v>
      </c>
      <c r="E257" s="78">
        <v>1E-10</v>
      </c>
      <c r="F257" s="80">
        <v>1E-10</v>
      </c>
      <c r="G257" s="80">
        <v>1E-10</v>
      </c>
      <c r="H257" s="80">
        <v>1E-10</v>
      </c>
      <c r="I257" s="80">
        <v>1E-10</v>
      </c>
      <c r="J257" s="88">
        <v>4</v>
      </c>
      <c r="K257" s="83">
        <f>SUM(E257:J257)</f>
        <v>4.0000000005</v>
      </c>
      <c r="L257" s="66">
        <f t="shared" si="29"/>
        <v>8.9090551225284906E-2</v>
      </c>
      <c r="M257" s="85" t="s">
        <v>93</v>
      </c>
      <c r="N257" s="86">
        <f>K257</f>
        <v>4.0000000005</v>
      </c>
      <c r="O257" s="70"/>
      <c r="P257" s="136" t="s">
        <v>248</v>
      </c>
      <c r="Q257" s="100">
        <v>0.20941261477388687</v>
      </c>
      <c r="R257" s="136">
        <f>Q257/$Q$258</f>
        <v>4.8816246352578786E-3</v>
      </c>
      <c r="S257" s="100">
        <f>R257+S256</f>
        <v>0.99999999999999989</v>
      </c>
      <c r="T257" s="70"/>
      <c r="U257" s="70"/>
      <c r="V257" s="70"/>
      <c r="W257" s="70"/>
      <c r="X257" s="70"/>
      <c r="Y257" s="70"/>
      <c r="Z257" s="70"/>
      <c r="AA257" s="70"/>
      <c r="AB257" s="70"/>
      <c r="AC257" s="70"/>
      <c r="AD257" s="70"/>
      <c r="AE257" s="70"/>
      <c r="AF257" s="70"/>
      <c r="AG257" s="70"/>
      <c r="AH257" s="70"/>
      <c r="AI257" s="70"/>
      <c r="AJ257" s="70"/>
    </row>
    <row r="258" spans="1:36">
      <c r="C258" s="66" t="s">
        <v>351</v>
      </c>
      <c r="D258" s="66" t="s">
        <v>223</v>
      </c>
      <c r="E258" s="78">
        <v>1E-10</v>
      </c>
      <c r="F258" s="80">
        <v>1E-10</v>
      </c>
      <c r="G258" s="80">
        <v>1E-10</v>
      </c>
      <c r="H258" s="80">
        <v>1E-10</v>
      </c>
      <c r="I258" s="80">
        <v>1E-10</v>
      </c>
      <c r="J258" s="88">
        <v>2</v>
      </c>
      <c r="K258" s="83">
        <f t="shared" si="28"/>
        <v>2.0000000005</v>
      </c>
      <c r="L258" s="66">
        <f t="shared" si="29"/>
        <v>4.454527561821061E-2</v>
      </c>
      <c r="M258" s="70"/>
      <c r="N258" s="70">
        <f>SUM(N254:N257)</f>
        <v>42.898139537683718</v>
      </c>
      <c r="O258" s="70"/>
      <c r="P258" s="70"/>
      <c r="Q258" s="70">
        <f>SUM(Q254:Q257)</f>
        <v>42.898139537683718</v>
      </c>
      <c r="R258" s="65"/>
      <c r="S258" s="70"/>
      <c r="T258" s="70"/>
      <c r="U258" s="70"/>
      <c r="V258" s="70"/>
      <c r="W258" s="70"/>
      <c r="X258" s="70"/>
      <c r="Y258" s="70"/>
      <c r="Z258" s="70"/>
      <c r="AA258" s="70"/>
      <c r="AB258" s="70"/>
      <c r="AC258" s="70"/>
      <c r="AD258" s="70"/>
      <c r="AE258" s="70"/>
      <c r="AF258" s="70"/>
      <c r="AG258" s="70"/>
      <c r="AH258" s="70"/>
      <c r="AI258" s="70"/>
      <c r="AJ258" s="70"/>
    </row>
    <row r="259" spans="1:36">
      <c r="C259" s="66" t="s">
        <v>352</v>
      </c>
      <c r="D259" s="66" t="s">
        <v>223</v>
      </c>
      <c r="E259" s="78">
        <v>1E-10</v>
      </c>
      <c r="F259" s="80">
        <v>1E-10</v>
      </c>
      <c r="G259" s="80">
        <v>1E-10</v>
      </c>
      <c r="H259" s="80">
        <v>1E-10</v>
      </c>
      <c r="I259" s="80">
        <v>1E-10</v>
      </c>
      <c r="J259" s="81">
        <v>1E-10</v>
      </c>
      <c r="K259" s="83">
        <f t="shared" si="28"/>
        <v>6E-10</v>
      </c>
      <c r="L259" s="66">
        <f t="shared" si="29"/>
        <v>1.3363582682122287E-11</v>
      </c>
      <c r="M259" s="70"/>
      <c r="N259" s="70"/>
      <c r="O259" s="70"/>
      <c r="P259" s="70"/>
      <c r="Q259" s="70"/>
      <c r="R259" s="70"/>
      <c r="S259" s="70"/>
      <c r="T259" s="70"/>
      <c r="U259" s="70"/>
      <c r="V259" s="70"/>
      <c r="W259" s="70"/>
      <c r="X259" s="70"/>
      <c r="Y259" s="70"/>
      <c r="Z259" s="70"/>
      <c r="AA259" s="70"/>
      <c r="AB259" s="70"/>
      <c r="AC259" s="70"/>
      <c r="AD259" s="70"/>
      <c r="AE259" s="70"/>
      <c r="AF259" s="70"/>
      <c r="AG259" s="70"/>
      <c r="AH259" s="70"/>
      <c r="AI259" s="70"/>
      <c r="AJ259" s="70"/>
    </row>
    <row r="260" spans="1:36">
      <c r="C260" s="65" t="s">
        <v>353</v>
      </c>
      <c r="D260" s="66" t="s">
        <v>223</v>
      </c>
      <c r="E260" s="78">
        <v>1E-10</v>
      </c>
      <c r="F260" s="87">
        <v>3.47</v>
      </c>
      <c r="G260" s="87">
        <v>2.87</v>
      </c>
      <c r="H260" s="87">
        <v>1.91</v>
      </c>
      <c r="I260" s="87">
        <v>0.3187269211098307</v>
      </c>
      <c r="J260" s="81">
        <v>1E-10</v>
      </c>
      <c r="K260" s="83">
        <f>SUM(E260:J260)</f>
        <v>8.56872692130983</v>
      </c>
      <c r="L260" s="66">
        <f t="shared" si="29"/>
        <v>0.19084815115575177</v>
      </c>
      <c r="M260" s="70"/>
      <c r="N260" s="70"/>
      <c r="O260" s="70"/>
      <c r="P260" s="70"/>
      <c r="Q260" s="70"/>
      <c r="R260" s="70"/>
      <c r="S260" s="70"/>
      <c r="T260" s="70"/>
      <c r="U260" s="70"/>
      <c r="V260" s="70"/>
      <c r="W260" s="70"/>
      <c r="X260" s="70"/>
      <c r="Y260" s="70"/>
      <c r="Z260" s="70"/>
      <c r="AA260" s="70"/>
      <c r="AB260" s="70"/>
      <c r="AC260" s="70"/>
      <c r="AD260" s="70"/>
      <c r="AE260" s="70"/>
      <c r="AF260" s="70"/>
      <c r="AG260" s="70"/>
      <c r="AH260" s="70"/>
      <c r="AI260" s="70"/>
      <c r="AJ260" s="70"/>
    </row>
    <row r="261" spans="1:36">
      <c r="C261" s="65" t="s">
        <v>354</v>
      </c>
      <c r="D261" s="66" t="s">
        <v>223</v>
      </c>
      <c r="E261" s="135">
        <v>1.1200000000000001</v>
      </c>
      <c r="F261" s="80">
        <v>1E-10</v>
      </c>
      <c r="G261" s="80">
        <v>1E-10</v>
      </c>
      <c r="H261" s="80">
        <v>1E-10</v>
      </c>
      <c r="I261" s="80">
        <v>1E-10</v>
      </c>
      <c r="J261" s="81">
        <v>1E-10</v>
      </c>
      <c r="K261" s="83">
        <f t="shared" si="28"/>
        <v>1.1200000005000001</v>
      </c>
      <c r="L261" s="66">
        <f t="shared" si="29"/>
        <v>2.4945354351097924E-2</v>
      </c>
      <c r="M261" s="70"/>
      <c r="N261" s="70"/>
      <c r="O261" s="70"/>
      <c r="P261" s="70"/>
      <c r="Q261" s="70"/>
      <c r="R261" s="70"/>
      <c r="S261" s="70"/>
      <c r="T261" s="70"/>
      <c r="U261" s="70"/>
      <c r="V261" s="70"/>
      <c r="W261" s="70"/>
      <c r="X261" s="70"/>
      <c r="Y261" s="70"/>
      <c r="Z261" s="70"/>
      <c r="AA261" s="70"/>
      <c r="AB261" s="70"/>
      <c r="AC261" s="70"/>
      <c r="AD261" s="70"/>
      <c r="AE261" s="70"/>
      <c r="AF261" s="70"/>
      <c r="AG261" s="70"/>
      <c r="AH261" s="70"/>
      <c r="AI261" s="70"/>
      <c r="AJ261" s="70"/>
    </row>
    <row r="262" spans="1:36" ht="15" thickBot="1">
      <c r="C262" s="65" t="s">
        <v>355</v>
      </c>
      <c r="D262" s="66" t="s">
        <v>223</v>
      </c>
      <c r="E262" s="89">
        <v>1E-10</v>
      </c>
      <c r="F262" s="90">
        <v>1E-10</v>
      </c>
      <c r="G262" s="90">
        <v>1E-10</v>
      </c>
      <c r="H262" s="90">
        <v>1E-10</v>
      </c>
      <c r="I262" s="149">
        <v>5.1273078890169292E-2</v>
      </c>
      <c r="J262" s="92">
        <v>1E-10</v>
      </c>
      <c r="K262" s="83">
        <f t="shared" si="28"/>
        <v>5.1273079390169292E-2</v>
      </c>
      <c r="L262" s="66">
        <f t="shared" si="29"/>
        <v>1.1419867263292459E-3</v>
      </c>
      <c r="M262" s="70"/>
      <c r="N262" s="70"/>
      <c r="O262" s="70"/>
      <c r="P262" s="70"/>
      <c r="Q262" s="70"/>
      <c r="R262" s="70"/>
      <c r="S262" s="70"/>
      <c r="T262" s="70"/>
      <c r="U262" s="70"/>
      <c r="V262" s="70"/>
      <c r="W262" s="70"/>
      <c r="X262" s="70"/>
      <c r="Y262" s="70"/>
      <c r="Z262" s="70"/>
      <c r="AA262" s="70"/>
      <c r="AB262" s="70"/>
      <c r="AC262" s="70"/>
      <c r="AD262" s="70"/>
      <c r="AE262" s="70"/>
      <c r="AF262" s="70"/>
      <c r="AG262" s="70"/>
      <c r="AH262" s="70"/>
      <c r="AI262" s="70"/>
      <c r="AJ262" s="70"/>
    </row>
    <row r="263" spans="1:36" ht="15" thickBot="1">
      <c r="B263" s="65"/>
      <c r="C263" s="65"/>
      <c r="D263" s="65"/>
      <c r="E263" s="93">
        <f t="shared" ref="E263:J263" si="30">SUM(E254:E262)</f>
        <v>11.244684869546058</v>
      </c>
      <c r="F263" s="93">
        <f t="shared" si="30"/>
        <v>7.9251354864515751</v>
      </c>
      <c r="G263" s="93">
        <f t="shared" si="30"/>
        <v>8.3532436754711696</v>
      </c>
      <c r="H263" s="93">
        <f t="shared" si="30"/>
        <v>8.9885839687774371</v>
      </c>
      <c r="I263" s="93">
        <f t="shared" si="30"/>
        <v>1.5111764067835334</v>
      </c>
      <c r="J263" s="93">
        <f t="shared" si="30"/>
        <v>6.8753151317539425</v>
      </c>
      <c r="K263" s="118">
        <f>SUM(E263:J263)</f>
        <v>44.898139538783717</v>
      </c>
      <c r="M263" s="70"/>
      <c r="N263" s="70"/>
      <c r="O263" s="70"/>
      <c r="P263" s="70"/>
      <c r="Q263" s="70"/>
      <c r="R263" s="70"/>
      <c r="S263" s="70"/>
      <c r="T263" s="70"/>
      <c r="U263" s="70"/>
      <c r="V263" s="70"/>
      <c r="W263" s="70"/>
      <c r="X263" s="70"/>
      <c r="Y263" s="70"/>
      <c r="Z263" s="70"/>
      <c r="AA263" s="70"/>
      <c r="AB263" s="70"/>
      <c r="AC263" s="70"/>
      <c r="AD263" s="70"/>
      <c r="AE263" s="70"/>
      <c r="AF263" s="70"/>
      <c r="AG263" s="70"/>
      <c r="AH263" s="70"/>
      <c r="AI263" s="70"/>
      <c r="AJ263" s="70"/>
    </row>
    <row r="264" spans="1:36">
      <c r="M264" s="70"/>
      <c r="N264" s="70"/>
      <c r="O264" s="70"/>
      <c r="P264" s="70"/>
      <c r="Q264" s="70"/>
      <c r="R264" s="70"/>
      <c r="S264" s="70"/>
      <c r="T264" s="70"/>
      <c r="U264" s="70"/>
      <c r="V264" s="70"/>
      <c r="W264" s="70"/>
      <c r="X264" s="70"/>
      <c r="Y264" s="70"/>
      <c r="Z264" s="70"/>
      <c r="AA264" s="70"/>
      <c r="AB264" s="70"/>
      <c r="AC264" s="70"/>
      <c r="AD264" s="70"/>
      <c r="AE264" s="70"/>
      <c r="AF264" s="70"/>
      <c r="AG264" s="70"/>
      <c r="AH264" s="70"/>
      <c r="AI264" s="70"/>
      <c r="AJ264" s="70"/>
    </row>
    <row r="266" spans="1:36">
      <c r="J266" s="70"/>
      <c r="M266" s="70"/>
      <c r="Q266" s="70"/>
    </row>
    <row r="267" spans="1:36" ht="125.4">
      <c r="A267" s="64">
        <v>8</v>
      </c>
      <c r="B267" s="66" t="s">
        <v>224</v>
      </c>
      <c r="C267" s="65"/>
      <c r="D267" s="65"/>
      <c r="E267" s="106" t="s">
        <v>356</v>
      </c>
      <c r="F267" s="106" t="s">
        <v>357</v>
      </c>
      <c r="I267" s="106"/>
      <c r="J267" s="106"/>
      <c r="M267" s="106"/>
      <c r="N267" s="106"/>
      <c r="Q267" s="106"/>
      <c r="R267" s="106"/>
    </row>
    <row r="268" spans="1:36">
      <c r="A268" s="68" t="s">
        <v>358</v>
      </c>
      <c r="B268" s="65"/>
      <c r="C268" s="65" t="s">
        <v>235</v>
      </c>
      <c r="D268" s="65"/>
      <c r="E268" s="69" t="s">
        <v>236</v>
      </c>
      <c r="F268" s="69" t="s">
        <v>236</v>
      </c>
    </row>
    <row r="269" spans="1:36" ht="15" thickBot="1">
      <c r="B269" s="65"/>
      <c r="C269" s="65"/>
      <c r="D269" s="65"/>
      <c r="E269" s="70" t="s">
        <v>256</v>
      </c>
      <c r="F269" s="65"/>
      <c r="H269" s="70" t="s">
        <v>238</v>
      </c>
      <c r="I269" s="70" t="s">
        <v>568</v>
      </c>
      <c r="J269" s="70"/>
      <c r="L269" s="70" t="s">
        <v>569</v>
      </c>
      <c r="M269" s="70"/>
      <c r="N269" s="70" t="s">
        <v>238</v>
      </c>
      <c r="O269" s="70" t="s">
        <v>240</v>
      </c>
    </row>
    <row r="270" spans="1:36">
      <c r="B270" s="65" t="s">
        <v>359</v>
      </c>
      <c r="C270" s="65" t="s">
        <v>223</v>
      </c>
      <c r="D270" s="65"/>
      <c r="E270" s="75">
        <v>2.6491296694699784</v>
      </c>
      <c r="F270" s="72">
        <v>0.80909481995352839</v>
      </c>
      <c r="G270" s="113">
        <f>SUM(E270:F270)</f>
        <v>3.4582244894235066</v>
      </c>
      <c r="H270" s="66">
        <f>G270/$G$280</f>
        <v>0.21428571428571427</v>
      </c>
      <c r="I270" s="75" t="s">
        <v>106</v>
      </c>
      <c r="J270" s="83">
        <f>G270+G271</f>
        <v>11.24087636419279</v>
      </c>
      <c r="L270" s="75" t="s">
        <v>106</v>
      </c>
      <c r="M270" s="76">
        <v>11.24087636419279</v>
      </c>
      <c r="N270" s="72">
        <f t="shared" ref="N270:N276" si="31">M270/$M$277</f>
        <v>0.81261904761904757</v>
      </c>
      <c r="O270" s="77">
        <f>N270</f>
        <v>0.81261904761904757</v>
      </c>
    </row>
    <row r="271" spans="1:36">
      <c r="B271" s="65" t="s">
        <v>360</v>
      </c>
      <c r="C271" s="65" t="s">
        <v>223</v>
      </c>
      <c r="D271" s="65"/>
      <c r="E271" s="82">
        <v>5.9618032466262472</v>
      </c>
      <c r="F271" s="79">
        <v>1.8208486281430361</v>
      </c>
      <c r="G271" s="115">
        <f t="shared" ref="G271:G279" si="32">SUM(E271:F271)</f>
        <v>7.7826518747692832</v>
      </c>
      <c r="H271" s="66">
        <f t="shared" ref="H271:H279" si="33">G271/$G$280</f>
        <v>0.48224489795918368</v>
      </c>
      <c r="I271" s="82" t="s">
        <v>102</v>
      </c>
      <c r="J271" s="83">
        <f>G272</f>
        <v>0.16467735663921462</v>
      </c>
      <c r="L271" s="82" t="s">
        <v>361</v>
      </c>
      <c r="M271" s="83">
        <v>1.317418853113717</v>
      </c>
      <c r="N271" s="79">
        <f t="shared" si="31"/>
        <v>9.5238095238095233E-2</v>
      </c>
      <c r="O271" s="84">
        <f t="shared" ref="O271:O276" si="34">O270+N271</f>
        <v>0.90785714285714281</v>
      </c>
    </row>
    <row r="272" spans="1:36">
      <c r="B272" s="65" t="s">
        <v>102</v>
      </c>
      <c r="C272" s="65" t="s">
        <v>223</v>
      </c>
      <c r="D272" s="65"/>
      <c r="E272" s="82">
        <v>0.12614903187952278</v>
      </c>
      <c r="F272" s="79">
        <v>3.8528324759691826E-2</v>
      </c>
      <c r="G272" s="115">
        <f t="shared" si="32"/>
        <v>0.16467735663921462</v>
      </c>
      <c r="H272" s="66">
        <f t="shared" si="33"/>
        <v>1.0204081632653062E-2</v>
      </c>
      <c r="I272" s="135" t="s">
        <v>362</v>
      </c>
      <c r="J272" s="83">
        <f>G273</f>
        <v>0.32935471327842925</v>
      </c>
      <c r="L272" s="82" t="s">
        <v>93</v>
      </c>
      <c r="M272" s="83">
        <v>0.65870942655685827</v>
      </c>
      <c r="N272" s="79">
        <f t="shared" si="31"/>
        <v>4.7619047619047603E-2</v>
      </c>
      <c r="O272" s="84">
        <f t="shared" si="34"/>
        <v>0.95547619047619037</v>
      </c>
    </row>
    <row r="273" spans="1:53">
      <c r="B273" s="65" t="s">
        <v>362</v>
      </c>
      <c r="C273" s="65" t="s">
        <v>223</v>
      </c>
      <c r="D273" s="65"/>
      <c r="E273" s="82">
        <v>0.25229806375904557</v>
      </c>
      <c r="F273" s="79">
        <v>7.7056649519383652E-2</v>
      </c>
      <c r="G273" s="115">
        <f t="shared" si="32"/>
        <v>0.32935471327842925</v>
      </c>
      <c r="H273" s="66">
        <f t="shared" si="33"/>
        <v>2.0408163265306124E-2</v>
      </c>
      <c r="I273" s="135" t="s">
        <v>361</v>
      </c>
      <c r="J273" s="83">
        <f>G274</f>
        <v>1.317418853113717</v>
      </c>
      <c r="L273" s="82" t="s">
        <v>362</v>
      </c>
      <c r="M273" s="83">
        <v>0.32935471327842925</v>
      </c>
      <c r="N273" s="79">
        <f t="shared" si="31"/>
        <v>2.3809523809523808E-2</v>
      </c>
      <c r="O273" s="83">
        <f t="shared" si="34"/>
        <v>0.9792857142857142</v>
      </c>
    </row>
    <row r="274" spans="1:53">
      <c r="B274" s="65" t="s">
        <v>361</v>
      </c>
      <c r="C274" s="65" t="s">
        <v>223</v>
      </c>
      <c r="D274" s="65"/>
      <c r="E274" s="82">
        <v>1.0091922550361823</v>
      </c>
      <c r="F274" s="79">
        <v>0.30822659807753461</v>
      </c>
      <c r="G274" s="115">
        <f t="shared" si="32"/>
        <v>1.317418853113717</v>
      </c>
      <c r="H274" s="66">
        <f t="shared" si="33"/>
        <v>8.1632653061224497E-2</v>
      </c>
      <c r="I274" s="135" t="s">
        <v>363</v>
      </c>
      <c r="J274" s="83">
        <f>G276</f>
        <v>0.11692092321384237</v>
      </c>
      <c r="L274" s="82" t="s">
        <v>102</v>
      </c>
      <c r="M274" s="83">
        <v>0.16467735663921462</v>
      </c>
      <c r="N274" s="79">
        <f t="shared" si="31"/>
        <v>1.1904761904761904E-2</v>
      </c>
      <c r="O274" s="83">
        <f t="shared" si="34"/>
        <v>0.99119047619047607</v>
      </c>
    </row>
    <row r="275" spans="1:53">
      <c r="B275" s="65" t="s">
        <v>364</v>
      </c>
      <c r="C275" s="65" t="s">
        <v>223</v>
      </c>
      <c r="D275" s="65"/>
      <c r="E275" s="82">
        <v>1.766086446313319</v>
      </c>
      <c r="F275" s="79">
        <v>0.5393965466356857</v>
      </c>
      <c r="G275" s="115">
        <f t="shared" si="32"/>
        <v>2.3054829929490048</v>
      </c>
      <c r="H275" s="66">
        <f t="shared" si="33"/>
        <v>0.14285714285714288</v>
      </c>
      <c r="I275" s="135" t="s">
        <v>365</v>
      </c>
      <c r="J275" s="83">
        <f>G277</f>
        <v>4.9403206991764379E-3</v>
      </c>
      <c r="L275" s="82" t="s">
        <v>363</v>
      </c>
      <c r="M275" s="83">
        <v>0.11692092321384237</v>
      </c>
      <c r="N275" s="79">
        <f t="shared" si="31"/>
        <v>8.4523809523809525E-3</v>
      </c>
      <c r="O275" s="83">
        <f t="shared" si="34"/>
        <v>0.99964285714285706</v>
      </c>
    </row>
    <row r="276" spans="1:53" ht="15" thickBot="1">
      <c r="B276" s="65" t="s">
        <v>363</v>
      </c>
      <c r="C276" s="65" t="s">
        <v>223</v>
      </c>
      <c r="D276" s="65"/>
      <c r="E276" s="82">
        <v>8.9565812634461173E-2</v>
      </c>
      <c r="F276" s="79">
        <v>2.7355110579381198E-2</v>
      </c>
      <c r="G276" s="115">
        <f t="shared" si="32"/>
        <v>0.11692092321384237</v>
      </c>
      <c r="H276" s="66">
        <f t="shared" si="33"/>
        <v>7.2448979591836727E-3</v>
      </c>
      <c r="I276" s="136" t="s">
        <v>93</v>
      </c>
      <c r="J276" s="86">
        <f>G278+G279</f>
        <v>0.65870942655685827</v>
      </c>
      <c r="L276" s="85" t="s">
        <v>365</v>
      </c>
      <c r="M276" s="86">
        <v>4.9403206991764379E-3</v>
      </c>
      <c r="N276" s="91">
        <f t="shared" si="31"/>
        <v>3.5714285714285709E-4</v>
      </c>
      <c r="O276" s="86">
        <f t="shared" si="34"/>
        <v>0.99999999999999989</v>
      </c>
    </row>
    <row r="277" spans="1:53" ht="15" thickBot="1">
      <c r="B277" s="65" t="s">
        <v>365</v>
      </c>
      <c r="C277" s="65" t="s">
        <v>223</v>
      </c>
      <c r="D277" s="65"/>
      <c r="E277" s="82">
        <v>3.7844709563856832E-3</v>
      </c>
      <c r="F277" s="79">
        <v>1.1558497427907549E-3</v>
      </c>
      <c r="G277" s="115">
        <f t="shared" si="32"/>
        <v>4.9403206991764379E-3</v>
      </c>
      <c r="H277" s="66">
        <f t="shared" si="33"/>
        <v>3.0612244897959182E-4</v>
      </c>
      <c r="I277" s="79"/>
      <c r="J277" s="118">
        <f>SUM(J270:J276)</f>
        <v>13.832897957694026</v>
      </c>
      <c r="M277" s="118">
        <f>SUM(M270:M276)</f>
        <v>13.832897957694028</v>
      </c>
    </row>
    <row r="278" spans="1:53">
      <c r="B278" s="65" t="s">
        <v>366</v>
      </c>
      <c r="C278" s="65" t="s">
        <v>223</v>
      </c>
      <c r="D278" s="65"/>
      <c r="E278" s="82">
        <v>0.10800127641615283</v>
      </c>
      <c r="F278" s="79">
        <v>3.2985653478473008E-2</v>
      </c>
      <c r="G278" s="115">
        <f t="shared" si="32"/>
        <v>0.14098692989462583</v>
      </c>
      <c r="H278" s="66">
        <f t="shared" si="33"/>
        <v>8.7361260293591109E-3</v>
      </c>
    </row>
    <row r="279" spans="1:53" ht="15" thickBot="1">
      <c r="B279" s="65" t="s">
        <v>367</v>
      </c>
      <c r="C279" s="65" t="s">
        <v>223</v>
      </c>
      <c r="D279" s="65"/>
      <c r="E279" s="85">
        <v>0.39659485110193821</v>
      </c>
      <c r="F279" s="91">
        <v>0.1211276455602943</v>
      </c>
      <c r="G279" s="115">
        <f t="shared" si="32"/>
        <v>0.51772249666223247</v>
      </c>
      <c r="H279" s="66">
        <f t="shared" si="33"/>
        <v>3.2080200501253126E-2</v>
      </c>
    </row>
    <row r="280" spans="1:53" ht="15" thickBot="1">
      <c r="E280" s="93">
        <f>SUM(E270:E279)</f>
        <v>12.362605124193232</v>
      </c>
      <c r="F280" s="93">
        <f>SUM(F270:F279)</f>
        <v>3.7757758264497991</v>
      </c>
      <c r="G280" s="118">
        <f>SUM(E280:F280)</f>
        <v>16.138380950643032</v>
      </c>
    </row>
    <row r="282" spans="1:53" ht="174.6">
      <c r="B282" s="137"/>
      <c r="C282" s="137"/>
      <c r="D282" s="137"/>
      <c r="E282" s="111" t="s">
        <v>368</v>
      </c>
      <c r="F282" s="111" t="s">
        <v>369</v>
      </c>
      <c r="G282" s="111" t="s">
        <v>370</v>
      </c>
      <c r="H282" s="111" t="s">
        <v>371</v>
      </c>
      <c r="I282" s="111" t="s">
        <v>372</v>
      </c>
      <c r="J282" s="111" t="s">
        <v>373</v>
      </c>
      <c r="K282" s="111" t="s">
        <v>374</v>
      </c>
      <c r="L282" s="111" t="s">
        <v>375</v>
      </c>
      <c r="M282" s="111" t="s">
        <v>376</v>
      </c>
      <c r="N282" s="111" t="s">
        <v>377</v>
      </c>
      <c r="O282" s="111" t="s">
        <v>378</v>
      </c>
      <c r="P282" s="111" t="s">
        <v>379</v>
      </c>
      <c r="Q282" s="111" t="s">
        <v>380</v>
      </c>
      <c r="R282" s="111" t="s">
        <v>381</v>
      </c>
      <c r="S282" s="111" t="s">
        <v>382</v>
      </c>
      <c r="T282" s="111" t="s">
        <v>383</v>
      </c>
      <c r="U282" s="111" t="s">
        <v>384</v>
      </c>
      <c r="V282" s="111" t="s">
        <v>385</v>
      </c>
      <c r="W282" s="111" t="s">
        <v>386</v>
      </c>
      <c r="X282" s="111" t="s">
        <v>387</v>
      </c>
      <c r="Y282" s="111" t="s">
        <v>388</v>
      </c>
      <c r="Z282" s="111" t="s">
        <v>389</v>
      </c>
      <c r="AA282" s="111" t="s">
        <v>390</v>
      </c>
      <c r="AB282" s="111" t="s">
        <v>391</v>
      </c>
      <c r="AC282" s="111" t="s">
        <v>392</v>
      </c>
      <c r="AD282" s="111" t="s">
        <v>393</v>
      </c>
      <c r="AE282" s="111" t="s">
        <v>394</v>
      </c>
      <c r="AF282" s="111" t="s">
        <v>395</v>
      </c>
      <c r="AG282" s="111" t="s">
        <v>396</v>
      </c>
      <c r="AH282" s="111" t="s">
        <v>397</v>
      </c>
      <c r="AI282" s="111" t="s">
        <v>398</v>
      </c>
      <c r="AJ282" s="111" t="s">
        <v>399</v>
      </c>
      <c r="AK282" s="111" t="s">
        <v>400</v>
      </c>
      <c r="AL282" s="111" t="s">
        <v>401</v>
      </c>
      <c r="AM282" s="111" t="s">
        <v>402</v>
      </c>
      <c r="AN282" s="111" t="s">
        <v>403</v>
      </c>
      <c r="AO282" s="111" t="s">
        <v>404</v>
      </c>
      <c r="AP282" s="111" t="s">
        <v>405</v>
      </c>
      <c r="AQ282" s="111" t="s">
        <v>406</v>
      </c>
      <c r="AR282" s="111" t="s">
        <v>407</v>
      </c>
    </row>
    <row r="283" spans="1:53">
      <c r="A283" s="64">
        <v>9</v>
      </c>
      <c r="B283" s="65"/>
      <c r="C283" s="65"/>
      <c r="D283" s="65"/>
      <c r="E283" s="66" t="s">
        <v>236</v>
      </c>
      <c r="F283" s="66" t="s">
        <v>236</v>
      </c>
      <c r="G283" s="66" t="s">
        <v>236</v>
      </c>
      <c r="H283" s="66" t="s">
        <v>236</v>
      </c>
      <c r="I283" s="66" t="s">
        <v>236</v>
      </c>
      <c r="J283" s="66" t="s">
        <v>236</v>
      </c>
      <c r="K283" s="66" t="s">
        <v>236</v>
      </c>
      <c r="L283" s="66" t="s">
        <v>236</v>
      </c>
      <c r="M283" s="66" t="s">
        <v>236</v>
      </c>
      <c r="N283" s="66" t="s">
        <v>236</v>
      </c>
      <c r="O283" s="66" t="s">
        <v>236</v>
      </c>
      <c r="P283" s="66" t="s">
        <v>236</v>
      </c>
      <c r="Q283" s="66" t="s">
        <v>236</v>
      </c>
      <c r="R283" s="66" t="s">
        <v>236</v>
      </c>
      <c r="S283" s="66" t="s">
        <v>236</v>
      </c>
      <c r="T283" s="66" t="s">
        <v>236</v>
      </c>
      <c r="U283" s="66" t="s">
        <v>236</v>
      </c>
      <c r="V283" s="66" t="s">
        <v>236</v>
      </c>
      <c r="W283" s="66" t="s">
        <v>236</v>
      </c>
      <c r="X283" s="66" t="s">
        <v>236</v>
      </c>
      <c r="Y283" s="66" t="s">
        <v>236</v>
      </c>
      <c r="Z283" s="66" t="s">
        <v>236</v>
      </c>
      <c r="AA283" s="66" t="s">
        <v>236</v>
      </c>
      <c r="AB283" s="66" t="s">
        <v>236</v>
      </c>
      <c r="AC283" s="66" t="s">
        <v>236</v>
      </c>
      <c r="AD283" s="66" t="s">
        <v>236</v>
      </c>
      <c r="AE283" s="66" t="s">
        <v>236</v>
      </c>
      <c r="AF283" s="66" t="s">
        <v>236</v>
      </c>
      <c r="AG283" s="66" t="s">
        <v>236</v>
      </c>
      <c r="AH283" s="103" t="s">
        <v>236</v>
      </c>
      <c r="AI283" s="66" t="s">
        <v>236</v>
      </c>
      <c r="AJ283" s="66" t="s">
        <v>236</v>
      </c>
      <c r="AK283" s="66" t="s">
        <v>236</v>
      </c>
      <c r="AL283" s="66" t="s">
        <v>236</v>
      </c>
      <c r="AM283" s="66" t="s">
        <v>236</v>
      </c>
      <c r="AN283" s="66" t="s">
        <v>236</v>
      </c>
      <c r="AO283" s="66" t="s">
        <v>236</v>
      </c>
      <c r="AP283" s="66" t="s">
        <v>236</v>
      </c>
      <c r="AQ283" s="66" t="s">
        <v>236</v>
      </c>
      <c r="AR283" s="66" t="s">
        <v>236</v>
      </c>
      <c r="AU283" s="528" t="s">
        <v>408</v>
      </c>
      <c r="AV283" s="528"/>
    </row>
    <row r="284" spans="1:53" ht="15" thickBot="1">
      <c r="A284" s="68" t="s">
        <v>409</v>
      </c>
      <c r="B284" s="138"/>
      <c r="C284" s="138"/>
      <c r="D284" s="138"/>
      <c r="E284" s="139"/>
      <c r="I284" s="139"/>
      <c r="M284" s="139"/>
      <c r="S284" s="139"/>
      <c r="W284" s="139"/>
      <c r="AA284" s="139"/>
      <c r="AD284" s="139"/>
      <c r="AH284" s="103"/>
      <c r="AK284" s="139"/>
      <c r="AO284" s="139"/>
      <c r="AT284" s="70" t="s">
        <v>238</v>
      </c>
      <c r="AU284" s="70" t="s">
        <v>568</v>
      </c>
      <c r="AV284" s="70"/>
      <c r="AW284" s="70" t="s">
        <v>238</v>
      </c>
      <c r="AX284" s="70" t="s">
        <v>569</v>
      </c>
      <c r="AY284" s="70"/>
      <c r="AZ284" s="70" t="s">
        <v>238</v>
      </c>
      <c r="BA284" s="70" t="s">
        <v>240</v>
      </c>
    </row>
    <row r="285" spans="1:53">
      <c r="B285" s="112" t="s">
        <v>241</v>
      </c>
      <c r="C285" s="140" t="s">
        <v>410</v>
      </c>
      <c r="D285" s="140" t="s">
        <v>223</v>
      </c>
      <c r="E285" s="71">
        <v>1E-10</v>
      </c>
      <c r="F285" s="73">
        <v>1E-10</v>
      </c>
      <c r="G285" s="73">
        <v>1E-10</v>
      </c>
      <c r="H285" s="73">
        <v>1E-10</v>
      </c>
      <c r="I285" s="73">
        <v>1E-10</v>
      </c>
      <c r="J285" s="73">
        <v>1E-10</v>
      </c>
      <c r="K285" s="73">
        <v>1E-10</v>
      </c>
      <c r="L285" s="73">
        <v>1E-10</v>
      </c>
      <c r="M285" s="73">
        <v>1E-10</v>
      </c>
      <c r="N285" s="73">
        <v>1E-10</v>
      </c>
      <c r="O285" s="73">
        <v>1E-10</v>
      </c>
      <c r="P285" s="73">
        <v>1E-10</v>
      </c>
      <c r="Q285" s="73">
        <v>1E-10</v>
      </c>
      <c r="R285" s="73">
        <v>1E-10</v>
      </c>
      <c r="S285" s="73">
        <v>1E-10</v>
      </c>
      <c r="T285" s="73">
        <v>1E-10</v>
      </c>
      <c r="U285" s="73">
        <v>1E-10</v>
      </c>
      <c r="V285" s="73">
        <v>1E-10</v>
      </c>
      <c r="W285" s="73">
        <v>1E-10</v>
      </c>
      <c r="X285" s="73">
        <v>1E-10</v>
      </c>
      <c r="Y285" s="73">
        <v>1E-10</v>
      </c>
      <c r="Z285" s="73">
        <v>1E-10</v>
      </c>
      <c r="AA285" s="73">
        <v>1E-10</v>
      </c>
      <c r="AB285" s="73">
        <v>1E-10</v>
      </c>
      <c r="AC285" s="73">
        <v>1E-10</v>
      </c>
      <c r="AD285" s="73">
        <v>1E-10</v>
      </c>
      <c r="AE285" s="73">
        <v>1E-10</v>
      </c>
      <c r="AF285" s="73">
        <v>1E-10</v>
      </c>
      <c r="AG285" s="73">
        <v>1E-10</v>
      </c>
      <c r="AH285" s="73">
        <v>1E-10</v>
      </c>
      <c r="AI285" s="73">
        <v>1E-10</v>
      </c>
      <c r="AJ285" s="73">
        <v>1E-10</v>
      </c>
      <c r="AK285" s="73">
        <v>1E-10</v>
      </c>
      <c r="AL285" s="73">
        <v>1E-10</v>
      </c>
      <c r="AM285" s="73">
        <v>1E-10</v>
      </c>
      <c r="AN285" s="73">
        <v>1E-10</v>
      </c>
      <c r="AO285" s="73">
        <v>1E-10</v>
      </c>
      <c r="AP285" s="73">
        <v>1E-10</v>
      </c>
      <c r="AQ285" s="73">
        <v>1E-10</v>
      </c>
      <c r="AR285" s="74">
        <v>1E-10</v>
      </c>
      <c r="AS285" s="113">
        <f t="shared" ref="AS285:AS323" si="35">SUM(E285:AR285)</f>
        <v>4.0000000000000019E-9</v>
      </c>
      <c r="AT285" s="66">
        <f>AS285/$AS$324</f>
        <v>1.6830302399455109E-11</v>
      </c>
      <c r="AU285" s="66" t="s">
        <v>86</v>
      </c>
      <c r="AV285" s="66">
        <f>SUM(AS286:AS291)</f>
        <v>70.560906011270006</v>
      </c>
      <c r="AW285" s="66">
        <f>AV285/$AV$295</f>
        <v>0.29689034645229112</v>
      </c>
      <c r="AX285" s="75" t="s">
        <v>93</v>
      </c>
      <c r="AY285" s="76">
        <v>118.76382461456001</v>
      </c>
      <c r="AZ285" s="75">
        <f>AY285/$AY$295</f>
        <v>0.49970777061995419</v>
      </c>
      <c r="BA285" s="77">
        <f>AZ285</f>
        <v>0.49970777061995419</v>
      </c>
    </row>
    <row r="286" spans="1:53">
      <c r="C286" s="140" t="s">
        <v>411</v>
      </c>
      <c r="D286" s="140" t="s">
        <v>223</v>
      </c>
      <c r="E286" s="78">
        <v>1E-10</v>
      </c>
      <c r="F286" s="80">
        <v>1E-10</v>
      </c>
      <c r="G286" s="80">
        <v>1E-10</v>
      </c>
      <c r="H286" s="80">
        <v>1E-10</v>
      </c>
      <c r="I286" s="80">
        <v>1E-10</v>
      </c>
      <c r="J286" s="80">
        <v>1E-10</v>
      </c>
      <c r="K286" s="80">
        <v>1E-10</v>
      </c>
      <c r="L286" s="80">
        <v>1E-10</v>
      </c>
      <c r="M286" s="103">
        <v>0.42909838202</v>
      </c>
      <c r="N286" s="80">
        <v>1E-10</v>
      </c>
      <c r="O286" s="80">
        <v>1E-10</v>
      </c>
      <c r="P286" s="80">
        <v>1E-10</v>
      </c>
      <c r="Q286" s="80">
        <v>1E-10</v>
      </c>
      <c r="R286" s="80">
        <v>1E-10</v>
      </c>
      <c r="S286" s="80">
        <v>1E-10</v>
      </c>
      <c r="T286" s="80">
        <v>1E-10</v>
      </c>
      <c r="U286" s="103">
        <v>11.058581980600001</v>
      </c>
      <c r="V286" s="80">
        <v>1E-10</v>
      </c>
      <c r="W286" s="80">
        <v>1E-10</v>
      </c>
      <c r="X286" s="80">
        <v>1E-10</v>
      </c>
      <c r="Y286" s="80">
        <v>1E-10</v>
      </c>
      <c r="Z286" s="103">
        <v>6.5566777083499996</v>
      </c>
      <c r="AA286" s="80">
        <v>1E-10</v>
      </c>
      <c r="AB286" s="80">
        <v>1E-10</v>
      </c>
      <c r="AC286" s="80">
        <v>1E-10</v>
      </c>
      <c r="AD286" s="80">
        <v>1E-10</v>
      </c>
      <c r="AE286" s="80">
        <v>1E-10</v>
      </c>
      <c r="AF286" s="80">
        <v>1E-10</v>
      </c>
      <c r="AG286" s="103">
        <v>34.727031847200003</v>
      </c>
      <c r="AH286" s="80">
        <v>1E-10</v>
      </c>
      <c r="AI286" s="80">
        <v>1E-10</v>
      </c>
      <c r="AJ286" s="103">
        <v>4.9895160700000005</v>
      </c>
      <c r="AK286" s="80">
        <v>1E-10</v>
      </c>
      <c r="AL286" s="80">
        <v>1E-10</v>
      </c>
      <c r="AM286" s="80">
        <v>1E-10</v>
      </c>
      <c r="AN286" s="80">
        <v>1E-10</v>
      </c>
      <c r="AO286" s="80">
        <v>1E-10</v>
      </c>
      <c r="AP286" s="80">
        <v>1E-10</v>
      </c>
      <c r="AQ286" s="80">
        <v>1E-10</v>
      </c>
      <c r="AR286" s="81">
        <v>1E-10</v>
      </c>
      <c r="AS286" s="115">
        <f t="shared" si="35"/>
        <v>57.760905991670008</v>
      </c>
      <c r="AT286" s="66">
        <f t="shared" ref="AT286:AT323" si="36">AS286/$AS$324</f>
        <v>0.24303337867657607</v>
      </c>
      <c r="AU286" s="66" t="s">
        <v>103</v>
      </c>
      <c r="AV286" s="66">
        <f>SUM(AS292:AS295)</f>
        <v>18.462629997730001</v>
      </c>
      <c r="AW286" s="66">
        <f t="shared" ref="AW286:AW294" si="37">AV286/$AV$295</f>
        <v>7.768291149168402E-2</v>
      </c>
      <c r="AX286" s="82" t="s">
        <v>86</v>
      </c>
      <c r="AY286" s="83">
        <v>70.560906011270006</v>
      </c>
      <c r="AZ286" s="82">
        <f t="shared" ref="AZ286:AZ294" si="38">AY286/$AY$295</f>
        <v>0.29689034645229112</v>
      </c>
      <c r="BA286" s="84">
        <f>BA285+AZ286</f>
        <v>0.79659811707224537</v>
      </c>
    </row>
    <row r="287" spans="1:53">
      <c r="C287" s="112" t="s">
        <v>412</v>
      </c>
      <c r="D287" s="140" t="s">
        <v>223</v>
      </c>
      <c r="E287" s="78">
        <v>1E-10</v>
      </c>
      <c r="F287" s="80">
        <v>1E-10</v>
      </c>
      <c r="G287" s="80">
        <v>1E-10</v>
      </c>
      <c r="H287" s="80">
        <v>1E-10</v>
      </c>
      <c r="I287" s="80">
        <v>1E-10</v>
      </c>
      <c r="J287" s="80">
        <v>1E-10</v>
      </c>
      <c r="K287" s="80">
        <v>1E-10</v>
      </c>
      <c r="L287" s="80">
        <v>1E-10</v>
      </c>
      <c r="M287" s="80">
        <v>1E-10</v>
      </c>
      <c r="N287" s="80">
        <v>1E-10</v>
      </c>
      <c r="O287" s="80">
        <v>1E-10</v>
      </c>
      <c r="P287" s="80">
        <v>1E-10</v>
      </c>
      <c r="Q287" s="80">
        <v>1E-10</v>
      </c>
      <c r="R287" s="80">
        <v>1E-10</v>
      </c>
      <c r="S287" s="80">
        <v>1E-10</v>
      </c>
      <c r="T287" s="80">
        <v>1E-10</v>
      </c>
      <c r="U287" s="80">
        <v>1E-10</v>
      </c>
      <c r="V287" s="80">
        <v>1E-10</v>
      </c>
      <c r="W287" s="80">
        <v>1E-10</v>
      </c>
      <c r="X287" s="80">
        <v>1E-10</v>
      </c>
      <c r="Y287" s="80">
        <v>1E-10</v>
      </c>
      <c r="Z287" s="80">
        <v>1E-10</v>
      </c>
      <c r="AA287" s="80">
        <v>1E-10</v>
      </c>
      <c r="AB287" s="80">
        <v>1E-10</v>
      </c>
      <c r="AC287" s="80">
        <v>1E-10</v>
      </c>
      <c r="AD287" s="80">
        <v>1E-10</v>
      </c>
      <c r="AE287" s="80">
        <v>1E-10</v>
      </c>
      <c r="AF287" s="80">
        <v>1E-10</v>
      </c>
      <c r="AG287" s="80">
        <v>1E-10</v>
      </c>
      <c r="AH287" s="103">
        <v>6.2</v>
      </c>
      <c r="AI287" s="80">
        <v>1E-10</v>
      </c>
      <c r="AJ287" s="80">
        <v>1E-10</v>
      </c>
      <c r="AK287" s="80">
        <v>1E-10</v>
      </c>
      <c r="AL287" s="80">
        <v>1E-10</v>
      </c>
      <c r="AM287" s="80">
        <v>1E-10</v>
      </c>
      <c r="AN287" s="80">
        <v>1E-10</v>
      </c>
      <c r="AO287" s="80">
        <v>1E-10</v>
      </c>
      <c r="AP287" s="80">
        <v>1E-10</v>
      </c>
      <c r="AQ287" s="80">
        <v>1E-10</v>
      </c>
      <c r="AR287" s="81">
        <v>1E-10</v>
      </c>
      <c r="AS287" s="115">
        <f t="shared" si="35"/>
        <v>6.2000000039000005</v>
      </c>
      <c r="AT287" s="66">
        <f t="shared" si="36"/>
        <v>2.6086968735564955E-2</v>
      </c>
      <c r="AU287" s="66" t="str">
        <f>C296</f>
        <v>Copper</v>
      </c>
      <c r="AV287" s="66">
        <f>AS296</f>
        <v>11.515803093260001</v>
      </c>
      <c r="AW287" s="66">
        <f t="shared" si="37"/>
        <v>4.8453612110483033E-2</v>
      </c>
      <c r="AX287" s="82" t="s">
        <v>103</v>
      </c>
      <c r="AY287" s="83">
        <v>18.462629997730001</v>
      </c>
      <c r="AZ287" s="82">
        <f t="shared" si="38"/>
        <v>7.768291149168402E-2</v>
      </c>
      <c r="BA287" s="84">
        <f t="shared" ref="BA287:BA294" si="39">BA286+AZ287</f>
        <v>0.87428102856392942</v>
      </c>
    </row>
    <row r="288" spans="1:53">
      <c r="C288" s="112" t="s">
        <v>413</v>
      </c>
      <c r="D288" s="140" t="s">
        <v>223</v>
      </c>
      <c r="E288" s="78">
        <v>1E-10</v>
      </c>
      <c r="F288" s="80">
        <v>1E-10</v>
      </c>
      <c r="G288" s="80">
        <v>1E-10</v>
      </c>
      <c r="H288" s="80">
        <v>1E-10</v>
      </c>
      <c r="I288" s="80">
        <v>1E-10</v>
      </c>
      <c r="J288" s="80">
        <v>1E-10</v>
      </c>
      <c r="K288" s="80">
        <v>1E-10</v>
      </c>
      <c r="L288" s="80">
        <v>1E-10</v>
      </c>
      <c r="M288" s="80">
        <v>1E-10</v>
      </c>
      <c r="N288" s="80">
        <v>1E-10</v>
      </c>
      <c r="O288" s="80">
        <v>1E-10</v>
      </c>
      <c r="P288" s="80">
        <v>1E-10</v>
      </c>
      <c r="Q288" s="80">
        <v>1E-10</v>
      </c>
      <c r="R288" s="80">
        <v>1E-10</v>
      </c>
      <c r="S288" s="80">
        <v>1E-10</v>
      </c>
      <c r="T288" s="80">
        <v>1E-10</v>
      </c>
      <c r="U288" s="80">
        <v>1E-10</v>
      </c>
      <c r="V288" s="80">
        <v>1E-10</v>
      </c>
      <c r="W288" s="80">
        <v>1E-10</v>
      </c>
      <c r="X288" s="80">
        <v>1E-10</v>
      </c>
      <c r="Y288" s="80">
        <v>1E-10</v>
      </c>
      <c r="Z288" s="80">
        <v>1E-10</v>
      </c>
      <c r="AA288" s="80">
        <v>1E-10</v>
      </c>
      <c r="AB288" s="80">
        <v>1E-10</v>
      </c>
      <c r="AC288" s="80">
        <v>1E-10</v>
      </c>
      <c r="AD288" s="80">
        <v>1E-10</v>
      </c>
      <c r="AE288" s="80">
        <v>1E-10</v>
      </c>
      <c r="AF288" s="80">
        <v>1E-10</v>
      </c>
      <c r="AG288" s="80">
        <v>1E-10</v>
      </c>
      <c r="AH288" s="103">
        <v>0.1</v>
      </c>
      <c r="AI288" s="80">
        <v>1E-10</v>
      </c>
      <c r="AJ288" s="80">
        <v>1E-10</v>
      </c>
      <c r="AK288" s="80">
        <v>1E-10</v>
      </c>
      <c r="AL288" s="80">
        <v>1E-10</v>
      </c>
      <c r="AM288" s="80">
        <v>1E-10</v>
      </c>
      <c r="AN288" s="80">
        <v>1E-10</v>
      </c>
      <c r="AO288" s="80">
        <v>1E-10</v>
      </c>
      <c r="AP288" s="80">
        <v>1E-10</v>
      </c>
      <c r="AQ288" s="80">
        <v>1E-10</v>
      </c>
      <c r="AR288" s="81">
        <v>1E-10</v>
      </c>
      <c r="AS288" s="115">
        <f t="shared" si="35"/>
        <v>0.10000000389999995</v>
      </c>
      <c r="AT288" s="66">
        <f t="shared" si="36"/>
        <v>4.2075757639592221E-4</v>
      </c>
      <c r="AU288" s="66" t="str">
        <f>C297</f>
        <v>Magnesium</v>
      </c>
      <c r="AV288" s="66">
        <f>AS297</f>
        <v>0.24040396000000019</v>
      </c>
      <c r="AW288" s="66">
        <f t="shared" si="37"/>
        <v>1.0115178362577002E-3</v>
      </c>
      <c r="AX288" s="82" t="s">
        <v>91</v>
      </c>
      <c r="AY288" s="83">
        <v>11.793401623899999</v>
      </c>
      <c r="AZ288" s="82">
        <f t="shared" si="38"/>
        <v>4.9621628914620901E-2</v>
      </c>
      <c r="BA288" s="84">
        <f t="shared" si="39"/>
        <v>0.92390265747855027</v>
      </c>
    </row>
    <row r="289" spans="2:53">
      <c r="C289" s="112" t="s">
        <v>414</v>
      </c>
      <c r="D289" s="140" t="s">
        <v>223</v>
      </c>
      <c r="E289" s="78">
        <v>1E-10</v>
      </c>
      <c r="F289" s="80">
        <v>1E-10</v>
      </c>
      <c r="G289" s="80">
        <v>1E-10</v>
      </c>
      <c r="H289" s="80">
        <v>1E-10</v>
      </c>
      <c r="I289" s="80">
        <v>1E-10</v>
      </c>
      <c r="J289" s="80">
        <v>1E-10</v>
      </c>
      <c r="K289" s="80">
        <v>1E-10</v>
      </c>
      <c r="L289" s="80">
        <v>1E-10</v>
      </c>
      <c r="M289" s="80">
        <v>1E-10</v>
      </c>
      <c r="N289" s="80">
        <v>1E-10</v>
      </c>
      <c r="O289" s="80">
        <v>1E-10</v>
      </c>
      <c r="P289" s="80">
        <v>1E-10</v>
      </c>
      <c r="Q289" s="80">
        <v>1E-10</v>
      </c>
      <c r="R289" s="80">
        <v>1E-10</v>
      </c>
      <c r="S289" s="80">
        <v>1E-10</v>
      </c>
      <c r="T289" s="80">
        <v>1E-10</v>
      </c>
      <c r="U289" s="80">
        <v>1E-10</v>
      </c>
      <c r="V289" s="80">
        <v>1E-10</v>
      </c>
      <c r="W289" s="80">
        <v>1E-10</v>
      </c>
      <c r="X289" s="80">
        <v>1E-10</v>
      </c>
      <c r="Y289" s="80">
        <v>1E-10</v>
      </c>
      <c r="Z289" s="80">
        <v>1E-10</v>
      </c>
      <c r="AA289" s="80">
        <v>1E-10</v>
      </c>
      <c r="AB289" s="80">
        <v>1E-10</v>
      </c>
      <c r="AC289" s="80">
        <v>1E-10</v>
      </c>
      <c r="AD289" s="80">
        <v>1E-10</v>
      </c>
      <c r="AE289" s="80">
        <v>1E-10</v>
      </c>
      <c r="AF289" s="80">
        <v>1E-10</v>
      </c>
      <c r="AG289" s="80">
        <v>1E-10</v>
      </c>
      <c r="AH289" s="103">
        <v>5.3</v>
      </c>
      <c r="AI289" s="80">
        <v>1E-10</v>
      </c>
      <c r="AJ289" s="80">
        <v>1E-10</v>
      </c>
      <c r="AK289" s="80">
        <v>1E-10</v>
      </c>
      <c r="AL289" s="80">
        <v>1E-10</v>
      </c>
      <c r="AM289" s="80">
        <v>1E-10</v>
      </c>
      <c r="AN289" s="80">
        <v>1E-10</v>
      </c>
      <c r="AO289" s="80">
        <v>1E-10</v>
      </c>
      <c r="AP289" s="80">
        <v>1E-10</v>
      </c>
      <c r="AQ289" s="80">
        <v>1E-10</v>
      </c>
      <c r="AR289" s="81">
        <v>1E-10</v>
      </c>
      <c r="AS289" s="115">
        <f t="shared" si="35"/>
        <v>5.3000000039000001</v>
      </c>
      <c r="AT289" s="66">
        <f t="shared" si="36"/>
        <v>2.2300150695687554E-2</v>
      </c>
      <c r="AU289" s="66" t="str">
        <f>C298</f>
        <v>Zinc</v>
      </c>
      <c r="AV289" s="66">
        <f>AS298</f>
        <v>9.9790325299999955E-2</v>
      </c>
      <c r="AW289" s="66">
        <f t="shared" si="37"/>
        <v>4.1987533785594846E-4</v>
      </c>
      <c r="AX289" s="82" t="s">
        <v>102</v>
      </c>
      <c r="AY289" s="83">
        <v>11.515803093260001</v>
      </c>
      <c r="AZ289" s="82">
        <f t="shared" si="38"/>
        <v>4.8453612110483033E-2</v>
      </c>
      <c r="BA289" s="84">
        <f t="shared" si="39"/>
        <v>0.97235626958903332</v>
      </c>
    </row>
    <row r="290" spans="2:53">
      <c r="C290" s="112" t="s">
        <v>415</v>
      </c>
      <c r="D290" s="140" t="s">
        <v>223</v>
      </c>
      <c r="E290" s="78">
        <v>1E-10</v>
      </c>
      <c r="F290" s="80">
        <v>1E-10</v>
      </c>
      <c r="G290" s="80">
        <v>1E-10</v>
      </c>
      <c r="H290" s="80">
        <v>1E-10</v>
      </c>
      <c r="I290" s="80">
        <v>1E-10</v>
      </c>
      <c r="J290" s="80">
        <v>1E-10</v>
      </c>
      <c r="K290" s="80">
        <v>1E-10</v>
      </c>
      <c r="L290" s="80">
        <v>1E-10</v>
      </c>
      <c r="M290" s="80">
        <v>1E-10</v>
      </c>
      <c r="N290" s="80">
        <v>1E-10</v>
      </c>
      <c r="O290" s="80">
        <v>1E-10</v>
      </c>
      <c r="P290" s="80">
        <v>1E-10</v>
      </c>
      <c r="Q290" s="80">
        <v>1E-10</v>
      </c>
      <c r="R290" s="80">
        <v>1E-10</v>
      </c>
      <c r="S290" s="80">
        <v>1E-10</v>
      </c>
      <c r="T290" s="80">
        <v>1E-10</v>
      </c>
      <c r="U290" s="80">
        <v>1E-10</v>
      </c>
      <c r="V290" s="80">
        <v>1E-10</v>
      </c>
      <c r="W290" s="80">
        <v>1E-10</v>
      </c>
      <c r="X290" s="80">
        <v>1E-10</v>
      </c>
      <c r="Y290" s="80">
        <v>1E-10</v>
      </c>
      <c r="Z290" s="80">
        <v>1E-10</v>
      </c>
      <c r="AA290" s="80">
        <v>1E-10</v>
      </c>
      <c r="AB290" s="80">
        <v>1E-10</v>
      </c>
      <c r="AC290" s="80">
        <v>1E-10</v>
      </c>
      <c r="AD290" s="80">
        <v>1E-10</v>
      </c>
      <c r="AE290" s="80">
        <v>1E-10</v>
      </c>
      <c r="AF290" s="80">
        <v>1E-10</v>
      </c>
      <c r="AG290" s="80">
        <v>1E-10</v>
      </c>
      <c r="AH290" s="80">
        <v>1E-10</v>
      </c>
      <c r="AI290" s="80">
        <v>1E-10</v>
      </c>
      <c r="AJ290" s="80">
        <v>1E-10</v>
      </c>
      <c r="AK290" s="80">
        <v>1E-10</v>
      </c>
      <c r="AL290" s="80">
        <v>1E-10</v>
      </c>
      <c r="AM290" s="80">
        <v>1E-10</v>
      </c>
      <c r="AN290" s="80">
        <v>1E-10</v>
      </c>
      <c r="AO290" s="80">
        <v>1E-10</v>
      </c>
      <c r="AP290" s="80">
        <v>1E-10</v>
      </c>
      <c r="AQ290" s="80">
        <v>1E-10</v>
      </c>
      <c r="AR290" s="81">
        <v>1E-10</v>
      </c>
      <c r="AS290" s="115">
        <f t="shared" si="35"/>
        <v>4.0000000000000019E-9</v>
      </c>
      <c r="AT290" s="66">
        <f t="shared" si="36"/>
        <v>1.6830302399455109E-11</v>
      </c>
      <c r="AU290" s="66" t="str">
        <f>C301</f>
        <v>Other metals</v>
      </c>
      <c r="AV290" s="66">
        <f>AS301</f>
        <v>0.80000000390000015</v>
      </c>
      <c r="AW290" s="66">
        <f t="shared" si="37"/>
        <v>3.3660604964705211E-3</v>
      </c>
      <c r="AX290" s="82" t="s">
        <v>94</v>
      </c>
      <c r="AY290" s="83">
        <v>5.2900894457000005</v>
      </c>
      <c r="AZ290" s="82">
        <f t="shared" si="38"/>
        <v>2.2258451273948054E-2</v>
      </c>
      <c r="BA290" s="84">
        <f t="shared" si="39"/>
        <v>0.99461472086298142</v>
      </c>
    </row>
    <row r="291" spans="2:53">
      <c r="C291" s="112" t="s">
        <v>416</v>
      </c>
      <c r="D291" s="140" t="s">
        <v>223</v>
      </c>
      <c r="E291" s="78">
        <v>1E-10</v>
      </c>
      <c r="F291" s="80">
        <v>1E-10</v>
      </c>
      <c r="G291" s="80">
        <v>1E-10</v>
      </c>
      <c r="H291" s="80">
        <v>1E-10</v>
      </c>
      <c r="I291" s="80">
        <v>1E-10</v>
      </c>
      <c r="J291" s="80">
        <v>1E-10</v>
      </c>
      <c r="K291" s="80">
        <v>1E-10</v>
      </c>
      <c r="L291" s="80">
        <v>1E-10</v>
      </c>
      <c r="M291" s="80">
        <v>1E-10</v>
      </c>
      <c r="N291" s="80">
        <v>1E-10</v>
      </c>
      <c r="O291" s="80">
        <v>1E-10</v>
      </c>
      <c r="P291" s="80">
        <v>1E-10</v>
      </c>
      <c r="Q291" s="80">
        <v>1E-10</v>
      </c>
      <c r="R291" s="80">
        <v>1E-10</v>
      </c>
      <c r="S291" s="80">
        <v>1E-10</v>
      </c>
      <c r="T291" s="80">
        <v>1E-10</v>
      </c>
      <c r="U291" s="80">
        <v>1E-10</v>
      </c>
      <c r="V291" s="80">
        <v>1E-10</v>
      </c>
      <c r="W291" s="80">
        <v>1E-10</v>
      </c>
      <c r="X291" s="80">
        <v>1E-10</v>
      </c>
      <c r="Y291" s="80">
        <v>1E-10</v>
      </c>
      <c r="Z291" s="80">
        <v>1E-10</v>
      </c>
      <c r="AA291" s="80">
        <v>1E-10</v>
      </c>
      <c r="AB291" s="80">
        <v>1E-10</v>
      </c>
      <c r="AC291" s="80">
        <v>1E-10</v>
      </c>
      <c r="AD291" s="80">
        <v>1E-10</v>
      </c>
      <c r="AE291" s="80">
        <v>1E-10</v>
      </c>
      <c r="AF291" s="80">
        <v>1E-10</v>
      </c>
      <c r="AG291" s="80">
        <v>1E-10</v>
      </c>
      <c r="AH291" s="103">
        <v>1.2</v>
      </c>
      <c r="AI291" s="80">
        <v>1E-10</v>
      </c>
      <c r="AJ291" s="80">
        <v>1E-10</v>
      </c>
      <c r="AK291" s="80">
        <v>1E-10</v>
      </c>
      <c r="AL291" s="80">
        <v>1E-10</v>
      </c>
      <c r="AM291" s="80">
        <v>1E-10</v>
      </c>
      <c r="AN291" s="80">
        <v>1E-10</v>
      </c>
      <c r="AO291" s="80">
        <v>1E-10</v>
      </c>
      <c r="AP291" s="80">
        <v>1E-10</v>
      </c>
      <c r="AQ291" s="80">
        <v>1E-10</v>
      </c>
      <c r="AR291" s="81">
        <v>1E-10</v>
      </c>
      <c r="AS291" s="115">
        <f t="shared" si="35"/>
        <v>1.2000000039000001</v>
      </c>
      <c r="AT291" s="66">
        <f t="shared" si="36"/>
        <v>5.0490907362460754E-3</v>
      </c>
      <c r="AU291" s="66" t="s">
        <v>93</v>
      </c>
      <c r="AV291" s="66">
        <f>SUM(AS302:AS319)</f>
        <v>118.76382461456001</v>
      </c>
      <c r="AW291" s="66">
        <f t="shared" si="37"/>
        <v>0.49970777061995419</v>
      </c>
      <c r="AX291" s="82" t="s">
        <v>78</v>
      </c>
      <c r="AY291" s="83">
        <v>0.80000000390000015</v>
      </c>
      <c r="AZ291" s="82">
        <f t="shared" si="38"/>
        <v>3.3660604964705211E-3</v>
      </c>
      <c r="BA291" s="83">
        <f t="shared" si="39"/>
        <v>0.9979807813594519</v>
      </c>
    </row>
    <row r="292" spans="2:53">
      <c r="B292" s="112" t="s">
        <v>248</v>
      </c>
      <c r="C292" s="126" t="s">
        <v>249</v>
      </c>
      <c r="D292" s="140" t="s">
        <v>223</v>
      </c>
      <c r="E292" s="78">
        <v>1E-10</v>
      </c>
      <c r="F292" s="80">
        <v>1E-10</v>
      </c>
      <c r="G292" s="80">
        <v>1E-10</v>
      </c>
      <c r="H292" s="80">
        <v>1E-10</v>
      </c>
      <c r="I292" s="80">
        <v>1E-10</v>
      </c>
      <c r="J292" s="80">
        <v>1E-10</v>
      </c>
      <c r="K292" s="80">
        <v>1E-10</v>
      </c>
      <c r="L292" s="80">
        <v>1E-10</v>
      </c>
      <c r="M292" s="80">
        <v>1E-10</v>
      </c>
      <c r="N292" s="80">
        <v>1E-10</v>
      </c>
      <c r="O292" s="80">
        <v>1E-10</v>
      </c>
      <c r="P292" s="80">
        <v>1E-10</v>
      </c>
      <c r="Q292" s="80">
        <v>1E-10</v>
      </c>
      <c r="R292" s="80">
        <v>1E-10</v>
      </c>
      <c r="S292" s="80">
        <v>1E-10</v>
      </c>
      <c r="T292" s="80">
        <v>1E-10</v>
      </c>
      <c r="U292" s="103">
        <v>0.24040395610000001</v>
      </c>
      <c r="V292" s="80">
        <v>1E-10</v>
      </c>
      <c r="W292" s="80">
        <v>1E-10</v>
      </c>
      <c r="X292" s="80">
        <v>1E-10</v>
      </c>
      <c r="Y292" s="80">
        <v>1E-10</v>
      </c>
      <c r="Z292" s="103">
        <v>2.2226026130000003E-2</v>
      </c>
      <c r="AA292" s="80">
        <v>1E-10</v>
      </c>
      <c r="AB292" s="80">
        <v>1E-10</v>
      </c>
      <c r="AC292" s="80">
        <v>1E-10</v>
      </c>
      <c r="AD292" s="80">
        <v>1E-10</v>
      </c>
      <c r="AE292" s="80">
        <v>1E-10</v>
      </c>
      <c r="AF292" s="80">
        <v>1E-10</v>
      </c>
      <c r="AG292" s="80">
        <v>1E-10</v>
      </c>
      <c r="AH292" s="80">
        <v>1E-10</v>
      </c>
      <c r="AI292" s="80">
        <v>1E-10</v>
      </c>
      <c r="AJ292" s="80">
        <v>1E-10</v>
      </c>
      <c r="AK292" s="80">
        <v>1E-10</v>
      </c>
      <c r="AL292" s="80">
        <v>1E-10</v>
      </c>
      <c r="AM292" s="80">
        <v>1E-10</v>
      </c>
      <c r="AN292" s="80">
        <v>1E-10</v>
      </c>
      <c r="AO292" s="80">
        <v>1E-10</v>
      </c>
      <c r="AP292" s="80">
        <v>1E-10</v>
      </c>
      <c r="AQ292" s="80">
        <v>1E-10</v>
      </c>
      <c r="AR292" s="81">
        <v>1E-10</v>
      </c>
      <c r="AS292" s="115">
        <f t="shared" si="35"/>
        <v>0.26262998603000021</v>
      </c>
      <c r="AT292" s="66">
        <f t="shared" si="36"/>
        <v>1.105035521012393E-3</v>
      </c>
      <c r="AU292" s="66" t="s">
        <v>94</v>
      </c>
      <c r="AV292" s="66">
        <f>SUM(AS320:AS321)</f>
        <v>5.2900894457000005</v>
      </c>
      <c r="AW292" s="66">
        <f t="shared" si="37"/>
        <v>2.2258451273948054E-2</v>
      </c>
      <c r="AX292" s="82" t="s">
        <v>251</v>
      </c>
      <c r="AY292" s="83">
        <v>0.24040396000000019</v>
      </c>
      <c r="AZ292" s="82">
        <f t="shared" si="38"/>
        <v>1.0115178362577002E-3</v>
      </c>
      <c r="BA292" s="83">
        <f t="shared" si="39"/>
        <v>0.99899229919570964</v>
      </c>
    </row>
    <row r="293" spans="2:53">
      <c r="C293" s="126" t="s">
        <v>250</v>
      </c>
      <c r="D293" s="140" t="s">
        <v>223</v>
      </c>
      <c r="E293" s="78">
        <v>1E-10</v>
      </c>
      <c r="F293" s="80">
        <v>1E-10</v>
      </c>
      <c r="G293" s="80">
        <v>1E-10</v>
      </c>
      <c r="H293" s="80">
        <v>1E-10</v>
      </c>
      <c r="I293" s="80">
        <v>1E-10</v>
      </c>
      <c r="J293" s="80">
        <v>1E-10</v>
      </c>
      <c r="K293" s="80">
        <v>1E-10</v>
      </c>
      <c r="L293" s="80">
        <v>1E-10</v>
      </c>
      <c r="M293" s="80">
        <v>1E-10</v>
      </c>
      <c r="N293" s="80">
        <v>1E-10</v>
      </c>
      <c r="O293" s="80">
        <v>1E-10</v>
      </c>
      <c r="P293" s="80">
        <v>1E-10</v>
      </c>
      <c r="Q293" s="80">
        <v>1E-10</v>
      </c>
      <c r="R293" s="80">
        <v>1E-10</v>
      </c>
      <c r="S293" s="80">
        <v>1E-10</v>
      </c>
      <c r="T293" s="80">
        <v>1E-10</v>
      </c>
      <c r="U293" s="80">
        <v>1E-10</v>
      </c>
      <c r="V293" s="80">
        <v>1E-10</v>
      </c>
      <c r="W293" s="80">
        <v>1E-10</v>
      </c>
      <c r="X293" s="80">
        <v>1E-10</v>
      </c>
      <c r="Y293" s="80">
        <v>1E-10</v>
      </c>
      <c r="Z293" s="80">
        <v>1E-10</v>
      </c>
      <c r="AA293" s="80">
        <v>1E-10</v>
      </c>
      <c r="AB293" s="80">
        <v>1E-10</v>
      </c>
      <c r="AC293" s="80">
        <v>1E-10</v>
      </c>
      <c r="AD293" s="80">
        <v>1E-10</v>
      </c>
      <c r="AE293" s="80">
        <v>1E-10</v>
      </c>
      <c r="AF293" s="80">
        <v>1E-10</v>
      </c>
      <c r="AG293" s="80">
        <v>1E-10</v>
      </c>
      <c r="AH293" s="103">
        <v>5.3</v>
      </c>
      <c r="AI293" s="80">
        <v>1E-10</v>
      </c>
      <c r="AJ293" s="80">
        <v>1E-10</v>
      </c>
      <c r="AK293" s="80">
        <v>1E-10</v>
      </c>
      <c r="AL293" s="80">
        <v>1E-10</v>
      </c>
      <c r="AM293" s="80">
        <v>1E-10</v>
      </c>
      <c r="AN293" s="80">
        <v>1E-10</v>
      </c>
      <c r="AO293" s="80">
        <v>1E-10</v>
      </c>
      <c r="AP293" s="80">
        <v>1E-10</v>
      </c>
      <c r="AQ293" s="80">
        <v>1E-10</v>
      </c>
      <c r="AR293" s="81">
        <v>1E-10</v>
      </c>
      <c r="AS293" s="115">
        <f t="shared" si="35"/>
        <v>5.3000000039000001</v>
      </c>
      <c r="AT293" s="66">
        <f t="shared" si="36"/>
        <v>2.2300150695687554E-2</v>
      </c>
      <c r="AU293" s="66" t="s">
        <v>91</v>
      </c>
      <c r="AV293" s="66">
        <f>AS322</f>
        <v>11.793401623899999</v>
      </c>
      <c r="AW293" s="66">
        <f t="shared" si="37"/>
        <v>4.9621628914620901E-2</v>
      </c>
      <c r="AX293" s="82" t="s">
        <v>417</v>
      </c>
      <c r="AY293" s="83">
        <v>0.13970645386000008</v>
      </c>
      <c r="AZ293" s="82">
        <f t="shared" si="38"/>
        <v>5.8782546643451053E-4</v>
      </c>
      <c r="BA293" s="83">
        <f t="shared" si="39"/>
        <v>0.99958012466214419</v>
      </c>
    </row>
    <row r="294" spans="2:53" ht="15" thickBot="1">
      <c r="C294" s="140" t="s">
        <v>418</v>
      </c>
      <c r="D294" s="140" t="s">
        <v>223</v>
      </c>
      <c r="E294" s="78">
        <v>1E-10</v>
      </c>
      <c r="F294" s="80">
        <v>1E-10</v>
      </c>
      <c r="G294" s="80">
        <v>1E-10</v>
      </c>
      <c r="H294" s="80">
        <v>1E-10</v>
      </c>
      <c r="I294" s="80">
        <v>1E-10</v>
      </c>
      <c r="J294" s="80">
        <v>1E-10</v>
      </c>
      <c r="K294" s="80">
        <v>1E-10</v>
      </c>
      <c r="L294" s="80">
        <v>1E-10</v>
      </c>
      <c r="M294" s="80">
        <v>1E-10</v>
      </c>
      <c r="N294" s="80">
        <v>1E-10</v>
      </c>
      <c r="O294" s="80">
        <v>1E-10</v>
      </c>
      <c r="P294" s="80">
        <v>1E-10</v>
      </c>
      <c r="Q294" s="80">
        <v>1E-10</v>
      </c>
      <c r="R294" s="80">
        <v>1E-10</v>
      </c>
      <c r="S294" s="80">
        <v>1E-10</v>
      </c>
      <c r="T294" s="80">
        <v>1E-10</v>
      </c>
      <c r="U294" s="80">
        <v>1E-10</v>
      </c>
      <c r="V294" s="80">
        <v>1E-10</v>
      </c>
      <c r="W294" s="80">
        <v>1E-10</v>
      </c>
      <c r="X294" s="80">
        <v>1E-10</v>
      </c>
      <c r="Y294" s="80">
        <v>1E-10</v>
      </c>
      <c r="Z294" s="80">
        <v>1E-10</v>
      </c>
      <c r="AA294" s="80">
        <v>1E-10</v>
      </c>
      <c r="AB294" s="80">
        <v>1E-10</v>
      </c>
      <c r="AC294" s="80">
        <v>1E-10</v>
      </c>
      <c r="AD294" s="80">
        <v>1E-10</v>
      </c>
      <c r="AE294" s="80">
        <v>1E-10</v>
      </c>
      <c r="AF294" s="80">
        <v>1E-10</v>
      </c>
      <c r="AG294" s="80">
        <v>1E-10</v>
      </c>
      <c r="AH294" s="103">
        <v>12</v>
      </c>
      <c r="AI294" s="80">
        <v>1E-10</v>
      </c>
      <c r="AJ294" s="80">
        <v>1E-10</v>
      </c>
      <c r="AK294" s="80">
        <v>1E-10</v>
      </c>
      <c r="AL294" s="80">
        <v>1E-10</v>
      </c>
      <c r="AM294" s="80">
        <v>1E-10</v>
      </c>
      <c r="AN294" s="80">
        <v>1E-10</v>
      </c>
      <c r="AO294" s="80">
        <v>1E-10</v>
      </c>
      <c r="AP294" s="80">
        <v>1E-10</v>
      </c>
      <c r="AQ294" s="80">
        <v>1E-10</v>
      </c>
      <c r="AR294" s="81">
        <v>1E-10</v>
      </c>
      <c r="AS294" s="115">
        <f t="shared" si="35"/>
        <v>12.0000000039</v>
      </c>
      <c r="AT294" s="66">
        <f t="shared" si="36"/>
        <v>5.0490907214774852E-2</v>
      </c>
      <c r="AU294" s="66" t="s">
        <v>417</v>
      </c>
      <c r="AV294" s="66">
        <f>AS323</f>
        <v>0.13970645386000008</v>
      </c>
      <c r="AW294" s="66">
        <f t="shared" si="37"/>
        <v>5.8782546643451053E-4</v>
      </c>
      <c r="AX294" s="85" t="s">
        <v>252</v>
      </c>
      <c r="AY294" s="86">
        <v>9.9790325299999955E-2</v>
      </c>
      <c r="AZ294" s="85">
        <f t="shared" si="38"/>
        <v>4.1987533785594846E-4</v>
      </c>
      <c r="BA294" s="86">
        <f t="shared" si="39"/>
        <v>1.0000000000000002</v>
      </c>
    </row>
    <row r="295" spans="2:53">
      <c r="C295" s="140" t="s">
        <v>419</v>
      </c>
      <c r="D295" s="140" t="s">
        <v>223</v>
      </c>
      <c r="E295" s="78">
        <v>1E-10</v>
      </c>
      <c r="F295" s="80">
        <v>1E-10</v>
      </c>
      <c r="G295" s="80">
        <v>1E-10</v>
      </c>
      <c r="H295" s="80">
        <v>1E-10</v>
      </c>
      <c r="I295" s="80">
        <v>1E-10</v>
      </c>
      <c r="J295" s="80">
        <v>1E-10</v>
      </c>
      <c r="K295" s="80">
        <v>1E-10</v>
      </c>
      <c r="L295" s="80">
        <v>1E-10</v>
      </c>
      <c r="M295" s="80">
        <v>1E-10</v>
      </c>
      <c r="N295" s="80">
        <v>1E-10</v>
      </c>
      <c r="O295" s="80">
        <v>1E-10</v>
      </c>
      <c r="P295" s="80">
        <v>1E-10</v>
      </c>
      <c r="Q295" s="80">
        <v>1E-10</v>
      </c>
      <c r="R295" s="80">
        <v>1E-10</v>
      </c>
      <c r="S295" s="80">
        <v>1E-10</v>
      </c>
      <c r="T295" s="80">
        <v>1E-10</v>
      </c>
      <c r="U295" s="80">
        <v>1E-10</v>
      </c>
      <c r="V295" s="80">
        <v>1E-10</v>
      </c>
      <c r="W295" s="80">
        <v>1E-10</v>
      </c>
      <c r="X295" s="80">
        <v>1E-10</v>
      </c>
      <c r="Y295" s="80">
        <v>1E-10</v>
      </c>
      <c r="Z295" s="80">
        <v>1E-10</v>
      </c>
      <c r="AA295" s="80">
        <v>1E-10</v>
      </c>
      <c r="AB295" s="80">
        <v>1E-10</v>
      </c>
      <c r="AC295" s="80">
        <v>1E-10</v>
      </c>
      <c r="AD295" s="80">
        <v>1E-10</v>
      </c>
      <c r="AE295" s="80">
        <v>1E-10</v>
      </c>
      <c r="AF295" s="80">
        <v>1E-10</v>
      </c>
      <c r="AG295" s="80">
        <v>1E-10</v>
      </c>
      <c r="AH295" s="103">
        <v>0.9</v>
      </c>
      <c r="AI295" s="80">
        <v>1E-10</v>
      </c>
      <c r="AJ295" s="80">
        <v>1E-10</v>
      </c>
      <c r="AK295" s="80">
        <v>1E-10</v>
      </c>
      <c r="AL295" s="80">
        <v>1E-10</v>
      </c>
      <c r="AM295" s="80">
        <v>1E-10</v>
      </c>
      <c r="AN295" s="80">
        <v>1E-10</v>
      </c>
      <c r="AO295" s="80">
        <v>1E-10</v>
      </c>
      <c r="AP295" s="80">
        <v>1E-10</v>
      </c>
      <c r="AQ295" s="80">
        <v>1E-10</v>
      </c>
      <c r="AR295" s="81">
        <v>1E-10</v>
      </c>
      <c r="AS295" s="115">
        <f t="shared" si="35"/>
        <v>0.90000000390000012</v>
      </c>
      <c r="AT295" s="66">
        <f t="shared" si="36"/>
        <v>3.7868180562869434E-3</v>
      </c>
      <c r="AV295" s="66">
        <f>SUM(AV285:AV294)</f>
        <v>237.66655552948001</v>
      </c>
      <c r="AW295" s="66">
        <f>SUM(AW285:AW294)</f>
        <v>1</v>
      </c>
      <c r="AX295" s="79"/>
      <c r="AY295" s="66">
        <f>SUM(AY285:AY294)</f>
        <v>237.66655552948001</v>
      </c>
    </row>
    <row r="296" spans="2:53">
      <c r="C296" s="126" t="s">
        <v>102</v>
      </c>
      <c r="D296" s="140" t="s">
        <v>223</v>
      </c>
      <c r="E296" s="78">
        <v>1E-10</v>
      </c>
      <c r="F296" s="80">
        <v>1E-10</v>
      </c>
      <c r="G296" s="80">
        <v>1E-10</v>
      </c>
      <c r="H296" s="80">
        <v>1E-10</v>
      </c>
      <c r="I296" s="80">
        <v>1E-10</v>
      </c>
      <c r="J296" s="80">
        <v>1E-10</v>
      </c>
      <c r="K296" s="80">
        <v>1E-10</v>
      </c>
      <c r="L296" s="80">
        <v>1E-10</v>
      </c>
      <c r="M296" s="80">
        <v>1E-10</v>
      </c>
      <c r="N296" s="80">
        <v>1E-10</v>
      </c>
      <c r="O296" s="103">
        <v>4.0914031774000001</v>
      </c>
      <c r="P296" s="80">
        <v>1E-10</v>
      </c>
      <c r="Q296" s="80">
        <v>1E-10</v>
      </c>
      <c r="R296" s="80">
        <v>1E-10</v>
      </c>
      <c r="S296" s="80">
        <v>1E-10</v>
      </c>
      <c r="T296" s="80">
        <v>1E-10</v>
      </c>
      <c r="U296" s="80">
        <v>1E-10</v>
      </c>
      <c r="V296" s="80">
        <v>1E-10</v>
      </c>
      <c r="W296" s="80">
        <v>1E-10</v>
      </c>
      <c r="X296" s="80">
        <v>1E-10</v>
      </c>
      <c r="Y296" s="80">
        <v>1E-10</v>
      </c>
      <c r="Z296" s="80">
        <v>1E-10</v>
      </c>
      <c r="AA296" s="80">
        <v>1E-10</v>
      </c>
      <c r="AB296" s="80">
        <v>1E-10</v>
      </c>
      <c r="AC296" s="80">
        <v>1E-10</v>
      </c>
      <c r="AD296" s="80">
        <v>1E-10</v>
      </c>
      <c r="AE296" s="80">
        <v>1E-10</v>
      </c>
      <c r="AF296" s="80">
        <v>1E-10</v>
      </c>
      <c r="AG296" s="80">
        <v>1E-10</v>
      </c>
      <c r="AH296" s="103">
        <v>3.3329967347600005</v>
      </c>
      <c r="AI296" s="103">
        <v>4.0914031774000001</v>
      </c>
      <c r="AJ296" s="80">
        <v>1E-10</v>
      </c>
      <c r="AK296" s="80">
        <v>1E-10</v>
      </c>
      <c r="AL296" s="80">
        <v>1E-10</v>
      </c>
      <c r="AM296" s="80">
        <v>1E-10</v>
      </c>
      <c r="AN296" s="80">
        <v>1E-10</v>
      </c>
      <c r="AO296" s="80">
        <v>1E-10</v>
      </c>
      <c r="AP296" s="80">
        <v>1E-10</v>
      </c>
      <c r="AQ296" s="80">
        <v>1E-10</v>
      </c>
      <c r="AR296" s="81">
        <v>1E-10</v>
      </c>
      <c r="AS296" s="115">
        <f t="shared" si="35"/>
        <v>11.515803093260001</v>
      </c>
      <c r="AT296" s="66">
        <f t="shared" si="36"/>
        <v>4.8453612108036566E-2</v>
      </c>
    </row>
    <row r="297" spans="2:53">
      <c r="C297" s="126" t="s">
        <v>251</v>
      </c>
      <c r="D297" s="140" t="s">
        <v>223</v>
      </c>
      <c r="E297" s="78">
        <v>1E-10</v>
      </c>
      <c r="F297" s="80">
        <v>1E-10</v>
      </c>
      <c r="G297" s="80">
        <v>1E-10</v>
      </c>
      <c r="H297" s="80">
        <v>1E-10</v>
      </c>
      <c r="I297" s="80">
        <v>1E-10</v>
      </c>
      <c r="J297" s="80">
        <v>1E-10</v>
      </c>
      <c r="K297" s="80">
        <v>1E-10</v>
      </c>
      <c r="L297" s="80">
        <v>1E-10</v>
      </c>
      <c r="M297" s="80">
        <v>1E-10</v>
      </c>
      <c r="N297" s="80">
        <v>1E-10</v>
      </c>
      <c r="O297" s="80">
        <v>1E-10</v>
      </c>
      <c r="P297" s="80">
        <v>1E-10</v>
      </c>
      <c r="Q297" s="80">
        <v>1E-10</v>
      </c>
      <c r="R297" s="80">
        <v>1E-10</v>
      </c>
      <c r="S297" s="80">
        <v>1E-10</v>
      </c>
      <c r="T297" s="80">
        <v>1E-10</v>
      </c>
      <c r="U297" s="103">
        <v>0.24040395610000001</v>
      </c>
      <c r="V297" s="80">
        <v>1E-10</v>
      </c>
      <c r="W297" s="80">
        <v>1E-10</v>
      </c>
      <c r="X297" s="80">
        <v>1E-10</v>
      </c>
      <c r="Y297" s="80">
        <v>1E-10</v>
      </c>
      <c r="Z297" s="80">
        <v>1E-10</v>
      </c>
      <c r="AA297" s="80">
        <v>1E-10</v>
      </c>
      <c r="AB297" s="80">
        <v>1E-10</v>
      </c>
      <c r="AC297" s="80">
        <v>1E-10</v>
      </c>
      <c r="AD297" s="80">
        <v>1E-10</v>
      </c>
      <c r="AE297" s="80">
        <v>1E-10</v>
      </c>
      <c r="AF297" s="80">
        <v>1E-10</v>
      </c>
      <c r="AG297" s="80">
        <v>1E-10</v>
      </c>
      <c r="AH297" s="80">
        <v>1E-10</v>
      </c>
      <c r="AI297" s="80">
        <v>1E-10</v>
      </c>
      <c r="AJ297" s="80">
        <v>1E-10</v>
      </c>
      <c r="AK297" s="80">
        <v>1E-10</v>
      </c>
      <c r="AL297" s="80">
        <v>1E-10</v>
      </c>
      <c r="AM297" s="80">
        <v>1E-10</v>
      </c>
      <c r="AN297" s="80">
        <v>1E-10</v>
      </c>
      <c r="AO297" s="80">
        <v>1E-10</v>
      </c>
      <c r="AP297" s="80">
        <v>1E-10</v>
      </c>
      <c r="AQ297" s="80">
        <v>1E-10</v>
      </c>
      <c r="AR297" s="81">
        <v>1E-10</v>
      </c>
      <c r="AS297" s="115">
        <f t="shared" si="35"/>
        <v>0.24040396000000019</v>
      </c>
      <c r="AT297" s="66">
        <f t="shared" si="36"/>
        <v>1.011517836206628E-3</v>
      </c>
      <c r="AY297" s="98"/>
    </row>
    <row r="298" spans="2:53">
      <c r="C298" s="126" t="s">
        <v>252</v>
      </c>
      <c r="D298" s="140" t="s">
        <v>223</v>
      </c>
      <c r="E298" s="78">
        <v>1E-10</v>
      </c>
      <c r="F298" s="80">
        <v>1E-10</v>
      </c>
      <c r="G298" s="80">
        <v>1E-10</v>
      </c>
      <c r="H298" s="80">
        <v>1E-10</v>
      </c>
      <c r="I298" s="80">
        <v>1E-10</v>
      </c>
      <c r="J298" s="80">
        <v>1E-10</v>
      </c>
      <c r="K298" s="80">
        <v>1E-10</v>
      </c>
      <c r="L298" s="80">
        <v>1E-10</v>
      </c>
      <c r="M298" s="80">
        <v>1E-10</v>
      </c>
      <c r="N298" s="80">
        <v>1E-10</v>
      </c>
      <c r="O298" s="80">
        <v>1E-10</v>
      </c>
      <c r="P298" s="80">
        <v>1E-10</v>
      </c>
      <c r="Q298" s="80">
        <v>1E-10</v>
      </c>
      <c r="R298" s="80">
        <v>1E-10</v>
      </c>
      <c r="S298" s="80">
        <v>1E-10</v>
      </c>
      <c r="T298" s="80">
        <v>1E-10</v>
      </c>
      <c r="U298" s="80">
        <v>1E-10</v>
      </c>
      <c r="V298" s="80">
        <v>1E-10</v>
      </c>
      <c r="W298" s="80">
        <v>1E-10</v>
      </c>
      <c r="X298" s="80">
        <v>1E-10</v>
      </c>
      <c r="Y298" s="80">
        <v>1E-10</v>
      </c>
      <c r="Z298" s="80">
        <v>1E-10</v>
      </c>
      <c r="AA298" s="80">
        <v>1E-10</v>
      </c>
      <c r="AB298" s="80">
        <v>1E-10</v>
      </c>
      <c r="AC298" s="80">
        <v>1E-10</v>
      </c>
      <c r="AD298" s="80">
        <v>1E-10</v>
      </c>
      <c r="AE298" s="80">
        <v>1E-10</v>
      </c>
      <c r="AF298" s="80">
        <v>1E-10</v>
      </c>
      <c r="AG298" s="80">
        <v>1E-10</v>
      </c>
      <c r="AH298" s="103">
        <v>9.9790321400000007E-2</v>
      </c>
      <c r="AI298" s="80">
        <v>1E-10</v>
      </c>
      <c r="AJ298" s="80">
        <v>1E-10</v>
      </c>
      <c r="AK298" s="80">
        <v>1E-10</v>
      </c>
      <c r="AL298" s="80">
        <v>1E-10</v>
      </c>
      <c r="AM298" s="80">
        <v>1E-10</v>
      </c>
      <c r="AN298" s="80">
        <v>1E-10</v>
      </c>
      <c r="AO298" s="80">
        <v>1E-10</v>
      </c>
      <c r="AP298" s="80">
        <v>1E-10</v>
      </c>
      <c r="AQ298" s="80">
        <v>1E-10</v>
      </c>
      <c r="AR298" s="81">
        <v>1E-10</v>
      </c>
      <c r="AS298" s="115">
        <f t="shared" si="35"/>
        <v>9.9790325299999955E-2</v>
      </c>
      <c r="AT298" s="66">
        <f t="shared" si="36"/>
        <v>4.1987533783474862E-4</v>
      </c>
      <c r="AY298" s="98"/>
    </row>
    <row r="299" spans="2:53">
      <c r="C299" s="126" t="s">
        <v>253</v>
      </c>
      <c r="D299" s="140" t="s">
        <v>223</v>
      </c>
      <c r="E299" s="78">
        <v>1E-10</v>
      </c>
      <c r="F299" s="80">
        <v>1E-10</v>
      </c>
      <c r="G299" s="80">
        <v>1E-10</v>
      </c>
      <c r="H299" s="80">
        <v>1E-10</v>
      </c>
      <c r="I299" s="80">
        <v>1E-10</v>
      </c>
      <c r="J299" s="80">
        <v>1E-10</v>
      </c>
      <c r="K299" s="80">
        <v>1E-10</v>
      </c>
      <c r="L299" s="80">
        <v>1E-10</v>
      </c>
      <c r="M299" s="80">
        <v>1E-10</v>
      </c>
      <c r="N299" s="80">
        <v>1E-10</v>
      </c>
      <c r="O299" s="80">
        <v>1E-10</v>
      </c>
      <c r="P299" s="80">
        <v>1E-10</v>
      </c>
      <c r="Q299" s="80">
        <v>1E-10</v>
      </c>
      <c r="R299" s="80">
        <v>1E-10</v>
      </c>
      <c r="S299" s="80">
        <v>1E-10</v>
      </c>
      <c r="T299" s="80">
        <v>1E-10</v>
      </c>
      <c r="U299" s="80">
        <v>1E-10</v>
      </c>
      <c r="V299" s="80">
        <v>1E-10</v>
      </c>
      <c r="W299" s="80">
        <v>1E-10</v>
      </c>
      <c r="X299" s="80">
        <v>1E-10</v>
      </c>
      <c r="Y299" s="80">
        <v>1E-10</v>
      </c>
      <c r="Z299" s="80">
        <v>1E-10</v>
      </c>
      <c r="AA299" s="80">
        <v>1E-10</v>
      </c>
      <c r="AB299" s="80">
        <v>1E-10</v>
      </c>
      <c r="AC299" s="80">
        <v>1E-10</v>
      </c>
      <c r="AD299" s="80">
        <v>1E-10</v>
      </c>
      <c r="AE299" s="80">
        <v>1E-10</v>
      </c>
      <c r="AF299" s="80">
        <v>1E-10</v>
      </c>
      <c r="AG299" s="80">
        <v>1E-10</v>
      </c>
      <c r="AH299" s="80">
        <v>1E-10</v>
      </c>
      <c r="AI299" s="80">
        <v>1E-10</v>
      </c>
      <c r="AJ299" s="80">
        <v>1E-10</v>
      </c>
      <c r="AK299" s="80">
        <v>1E-10</v>
      </c>
      <c r="AL299" s="80">
        <v>1E-10</v>
      </c>
      <c r="AM299" s="80">
        <v>1E-10</v>
      </c>
      <c r="AN299" s="80">
        <v>1E-10</v>
      </c>
      <c r="AO299" s="80">
        <v>1E-10</v>
      </c>
      <c r="AP299" s="80">
        <v>1E-10</v>
      </c>
      <c r="AQ299" s="80">
        <v>1E-10</v>
      </c>
      <c r="AR299" s="81">
        <v>1E-10</v>
      </c>
      <c r="AS299" s="115">
        <f t="shared" si="35"/>
        <v>4.0000000000000019E-9</v>
      </c>
      <c r="AT299" s="66">
        <f t="shared" si="36"/>
        <v>1.6830302399455109E-11</v>
      </c>
      <c r="AY299" s="98"/>
    </row>
    <row r="300" spans="2:53">
      <c r="C300" s="126" t="s">
        <v>254</v>
      </c>
      <c r="D300" s="140" t="s">
        <v>223</v>
      </c>
      <c r="E300" s="78">
        <v>1E-10</v>
      </c>
      <c r="F300" s="80">
        <v>1E-10</v>
      </c>
      <c r="G300" s="80">
        <v>1E-10</v>
      </c>
      <c r="H300" s="80">
        <v>1E-10</v>
      </c>
      <c r="I300" s="80">
        <v>1E-10</v>
      </c>
      <c r="J300" s="80">
        <v>1E-10</v>
      </c>
      <c r="K300" s="80">
        <v>1E-10</v>
      </c>
      <c r="L300" s="80">
        <v>1E-10</v>
      </c>
      <c r="M300" s="80">
        <v>1E-10</v>
      </c>
      <c r="N300" s="80">
        <v>1E-10</v>
      </c>
      <c r="O300" s="80">
        <v>1E-10</v>
      </c>
      <c r="P300" s="80">
        <v>1E-10</v>
      </c>
      <c r="Q300" s="80">
        <v>1E-10</v>
      </c>
      <c r="R300" s="80">
        <v>1E-10</v>
      </c>
      <c r="S300" s="80">
        <v>1E-10</v>
      </c>
      <c r="T300" s="80">
        <v>1E-10</v>
      </c>
      <c r="U300" s="80">
        <v>1E-10</v>
      </c>
      <c r="V300" s="80">
        <v>1E-10</v>
      </c>
      <c r="W300" s="80">
        <v>1E-10</v>
      </c>
      <c r="X300" s="80">
        <v>1E-10</v>
      </c>
      <c r="Y300" s="80">
        <v>1E-10</v>
      </c>
      <c r="Z300" s="80">
        <v>1E-10</v>
      </c>
      <c r="AA300" s="80">
        <v>1E-10</v>
      </c>
      <c r="AB300" s="80">
        <v>1E-10</v>
      </c>
      <c r="AC300" s="80">
        <v>1E-10</v>
      </c>
      <c r="AD300" s="80">
        <v>1E-10</v>
      </c>
      <c r="AE300" s="80">
        <v>1E-10</v>
      </c>
      <c r="AF300" s="80">
        <v>1E-10</v>
      </c>
      <c r="AG300" s="80">
        <v>1E-10</v>
      </c>
      <c r="AH300" s="80">
        <v>1E-10</v>
      </c>
      <c r="AI300" s="80">
        <v>1E-10</v>
      </c>
      <c r="AJ300" s="80">
        <v>1E-10</v>
      </c>
      <c r="AK300" s="80">
        <v>1E-10</v>
      </c>
      <c r="AL300" s="80">
        <v>1E-10</v>
      </c>
      <c r="AM300" s="80">
        <v>1E-10</v>
      </c>
      <c r="AN300" s="80">
        <v>1E-10</v>
      </c>
      <c r="AO300" s="80">
        <v>1E-10</v>
      </c>
      <c r="AP300" s="80">
        <v>1E-10</v>
      </c>
      <c r="AQ300" s="80">
        <v>1E-10</v>
      </c>
      <c r="AR300" s="81">
        <v>1E-10</v>
      </c>
      <c r="AS300" s="115">
        <f t="shared" si="35"/>
        <v>4.0000000000000019E-9</v>
      </c>
      <c r="AT300" s="66">
        <f t="shared" si="36"/>
        <v>1.6830302399455109E-11</v>
      </c>
      <c r="AY300" s="98"/>
    </row>
    <row r="301" spans="2:53">
      <c r="C301" s="126" t="s">
        <v>78</v>
      </c>
      <c r="D301" s="140" t="s">
        <v>223</v>
      </c>
      <c r="E301" s="78">
        <v>1E-10</v>
      </c>
      <c r="F301" s="80">
        <v>1E-10</v>
      </c>
      <c r="G301" s="80">
        <v>1E-10</v>
      </c>
      <c r="H301" s="80">
        <v>1E-10</v>
      </c>
      <c r="I301" s="80">
        <v>1E-10</v>
      </c>
      <c r="J301" s="80">
        <v>1E-10</v>
      </c>
      <c r="K301" s="80">
        <v>1E-10</v>
      </c>
      <c r="L301" s="80">
        <v>1E-10</v>
      </c>
      <c r="M301" s="80">
        <v>1E-10</v>
      </c>
      <c r="N301" s="80">
        <v>1E-10</v>
      </c>
      <c r="O301" s="80">
        <v>1E-10</v>
      </c>
      <c r="P301" s="80">
        <v>1E-10</v>
      </c>
      <c r="Q301" s="80">
        <v>1E-10</v>
      </c>
      <c r="R301" s="80">
        <v>1E-10</v>
      </c>
      <c r="S301" s="80">
        <v>1E-10</v>
      </c>
      <c r="T301" s="80">
        <v>1E-10</v>
      </c>
      <c r="U301" s="80">
        <v>1E-10</v>
      </c>
      <c r="V301" s="80">
        <v>1E-10</v>
      </c>
      <c r="W301" s="80">
        <v>1E-10</v>
      </c>
      <c r="X301" s="80">
        <v>1E-10</v>
      </c>
      <c r="Y301" s="80">
        <v>1E-10</v>
      </c>
      <c r="Z301" s="80">
        <v>1E-10</v>
      </c>
      <c r="AA301" s="80">
        <v>1E-10</v>
      </c>
      <c r="AB301" s="80">
        <v>1E-10</v>
      </c>
      <c r="AC301" s="80">
        <v>1E-10</v>
      </c>
      <c r="AD301" s="80">
        <v>1E-10</v>
      </c>
      <c r="AE301" s="80">
        <v>1E-10</v>
      </c>
      <c r="AF301" s="80">
        <v>1E-10</v>
      </c>
      <c r="AG301" s="80">
        <v>1E-10</v>
      </c>
      <c r="AH301" s="103">
        <v>0.8</v>
      </c>
      <c r="AI301" s="80">
        <v>1E-10</v>
      </c>
      <c r="AJ301" s="80">
        <v>1E-10</v>
      </c>
      <c r="AK301" s="80">
        <v>1E-10</v>
      </c>
      <c r="AL301" s="80">
        <v>1E-10</v>
      </c>
      <c r="AM301" s="80">
        <v>1E-10</v>
      </c>
      <c r="AN301" s="80">
        <v>1E-10</v>
      </c>
      <c r="AO301" s="80">
        <v>1E-10</v>
      </c>
      <c r="AP301" s="80">
        <v>1E-10</v>
      </c>
      <c r="AQ301" s="80">
        <v>1E-10</v>
      </c>
      <c r="AR301" s="81">
        <v>1E-10</v>
      </c>
      <c r="AS301" s="115">
        <f t="shared" si="35"/>
        <v>0.80000000390000015</v>
      </c>
      <c r="AT301" s="66">
        <f t="shared" si="36"/>
        <v>3.3660604963005659E-3</v>
      </c>
      <c r="AY301" s="98"/>
    </row>
    <row r="302" spans="2:53">
      <c r="B302" s="66" t="s">
        <v>255</v>
      </c>
      <c r="C302" s="66" t="s">
        <v>420</v>
      </c>
      <c r="D302" s="140" t="s">
        <v>223</v>
      </c>
      <c r="E302" s="78">
        <v>1E-10</v>
      </c>
      <c r="F302" s="80">
        <v>1E-10</v>
      </c>
      <c r="G302" s="80">
        <v>1E-10</v>
      </c>
      <c r="H302" s="80">
        <v>1E-10</v>
      </c>
      <c r="I302" s="80">
        <v>1E-10</v>
      </c>
      <c r="J302" s="80">
        <v>1E-10</v>
      </c>
      <c r="K302" s="103">
        <f>0.5*1.81</f>
        <v>0.90500000000000003</v>
      </c>
      <c r="L302" s="80">
        <v>1E-10</v>
      </c>
      <c r="M302" s="80">
        <v>1E-10</v>
      </c>
      <c r="N302" s="80">
        <v>1E-10</v>
      </c>
      <c r="O302" s="80">
        <v>1E-10</v>
      </c>
      <c r="P302" s="103">
        <v>0.58399999999999996</v>
      </c>
      <c r="Q302" s="80">
        <v>1E-10</v>
      </c>
      <c r="R302" s="103">
        <v>2.1360000000000001</v>
      </c>
      <c r="S302" s="80">
        <v>1E-10</v>
      </c>
      <c r="T302" s="80">
        <v>1E-10</v>
      </c>
      <c r="U302" s="80">
        <v>1E-10</v>
      </c>
      <c r="V302" s="80">
        <v>1E-10</v>
      </c>
      <c r="W302" s="80">
        <v>1E-10</v>
      </c>
      <c r="X302" s="80">
        <v>1E-10</v>
      </c>
      <c r="Y302" s="80">
        <v>1E-10</v>
      </c>
      <c r="Z302" s="80">
        <v>1E-10</v>
      </c>
      <c r="AA302" s="80">
        <v>1E-10</v>
      </c>
      <c r="AB302" s="80">
        <v>1E-10</v>
      </c>
      <c r="AC302" s="80">
        <v>1E-10</v>
      </c>
      <c r="AD302" s="80">
        <v>1E-10</v>
      </c>
      <c r="AE302" s="80">
        <v>1E-10</v>
      </c>
      <c r="AF302" s="80">
        <v>1E-10</v>
      </c>
      <c r="AG302" s="80">
        <v>1E-10</v>
      </c>
      <c r="AH302" s="103">
        <v>1.4</v>
      </c>
      <c r="AI302" s="80">
        <v>1E-10</v>
      </c>
      <c r="AJ302" s="80">
        <v>1E-10</v>
      </c>
      <c r="AK302" s="80">
        <v>1E-10</v>
      </c>
      <c r="AL302" s="80">
        <v>1E-10</v>
      </c>
      <c r="AM302" s="80">
        <v>1E-10</v>
      </c>
      <c r="AN302" s="80">
        <v>1E-10</v>
      </c>
      <c r="AO302" s="80">
        <v>1E-10</v>
      </c>
      <c r="AP302" s="80">
        <v>1E-10</v>
      </c>
      <c r="AQ302" s="80">
        <v>1E-10</v>
      </c>
      <c r="AR302" s="81">
        <v>1E-10</v>
      </c>
      <c r="AS302" s="115">
        <f t="shared" si="35"/>
        <v>5.0250000036000007</v>
      </c>
      <c r="AT302" s="66">
        <f t="shared" si="36"/>
        <v>2.1143067404462746E-2</v>
      </c>
      <c r="AY302" s="98"/>
    </row>
    <row r="303" spans="2:53">
      <c r="B303" s="65"/>
      <c r="C303" s="66" t="s">
        <v>421</v>
      </c>
      <c r="D303" s="140" t="s">
        <v>223</v>
      </c>
      <c r="E303" s="78">
        <v>1E-10</v>
      </c>
      <c r="F303" s="80">
        <v>1E-10</v>
      </c>
      <c r="G303" s="80">
        <v>1E-10</v>
      </c>
      <c r="H303" s="80">
        <v>1E-10</v>
      </c>
      <c r="I303" s="80">
        <v>1E-10</v>
      </c>
      <c r="J303" s="80">
        <v>1E-10</v>
      </c>
      <c r="K303" s="80">
        <v>1E-10</v>
      </c>
      <c r="L303" s="103">
        <v>0.27600000000000002</v>
      </c>
      <c r="M303" s="80">
        <v>1E-10</v>
      </c>
      <c r="N303" s="80">
        <v>1E-10</v>
      </c>
      <c r="O303" s="80">
        <v>1E-10</v>
      </c>
      <c r="P303" s="80">
        <v>1E-10</v>
      </c>
      <c r="Q303" s="80">
        <v>1E-10</v>
      </c>
      <c r="R303" s="80">
        <v>1E-10</v>
      </c>
      <c r="S303" s="80">
        <v>1E-10</v>
      </c>
      <c r="T303" s="80">
        <v>1E-10</v>
      </c>
      <c r="U303" s="80">
        <v>1E-10</v>
      </c>
      <c r="V303" s="80">
        <v>1E-10</v>
      </c>
      <c r="W303" s="80">
        <v>1E-10</v>
      </c>
      <c r="X303" s="80">
        <v>1E-10</v>
      </c>
      <c r="Y303" s="80">
        <v>1E-10</v>
      </c>
      <c r="Z303" s="80">
        <v>1E-10</v>
      </c>
      <c r="AA303" s="80">
        <v>1E-10</v>
      </c>
      <c r="AB303" s="80">
        <v>1E-10</v>
      </c>
      <c r="AC303" s="80">
        <v>1E-10</v>
      </c>
      <c r="AD303" s="80">
        <v>1E-10</v>
      </c>
      <c r="AE303" s="80">
        <v>1E-10</v>
      </c>
      <c r="AF303" s="80">
        <v>1E-10</v>
      </c>
      <c r="AG303" s="80">
        <v>1E-10</v>
      </c>
      <c r="AH303" s="80">
        <v>1E-10</v>
      </c>
      <c r="AI303" s="80">
        <v>1E-10</v>
      </c>
      <c r="AJ303" s="80">
        <v>1E-10</v>
      </c>
      <c r="AK303" s="80">
        <v>1E-10</v>
      </c>
      <c r="AL303" s="80">
        <v>1E-10</v>
      </c>
      <c r="AM303" s="80">
        <v>1E-10</v>
      </c>
      <c r="AN303" s="80">
        <v>1E-10</v>
      </c>
      <c r="AO303" s="80">
        <v>1E-10</v>
      </c>
      <c r="AP303" s="80">
        <v>1E-10</v>
      </c>
      <c r="AQ303" s="80">
        <v>1E-10</v>
      </c>
      <c r="AR303" s="81">
        <v>1E-10</v>
      </c>
      <c r="AS303" s="115">
        <f t="shared" si="35"/>
        <v>0.27600000390000029</v>
      </c>
      <c r="AT303" s="66">
        <f t="shared" si="36"/>
        <v>1.1612908819719481E-3</v>
      </c>
    </row>
    <row r="304" spans="2:53">
      <c r="B304" s="65"/>
      <c r="C304" s="66" t="s">
        <v>422</v>
      </c>
      <c r="D304" s="140" t="s">
        <v>223</v>
      </c>
      <c r="E304" s="78">
        <v>1E-10</v>
      </c>
      <c r="F304" s="80">
        <v>1E-10</v>
      </c>
      <c r="G304" s="80">
        <v>1E-10</v>
      </c>
      <c r="H304" s="80">
        <v>1E-10</v>
      </c>
      <c r="I304" s="80">
        <v>1E-10</v>
      </c>
      <c r="J304" s="103">
        <f>0.5*10.14</f>
        <v>5.07</v>
      </c>
      <c r="K304" s="80">
        <v>1E-10</v>
      </c>
      <c r="L304" s="80">
        <v>1E-10</v>
      </c>
      <c r="M304" s="80">
        <v>1E-10</v>
      </c>
      <c r="N304" s="80">
        <v>1E-10</v>
      </c>
      <c r="O304" s="80">
        <v>1E-10</v>
      </c>
      <c r="P304" s="80">
        <v>1E-10</v>
      </c>
      <c r="Q304" s="80">
        <v>1E-10</v>
      </c>
      <c r="R304" s="80">
        <v>1E-10</v>
      </c>
      <c r="S304" s="80">
        <v>1E-10</v>
      </c>
      <c r="T304" s="80">
        <v>1E-10</v>
      </c>
      <c r="U304" s="80">
        <v>1E-10</v>
      </c>
      <c r="V304" s="80">
        <v>1E-10</v>
      </c>
      <c r="W304" s="80">
        <v>1E-10</v>
      </c>
      <c r="X304" s="80">
        <v>1E-10</v>
      </c>
      <c r="Y304" s="80">
        <v>1E-10</v>
      </c>
      <c r="Z304" s="80">
        <v>1E-10</v>
      </c>
      <c r="AA304" s="80">
        <v>1E-10</v>
      </c>
      <c r="AB304" s="80">
        <v>1E-10</v>
      </c>
      <c r="AC304" s="80">
        <v>1E-10</v>
      </c>
      <c r="AD304" s="80">
        <v>1E-10</v>
      </c>
      <c r="AE304" s="80">
        <v>1E-10</v>
      </c>
      <c r="AF304" s="80">
        <v>1E-10</v>
      </c>
      <c r="AG304" s="80">
        <v>1E-10</v>
      </c>
      <c r="AH304" s="80">
        <v>1E-10</v>
      </c>
      <c r="AI304" s="80">
        <v>1E-10</v>
      </c>
      <c r="AJ304" s="80">
        <v>1E-10</v>
      </c>
      <c r="AK304" s="80">
        <v>1E-10</v>
      </c>
      <c r="AL304" s="80">
        <v>1E-10</v>
      </c>
      <c r="AM304" s="80">
        <v>1E-10</v>
      </c>
      <c r="AN304" s="80">
        <v>1E-10</v>
      </c>
      <c r="AO304" s="80">
        <v>1E-10</v>
      </c>
      <c r="AP304" s="80">
        <v>1E-10</v>
      </c>
      <c r="AQ304" s="80">
        <v>1E-10</v>
      </c>
      <c r="AR304" s="81">
        <v>1E-10</v>
      </c>
      <c r="AS304" s="115">
        <f t="shared" si="35"/>
        <v>5.0700000039000006</v>
      </c>
      <c r="AT304" s="66">
        <f t="shared" si="36"/>
        <v>2.1332408307718889E-2</v>
      </c>
    </row>
    <row r="305" spans="2:46">
      <c r="B305" s="65"/>
      <c r="C305" s="66" t="s">
        <v>423</v>
      </c>
      <c r="D305" s="140" t="s">
        <v>223</v>
      </c>
      <c r="E305" s="78">
        <v>1E-10</v>
      </c>
      <c r="F305" s="80">
        <v>1E-10</v>
      </c>
      <c r="G305" s="80">
        <v>1E-10</v>
      </c>
      <c r="H305" s="80">
        <v>1E-10</v>
      </c>
      <c r="I305" s="80">
        <v>1E-10</v>
      </c>
      <c r="J305" s="80">
        <v>1E-10</v>
      </c>
      <c r="K305" s="80">
        <v>1E-10</v>
      </c>
      <c r="L305" s="80">
        <v>1E-10</v>
      </c>
      <c r="M305" s="80">
        <v>1E-10</v>
      </c>
      <c r="N305" s="80">
        <v>1E-10</v>
      </c>
      <c r="O305" s="80">
        <v>1E-10</v>
      </c>
      <c r="P305" s="80">
        <v>1E-10</v>
      </c>
      <c r="Q305" s="80">
        <v>1E-10</v>
      </c>
      <c r="R305" s="80">
        <v>1E-10</v>
      </c>
      <c r="S305" s="80">
        <v>1E-10</v>
      </c>
      <c r="T305" s="80">
        <v>1E-10</v>
      </c>
      <c r="U305" s="80">
        <v>1E-10</v>
      </c>
      <c r="V305" s="80">
        <v>1E-10</v>
      </c>
      <c r="W305" s="80">
        <v>1E-10</v>
      </c>
      <c r="X305" s="80">
        <v>1E-10</v>
      </c>
      <c r="Y305" s="80">
        <v>1E-10</v>
      </c>
      <c r="Z305" s="80">
        <v>1E-10</v>
      </c>
      <c r="AA305" s="80">
        <v>1E-10</v>
      </c>
      <c r="AB305" s="80">
        <v>1E-10</v>
      </c>
      <c r="AC305" s="80">
        <v>1E-10</v>
      </c>
      <c r="AD305" s="80">
        <v>1E-10</v>
      </c>
      <c r="AE305" s="103">
        <v>0.26600000000000001</v>
      </c>
      <c r="AF305" s="80">
        <v>1E-10</v>
      </c>
      <c r="AG305" s="80">
        <v>1E-10</v>
      </c>
      <c r="AH305" s="80">
        <v>1E-10</v>
      </c>
      <c r="AI305" s="80">
        <v>1E-10</v>
      </c>
      <c r="AJ305" s="80">
        <v>1E-10</v>
      </c>
      <c r="AK305" s="80">
        <v>1E-10</v>
      </c>
      <c r="AL305" s="80">
        <v>1E-10</v>
      </c>
      <c r="AM305" s="80">
        <v>1E-10</v>
      </c>
      <c r="AN305" s="80">
        <v>1E-10</v>
      </c>
      <c r="AO305" s="80">
        <v>1E-10</v>
      </c>
      <c r="AP305" s="80">
        <v>1E-10</v>
      </c>
      <c r="AQ305" s="80">
        <v>1E-10</v>
      </c>
      <c r="AR305" s="81">
        <v>1E-10</v>
      </c>
      <c r="AS305" s="115">
        <f t="shared" si="35"/>
        <v>0.26600000390000011</v>
      </c>
      <c r="AT305" s="66">
        <f t="shared" si="36"/>
        <v>1.1192151259733097E-3</v>
      </c>
    </row>
    <row r="306" spans="2:46">
      <c r="B306" s="65"/>
      <c r="C306" s="66" t="s">
        <v>424</v>
      </c>
      <c r="D306" s="140" t="s">
        <v>223</v>
      </c>
      <c r="E306" s="78">
        <v>1E-10</v>
      </c>
      <c r="F306" s="80">
        <v>1E-10</v>
      </c>
      <c r="G306" s="80">
        <v>1E-10</v>
      </c>
      <c r="H306" s="80">
        <v>1E-10</v>
      </c>
      <c r="I306" s="80">
        <v>1E-10</v>
      </c>
      <c r="J306" s="80">
        <v>1E-10</v>
      </c>
      <c r="K306" s="80">
        <v>1E-10</v>
      </c>
      <c r="L306" s="80">
        <v>1E-10</v>
      </c>
      <c r="M306" s="80">
        <v>1E-10</v>
      </c>
      <c r="N306" s="80">
        <v>1E-10</v>
      </c>
      <c r="O306" s="80">
        <v>1E-10</v>
      </c>
      <c r="P306" s="80">
        <v>1E-10</v>
      </c>
      <c r="Q306" s="80">
        <v>1E-10</v>
      </c>
      <c r="R306" s="80">
        <v>1E-10</v>
      </c>
      <c r="S306" s="80">
        <v>1E-10</v>
      </c>
      <c r="T306" s="80">
        <v>1E-10</v>
      </c>
      <c r="U306" s="80">
        <v>1E-10</v>
      </c>
      <c r="V306" s="80">
        <v>1E-10</v>
      </c>
      <c r="W306" s="80">
        <v>1E-10</v>
      </c>
      <c r="X306" s="80">
        <v>1E-10</v>
      </c>
      <c r="Y306" s="80">
        <v>1E-10</v>
      </c>
      <c r="Z306" s="80">
        <v>1E-10</v>
      </c>
      <c r="AA306" s="80">
        <v>1E-10</v>
      </c>
      <c r="AB306" s="80">
        <v>1E-10</v>
      </c>
      <c r="AC306" s="80">
        <v>1E-10</v>
      </c>
      <c r="AD306" s="80">
        <v>1E-10</v>
      </c>
      <c r="AE306" s="80">
        <v>1E-10</v>
      </c>
      <c r="AF306" s="80">
        <v>1E-10</v>
      </c>
      <c r="AG306" s="80">
        <v>1E-10</v>
      </c>
      <c r="AH306" s="80">
        <v>1E-10</v>
      </c>
      <c r="AI306" s="80">
        <v>1E-10</v>
      </c>
      <c r="AJ306" s="80">
        <v>1E-10</v>
      </c>
      <c r="AK306" s="103">
        <v>1.2909999999999999</v>
      </c>
      <c r="AL306" s="80">
        <v>1E-10</v>
      </c>
      <c r="AM306" s="80">
        <v>1E-10</v>
      </c>
      <c r="AN306" s="80">
        <v>1E-10</v>
      </c>
      <c r="AO306" s="80">
        <v>1E-10</v>
      </c>
      <c r="AP306" s="80">
        <v>1E-10</v>
      </c>
      <c r="AQ306" s="80">
        <v>1E-10</v>
      </c>
      <c r="AR306" s="81">
        <v>1E-10</v>
      </c>
      <c r="AS306" s="115">
        <f t="shared" si="35"/>
        <v>1.2910000039</v>
      </c>
      <c r="AT306" s="66">
        <f t="shared" si="36"/>
        <v>5.4319801158336789E-3</v>
      </c>
    </row>
    <row r="307" spans="2:46">
      <c r="B307" s="65"/>
      <c r="C307" s="66" t="s">
        <v>425</v>
      </c>
      <c r="D307" s="140" t="s">
        <v>223</v>
      </c>
      <c r="E307" s="78">
        <v>1E-10</v>
      </c>
      <c r="F307" s="80">
        <v>1E-10</v>
      </c>
      <c r="G307" s="80">
        <v>1E-10</v>
      </c>
      <c r="H307" s="80">
        <v>1E-10</v>
      </c>
      <c r="I307" s="80">
        <v>1E-10</v>
      </c>
      <c r="J307" s="80">
        <v>1E-10</v>
      </c>
      <c r="K307" s="80">
        <v>1E-10</v>
      </c>
      <c r="L307" s="80">
        <v>1E-10</v>
      </c>
      <c r="M307" s="80">
        <v>1E-10</v>
      </c>
      <c r="N307" s="80">
        <v>1E-10</v>
      </c>
      <c r="O307" s="80">
        <v>1E-10</v>
      </c>
      <c r="P307" s="80">
        <v>1E-10</v>
      </c>
      <c r="Q307" s="80">
        <v>1E-10</v>
      </c>
      <c r="R307" s="80">
        <v>1E-10</v>
      </c>
      <c r="S307" s="80">
        <v>1E-10</v>
      </c>
      <c r="T307" s="80">
        <v>1E-10</v>
      </c>
      <c r="U307" s="80">
        <v>1E-10</v>
      </c>
      <c r="V307" s="80">
        <v>1E-10</v>
      </c>
      <c r="W307" s="80">
        <v>1E-10</v>
      </c>
      <c r="X307" s="80">
        <v>1E-10</v>
      </c>
      <c r="Y307" s="80">
        <v>1E-10</v>
      </c>
      <c r="Z307" s="80">
        <v>1E-10</v>
      </c>
      <c r="AA307" s="80">
        <v>1E-10</v>
      </c>
      <c r="AB307" s="80">
        <v>1E-10</v>
      </c>
      <c r="AC307" s="80">
        <v>1E-10</v>
      </c>
      <c r="AD307" s="80">
        <v>1E-10</v>
      </c>
      <c r="AE307" s="80">
        <v>1E-10</v>
      </c>
      <c r="AF307" s="80">
        <v>1E-10</v>
      </c>
      <c r="AG307" s="80">
        <v>1E-10</v>
      </c>
      <c r="AH307" s="80">
        <v>1E-10</v>
      </c>
      <c r="AI307" s="80">
        <v>1E-10</v>
      </c>
      <c r="AJ307" s="80">
        <v>1E-10</v>
      </c>
      <c r="AK307" s="80">
        <v>1E-10</v>
      </c>
      <c r="AL307" s="80">
        <v>1E-10</v>
      </c>
      <c r="AM307" s="103">
        <v>0.223</v>
      </c>
      <c r="AN307" s="80">
        <v>1E-10</v>
      </c>
      <c r="AO307" s="80">
        <v>1E-10</v>
      </c>
      <c r="AP307" s="80">
        <v>1E-10</v>
      </c>
      <c r="AQ307" s="80">
        <v>1E-10</v>
      </c>
      <c r="AR307" s="81">
        <v>1E-10</v>
      </c>
      <c r="AS307" s="115">
        <f t="shared" si="35"/>
        <v>0.22300000390000005</v>
      </c>
      <c r="AT307" s="66">
        <f t="shared" si="36"/>
        <v>9.3828937517916695E-4</v>
      </c>
    </row>
    <row r="308" spans="2:46">
      <c r="B308" s="65"/>
      <c r="C308" s="66" t="s">
        <v>426</v>
      </c>
      <c r="D308" s="140" t="s">
        <v>223</v>
      </c>
      <c r="E308" s="78">
        <v>1E-10</v>
      </c>
      <c r="F308" s="80">
        <v>1E-10</v>
      </c>
      <c r="G308" s="80">
        <v>1E-10</v>
      </c>
      <c r="H308" s="80">
        <v>1E-10</v>
      </c>
      <c r="I308" s="103">
        <v>0.16400000000000001</v>
      </c>
      <c r="J308" s="80">
        <v>1E-10</v>
      </c>
      <c r="K308" s="80">
        <v>1E-10</v>
      </c>
      <c r="L308" s="80">
        <v>1E-10</v>
      </c>
      <c r="M308" s="80">
        <v>1E-10</v>
      </c>
      <c r="N308" s="80">
        <v>1E-10</v>
      </c>
      <c r="O308" s="80">
        <v>1E-10</v>
      </c>
      <c r="P308" s="80">
        <v>1E-10</v>
      </c>
      <c r="Q308" s="80">
        <v>1E-10</v>
      </c>
      <c r="R308" s="80">
        <v>1E-10</v>
      </c>
      <c r="S308" s="80">
        <v>1E-10</v>
      </c>
      <c r="T308" s="80">
        <v>1E-10</v>
      </c>
      <c r="U308" s="80">
        <v>1E-10</v>
      </c>
      <c r="V308" s="80">
        <v>1E-10</v>
      </c>
      <c r="W308" s="80">
        <v>1E-10</v>
      </c>
      <c r="X308" s="80">
        <v>1E-10</v>
      </c>
      <c r="Y308" s="80">
        <v>1E-10</v>
      </c>
      <c r="Z308" s="80">
        <v>1E-10</v>
      </c>
      <c r="AA308" s="80">
        <v>1E-10</v>
      </c>
      <c r="AB308" s="80">
        <v>1E-10</v>
      </c>
      <c r="AC308" s="80">
        <v>1E-10</v>
      </c>
      <c r="AD308" s="80">
        <v>1E-10</v>
      </c>
      <c r="AE308" s="80">
        <v>1E-10</v>
      </c>
      <c r="AF308" s="80">
        <v>1E-10</v>
      </c>
      <c r="AG308" s="80">
        <v>1E-10</v>
      </c>
      <c r="AH308" s="80">
        <v>1E-10</v>
      </c>
      <c r="AI308" s="80">
        <v>1E-10</v>
      </c>
      <c r="AJ308" s="80">
        <v>1E-10</v>
      </c>
      <c r="AK308" s="80">
        <v>1E-10</v>
      </c>
      <c r="AL308" s="80">
        <v>1E-10</v>
      </c>
      <c r="AM308" s="80">
        <v>1E-10</v>
      </c>
      <c r="AN308" s="80">
        <v>1E-10</v>
      </c>
      <c r="AO308" s="80">
        <v>1E-10</v>
      </c>
      <c r="AP308" s="80">
        <v>1E-10</v>
      </c>
      <c r="AQ308" s="80">
        <v>1E-10</v>
      </c>
      <c r="AR308" s="81">
        <v>1E-10</v>
      </c>
      <c r="AS308" s="115">
        <f t="shared" si="35"/>
        <v>0.1640000039000003</v>
      </c>
      <c r="AT308" s="66">
        <f t="shared" si="36"/>
        <v>6.9004241478720532E-4</v>
      </c>
    </row>
    <row r="309" spans="2:46">
      <c r="B309" s="65"/>
      <c r="C309" s="66" t="s">
        <v>339</v>
      </c>
      <c r="D309" s="140" t="s">
        <v>223</v>
      </c>
      <c r="E309" s="78">
        <v>1E-10</v>
      </c>
      <c r="F309" s="80">
        <v>1E-10</v>
      </c>
      <c r="G309" s="80">
        <v>1E-10</v>
      </c>
      <c r="H309" s="80">
        <v>1E-10</v>
      </c>
      <c r="I309" s="80">
        <v>1E-10</v>
      </c>
      <c r="J309" s="80">
        <v>1E-10</v>
      </c>
      <c r="K309" s="80">
        <v>1E-10</v>
      </c>
      <c r="L309" s="80">
        <v>1E-10</v>
      </c>
      <c r="M309" s="80">
        <v>1E-10</v>
      </c>
      <c r="N309" s="80">
        <v>1E-10</v>
      </c>
      <c r="O309" s="80">
        <v>1E-10</v>
      </c>
      <c r="P309" s="80">
        <v>1E-10</v>
      </c>
      <c r="Q309" s="103">
        <f>0.5*7.402</f>
        <v>3.7010000000000001</v>
      </c>
      <c r="R309" s="80">
        <v>1E-10</v>
      </c>
      <c r="S309" s="80">
        <v>1E-10</v>
      </c>
      <c r="T309" s="80">
        <v>1E-10</v>
      </c>
      <c r="U309" s="80">
        <v>1E-10</v>
      </c>
      <c r="V309" s="103">
        <v>0.217</v>
      </c>
      <c r="W309" s="103">
        <v>0.40500000000000003</v>
      </c>
      <c r="X309" s="103">
        <v>0.40500000000000003</v>
      </c>
      <c r="Y309" s="103">
        <v>0.40500000000000003</v>
      </c>
      <c r="Z309" s="80">
        <v>1E-10</v>
      </c>
      <c r="AA309" s="80">
        <v>1E-10</v>
      </c>
      <c r="AB309" s="80">
        <v>1E-10</v>
      </c>
      <c r="AC309" s="80">
        <v>1E-10</v>
      </c>
      <c r="AD309" s="80">
        <v>1E-10</v>
      </c>
      <c r="AE309" s="80">
        <v>1E-10</v>
      </c>
      <c r="AF309" s="80">
        <v>1E-10</v>
      </c>
      <c r="AG309" s="80">
        <v>1E-10</v>
      </c>
      <c r="AH309" s="103">
        <v>4</v>
      </c>
      <c r="AI309" s="80">
        <v>1E-10</v>
      </c>
      <c r="AJ309" s="80">
        <v>1E-10</v>
      </c>
      <c r="AK309" s="80">
        <v>1E-10</v>
      </c>
      <c r="AL309" s="80">
        <v>1E-10</v>
      </c>
      <c r="AM309" s="80">
        <v>1E-10</v>
      </c>
      <c r="AN309" s="103">
        <v>6.3E-2</v>
      </c>
      <c r="AO309" s="80">
        <v>1E-10</v>
      </c>
      <c r="AP309" s="80">
        <v>1E-10</v>
      </c>
      <c r="AQ309" s="103">
        <v>0.315</v>
      </c>
      <c r="AR309" s="99">
        <v>0.154</v>
      </c>
      <c r="AS309" s="115">
        <f t="shared" si="35"/>
        <v>9.6650000031000012</v>
      </c>
      <c r="AT309" s="66">
        <f t="shared" si="36"/>
        <v>4.0666218185726882E-2</v>
      </c>
    </row>
    <row r="310" spans="2:46">
      <c r="B310" s="65"/>
      <c r="C310" s="66" t="s">
        <v>340</v>
      </c>
      <c r="D310" s="140" t="s">
        <v>223</v>
      </c>
      <c r="E310" s="78">
        <v>1E-10</v>
      </c>
      <c r="F310" s="80">
        <v>1E-10</v>
      </c>
      <c r="G310" s="80">
        <v>1E-10</v>
      </c>
      <c r="H310" s="80">
        <v>1E-10</v>
      </c>
      <c r="I310" s="80">
        <v>1E-10</v>
      </c>
      <c r="J310" s="80">
        <v>1E-10</v>
      </c>
      <c r="K310" s="80">
        <v>1E-10</v>
      </c>
      <c r="L310" s="80">
        <v>1E-10</v>
      </c>
      <c r="M310" s="80">
        <v>1E-10</v>
      </c>
      <c r="N310" s="80">
        <v>1E-10</v>
      </c>
      <c r="O310" s="80">
        <v>1E-10</v>
      </c>
      <c r="P310" s="80">
        <v>1E-10</v>
      </c>
      <c r="Q310" s="80">
        <v>1E-10</v>
      </c>
      <c r="R310" s="80">
        <v>1E-10</v>
      </c>
      <c r="S310" s="80">
        <v>1E-10</v>
      </c>
      <c r="T310" s="80">
        <v>1E-10</v>
      </c>
      <c r="U310" s="80">
        <v>1E-10</v>
      </c>
      <c r="V310" s="80">
        <v>1E-10</v>
      </c>
      <c r="W310" s="80">
        <v>1E-10</v>
      </c>
      <c r="X310" s="80">
        <v>1E-10</v>
      </c>
      <c r="Y310" s="80">
        <v>1E-10</v>
      </c>
      <c r="Z310" s="80">
        <v>1E-10</v>
      </c>
      <c r="AA310" s="80">
        <v>1E-10</v>
      </c>
      <c r="AB310" s="80">
        <v>1E-10</v>
      </c>
      <c r="AC310" s="80">
        <v>1E-10</v>
      </c>
      <c r="AD310" s="80">
        <v>1E-10</v>
      </c>
      <c r="AE310" s="80">
        <v>1E-10</v>
      </c>
      <c r="AF310" s="80">
        <v>1E-10</v>
      </c>
      <c r="AG310" s="80">
        <v>1E-10</v>
      </c>
      <c r="AH310" s="80">
        <v>1E-10</v>
      </c>
      <c r="AI310" s="80">
        <v>1E-10</v>
      </c>
      <c r="AJ310" s="80">
        <v>1E-10</v>
      </c>
      <c r="AK310" s="80">
        <v>1E-10</v>
      </c>
      <c r="AL310" s="103">
        <v>0.61399999999999999</v>
      </c>
      <c r="AM310" s="80">
        <v>1E-10</v>
      </c>
      <c r="AN310" s="80">
        <v>1E-10</v>
      </c>
      <c r="AO310" s="80">
        <v>1E-10</v>
      </c>
      <c r="AP310" s="80">
        <v>1E-10</v>
      </c>
      <c r="AQ310" s="80">
        <v>1E-10</v>
      </c>
      <c r="AR310" s="81">
        <v>1E-10</v>
      </c>
      <c r="AS310" s="115">
        <f t="shared" si="35"/>
        <v>0.61400000390000009</v>
      </c>
      <c r="AT310" s="66">
        <f t="shared" si="36"/>
        <v>2.5834514347259033E-3</v>
      </c>
    </row>
    <row r="311" spans="2:46">
      <c r="B311" s="65"/>
      <c r="C311" s="66" t="s">
        <v>427</v>
      </c>
      <c r="D311" s="140" t="s">
        <v>223</v>
      </c>
      <c r="E311" s="78">
        <v>1E-10</v>
      </c>
      <c r="F311" s="80">
        <v>1E-10</v>
      </c>
      <c r="G311" s="80">
        <v>1E-10</v>
      </c>
      <c r="H311" s="80">
        <v>1E-10</v>
      </c>
      <c r="I311" s="80">
        <v>1E-10</v>
      </c>
      <c r="J311" s="80">
        <v>1E-10</v>
      </c>
      <c r="K311" s="80">
        <v>1E-10</v>
      </c>
      <c r="L311" s="80">
        <v>1E-10</v>
      </c>
      <c r="M311" s="80">
        <v>1E-10</v>
      </c>
      <c r="N311" s="80">
        <v>1E-10</v>
      </c>
      <c r="O311" s="80">
        <v>1E-10</v>
      </c>
      <c r="P311" s="80">
        <v>1E-10</v>
      </c>
      <c r="Q311" s="80">
        <v>1E-10</v>
      </c>
      <c r="R311" s="80">
        <v>1E-10</v>
      </c>
      <c r="S311" s="80">
        <v>1E-10</v>
      </c>
      <c r="T311" s="80">
        <v>1E-10</v>
      </c>
      <c r="U311" s="80">
        <v>1E-10</v>
      </c>
      <c r="V311" s="80">
        <v>1E-10</v>
      </c>
      <c r="W311" s="80">
        <v>1E-10</v>
      </c>
      <c r="X311" s="80">
        <v>1E-10</v>
      </c>
      <c r="Y311" s="80">
        <v>1E-10</v>
      </c>
      <c r="Z311" s="80">
        <v>1E-10</v>
      </c>
      <c r="AA311" s="80">
        <v>1E-10</v>
      </c>
      <c r="AB311" s="80">
        <v>1E-10</v>
      </c>
      <c r="AC311" s="80">
        <v>1E-10</v>
      </c>
      <c r="AD311" s="103">
        <v>0.378</v>
      </c>
      <c r="AE311" s="80">
        <v>1E-10</v>
      </c>
      <c r="AF311" s="80">
        <v>1E-10</v>
      </c>
      <c r="AG311" s="80">
        <v>1E-10</v>
      </c>
      <c r="AH311" s="80">
        <v>1E-10</v>
      </c>
      <c r="AI311" s="80">
        <v>1E-10</v>
      </c>
      <c r="AJ311" s="80">
        <v>1E-10</v>
      </c>
      <c r="AK311" s="80">
        <v>1E-10</v>
      </c>
      <c r="AL311" s="80">
        <v>1E-10</v>
      </c>
      <c r="AM311" s="80">
        <v>1E-10</v>
      </c>
      <c r="AN311" s="80">
        <v>1E-10</v>
      </c>
      <c r="AO311" s="80">
        <v>1E-10</v>
      </c>
      <c r="AP311" s="80">
        <v>1E-10</v>
      </c>
      <c r="AQ311" s="80">
        <v>1E-10</v>
      </c>
      <c r="AR311" s="81">
        <v>1E-10</v>
      </c>
      <c r="AS311" s="115">
        <f t="shared" si="35"/>
        <v>0.3780000039000001</v>
      </c>
      <c r="AT311" s="66">
        <f t="shared" si="36"/>
        <v>1.5904635931580525E-3</v>
      </c>
    </row>
    <row r="312" spans="2:46">
      <c r="B312" s="65"/>
      <c r="C312" s="66" t="s">
        <v>428</v>
      </c>
      <c r="D312" s="140" t="s">
        <v>223</v>
      </c>
      <c r="E312" s="78">
        <v>1E-10</v>
      </c>
      <c r="F312" s="80">
        <v>1E-10</v>
      </c>
      <c r="G312" s="80">
        <v>1E-10</v>
      </c>
      <c r="H312" s="80">
        <v>1E-10</v>
      </c>
      <c r="I312" s="80">
        <v>1E-10</v>
      </c>
      <c r="J312" s="80">
        <v>1E-10</v>
      </c>
      <c r="K312" s="103">
        <f>0.5*1.81</f>
        <v>0.90500000000000003</v>
      </c>
      <c r="L312" s="80">
        <v>1E-10</v>
      </c>
      <c r="M312" s="80">
        <v>1E-10</v>
      </c>
      <c r="N312" s="80">
        <v>1E-10</v>
      </c>
      <c r="O312" s="80">
        <v>1E-10</v>
      </c>
      <c r="P312" s="80">
        <v>1E-10</v>
      </c>
      <c r="Q312" s="80">
        <v>1E-10</v>
      </c>
      <c r="R312" s="80">
        <v>1E-10</v>
      </c>
      <c r="S312" s="80">
        <v>1E-10</v>
      </c>
      <c r="T312" s="80">
        <v>1E-10</v>
      </c>
      <c r="U312" s="80">
        <v>1E-10</v>
      </c>
      <c r="V312" s="80">
        <v>1E-10</v>
      </c>
      <c r="W312" s="80">
        <v>1E-10</v>
      </c>
      <c r="X312" s="80">
        <v>1E-10</v>
      </c>
      <c r="Y312" s="80">
        <v>1E-10</v>
      </c>
      <c r="Z312" s="80">
        <v>1E-10</v>
      </c>
      <c r="AA312" s="80">
        <v>1E-10</v>
      </c>
      <c r="AB312" s="80">
        <v>1E-10</v>
      </c>
      <c r="AC312" s="80">
        <v>1E-10</v>
      </c>
      <c r="AD312" s="80">
        <v>1E-10</v>
      </c>
      <c r="AE312" s="80">
        <v>1E-10</v>
      </c>
      <c r="AF312" s="80">
        <v>1E-10</v>
      </c>
      <c r="AG312" s="80">
        <v>1E-10</v>
      </c>
      <c r="AH312" s="80">
        <v>1E-10</v>
      </c>
      <c r="AI312" s="80">
        <v>1E-10</v>
      </c>
      <c r="AJ312" s="80">
        <v>1E-10</v>
      </c>
      <c r="AK312" s="80">
        <v>1E-10</v>
      </c>
      <c r="AL312" s="80">
        <v>1E-10</v>
      </c>
      <c r="AM312" s="80">
        <v>1E-10</v>
      </c>
      <c r="AN312" s="80">
        <v>1E-10</v>
      </c>
      <c r="AO312" s="80">
        <v>1E-10</v>
      </c>
      <c r="AP312" s="80">
        <v>1E-10</v>
      </c>
      <c r="AQ312" s="80">
        <v>1E-10</v>
      </c>
      <c r="AR312" s="81">
        <v>1E-10</v>
      </c>
      <c r="AS312" s="115">
        <f t="shared" si="35"/>
        <v>0.90500000390000035</v>
      </c>
      <c r="AT312" s="66">
        <f t="shared" si="36"/>
        <v>3.8078559342862631E-3</v>
      </c>
    </row>
    <row r="313" spans="2:46">
      <c r="B313" s="65"/>
      <c r="C313" s="66" t="s">
        <v>341</v>
      </c>
      <c r="D313" s="140" t="s">
        <v>223</v>
      </c>
      <c r="E313" s="78">
        <v>1E-10</v>
      </c>
      <c r="F313" s="80">
        <v>1E-10</v>
      </c>
      <c r="G313" s="80">
        <v>1E-10</v>
      </c>
      <c r="H313" s="103">
        <v>3.8319999999999999</v>
      </c>
      <c r="I313" s="80">
        <v>1E-10</v>
      </c>
      <c r="J313" s="103">
        <f>0.5*10.14</f>
        <v>5.07</v>
      </c>
      <c r="K313" s="80">
        <v>1E-10</v>
      </c>
      <c r="L313" s="80">
        <v>1E-10</v>
      </c>
      <c r="M313" s="80">
        <v>1E-10</v>
      </c>
      <c r="N313" s="80">
        <v>1E-10</v>
      </c>
      <c r="O313" s="80">
        <v>1E-10</v>
      </c>
      <c r="P313" s="80">
        <v>1E-10</v>
      </c>
      <c r="Q313" s="80">
        <v>1E-10</v>
      </c>
      <c r="R313" s="80">
        <v>1E-10</v>
      </c>
      <c r="S313" s="80">
        <v>1E-10</v>
      </c>
      <c r="T313" s="80">
        <v>1E-10</v>
      </c>
      <c r="U313" s="80">
        <v>1E-10</v>
      </c>
      <c r="V313" s="103">
        <v>0.217</v>
      </c>
      <c r="W313" s="103">
        <v>0.40500000000000003</v>
      </c>
      <c r="X313" s="103">
        <v>0.40500000000000003</v>
      </c>
      <c r="Y313" s="103">
        <v>0.40500000000000003</v>
      </c>
      <c r="Z313" s="80">
        <v>1E-10</v>
      </c>
      <c r="AA313" s="80">
        <v>1E-10</v>
      </c>
      <c r="AB313" s="80">
        <v>1E-10</v>
      </c>
      <c r="AC313" s="80">
        <v>1E-10</v>
      </c>
      <c r="AD313" s="80">
        <v>1E-10</v>
      </c>
      <c r="AE313" s="80">
        <v>1E-10</v>
      </c>
      <c r="AF313" s="80">
        <v>1E-10</v>
      </c>
      <c r="AG313" s="80">
        <v>1E-10</v>
      </c>
      <c r="AH313" s="80">
        <v>1E-10</v>
      </c>
      <c r="AI313" s="80">
        <v>1E-10</v>
      </c>
      <c r="AJ313" s="80">
        <v>1E-10</v>
      </c>
      <c r="AK313" s="80">
        <v>1E-10</v>
      </c>
      <c r="AL313" s="80">
        <v>1E-10</v>
      </c>
      <c r="AM313" s="80">
        <v>1E-10</v>
      </c>
      <c r="AN313" s="103">
        <v>6.3E-2</v>
      </c>
      <c r="AO313" s="80">
        <v>1E-10</v>
      </c>
      <c r="AP313" s="103">
        <v>1.694</v>
      </c>
      <c r="AQ313" s="103">
        <v>0.315</v>
      </c>
      <c r="AR313" s="81">
        <v>1E-10</v>
      </c>
      <c r="AS313" s="115">
        <f t="shared" si="35"/>
        <v>12.406000003100001</v>
      </c>
      <c r="AT313" s="66">
        <f t="shared" si="36"/>
        <v>5.2199182904953484E-2</v>
      </c>
    </row>
    <row r="314" spans="2:46">
      <c r="B314" s="65"/>
      <c r="C314" s="66" t="s">
        <v>429</v>
      </c>
      <c r="D314" s="140" t="s">
        <v>223</v>
      </c>
      <c r="E314" s="78">
        <v>1E-10</v>
      </c>
      <c r="F314" s="103">
        <v>0.86599999999999999</v>
      </c>
      <c r="G314" s="80">
        <v>1E-10</v>
      </c>
      <c r="H314" s="80">
        <v>1E-10</v>
      </c>
      <c r="I314" s="80">
        <v>1E-10</v>
      </c>
      <c r="J314" s="80">
        <v>1E-10</v>
      </c>
      <c r="K314" s="80">
        <v>1E-10</v>
      </c>
      <c r="L314" s="80">
        <v>1E-10</v>
      </c>
      <c r="M314" s="80">
        <v>1E-10</v>
      </c>
      <c r="N314" s="80">
        <v>1E-10</v>
      </c>
      <c r="O314" s="80">
        <v>1E-10</v>
      </c>
      <c r="P314" s="80">
        <v>1E-10</v>
      </c>
      <c r="Q314" s="80">
        <v>1E-10</v>
      </c>
      <c r="R314" s="80">
        <v>1E-10</v>
      </c>
      <c r="S314" s="80">
        <v>1E-10</v>
      </c>
      <c r="T314" s="80">
        <v>1E-10</v>
      </c>
      <c r="U314" s="80">
        <v>1E-10</v>
      </c>
      <c r="V314" s="80">
        <v>1E-10</v>
      </c>
      <c r="W314" s="80">
        <v>1E-10</v>
      </c>
      <c r="X314" s="80">
        <v>1E-10</v>
      </c>
      <c r="Y314" s="80">
        <v>1E-10</v>
      </c>
      <c r="Z314" s="80">
        <v>1E-10</v>
      </c>
      <c r="AA314" s="80">
        <v>1E-10</v>
      </c>
      <c r="AB314" s="80">
        <v>1E-10</v>
      </c>
      <c r="AC314" s="80">
        <v>1E-10</v>
      </c>
      <c r="AD314" s="80">
        <v>1E-10</v>
      </c>
      <c r="AE314" s="80">
        <v>1E-10</v>
      </c>
      <c r="AF314" s="80">
        <v>1E-10</v>
      </c>
      <c r="AG314" s="80">
        <v>1E-10</v>
      </c>
      <c r="AH314" s="80">
        <v>1E-10</v>
      </c>
      <c r="AI314" s="80">
        <v>1E-10</v>
      </c>
      <c r="AJ314" s="80">
        <v>1E-10</v>
      </c>
      <c r="AK314" s="80">
        <v>1E-10</v>
      </c>
      <c r="AL314" s="80">
        <v>1E-10</v>
      </c>
      <c r="AM314" s="80">
        <v>1E-10</v>
      </c>
      <c r="AN314" s="80">
        <v>1E-10</v>
      </c>
      <c r="AO314" s="80">
        <v>1E-10</v>
      </c>
      <c r="AP314" s="80">
        <v>1E-10</v>
      </c>
      <c r="AQ314" s="80">
        <v>1E-10</v>
      </c>
      <c r="AR314" s="81">
        <v>1E-10</v>
      </c>
      <c r="AS314" s="115">
        <f t="shared" si="35"/>
        <v>0.86600000390000031</v>
      </c>
      <c r="AT314" s="66">
        <f t="shared" si="36"/>
        <v>3.6437604858915759E-3</v>
      </c>
    </row>
    <row r="315" spans="2:46">
      <c r="B315" s="65"/>
      <c r="C315" s="66" t="s">
        <v>342</v>
      </c>
      <c r="D315" s="140" t="s">
        <v>223</v>
      </c>
      <c r="E315" s="78">
        <v>1E-10</v>
      </c>
      <c r="F315" s="80">
        <v>1E-10</v>
      </c>
      <c r="G315" s="103">
        <v>0.48</v>
      </c>
      <c r="H315" s="80">
        <v>1E-10</v>
      </c>
      <c r="I315" s="80">
        <v>1E-10</v>
      </c>
      <c r="J315" s="80">
        <v>1E-10</v>
      </c>
      <c r="K315" s="80">
        <v>1E-10</v>
      </c>
      <c r="L315" s="80">
        <v>1E-10</v>
      </c>
      <c r="M315" s="80">
        <v>1E-10</v>
      </c>
      <c r="N315" s="80">
        <v>1E-10</v>
      </c>
      <c r="O315" s="80">
        <v>1E-10</v>
      </c>
      <c r="P315" s="80">
        <v>1E-10</v>
      </c>
      <c r="Q315" s="80">
        <v>1E-10</v>
      </c>
      <c r="R315" s="80">
        <v>1E-10</v>
      </c>
      <c r="S315" s="103">
        <v>0.23799999999999999</v>
      </c>
      <c r="T315" s="103">
        <v>0.09</v>
      </c>
      <c r="U315" s="80">
        <v>1E-10</v>
      </c>
      <c r="V315" s="80">
        <v>1E-10</v>
      </c>
      <c r="W315" s="80">
        <v>1E-10</v>
      </c>
      <c r="X315" s="80">
        <v>1E-10</v>
      </c>
      <c r="Y315" s="80">
        <v>1E-10</v>
      </c>
      <c r="Z315" s="80">
        <v>1E-10</v>
      </c>
      <c r="AA315" s="80">
        <v>1E-10</v>
      </c>
      <c r="AB315" s="80">
        <v>1E-10</v>
      </c>
      <c r="AC315" s="80">
        <v>1E-10</v>
      </c>
      <c r="AD315" s="80">
        <v>1E-10</v>
      </c>
      <c r="AE315" s="80">
        <v>1E-10</v>
      </c>
      <c r="AF315" s="80">
        <v>1E-10</v>
      </c>
      <c r="AG315" s="80">
        <v>1E-10</v>
      </c>
      <c r="AH315" s="80">
        <v>1E-10</v>
      </c>
      <c r="AI315" s="80">
        <v>1E-10</v>
      </c>
      <c r="AJ315" s="80">
        <v>1E-10</v>
      </c>
      <c r="AK315" s="80">
        <v>1E-10</v>
      </c>
      <c r="AL315" s="80">
        <v>1E-10</v>
      </c>
      <c r="AM315" s="80">
        <v>1E-10</v>
      </c>
      <c r="AN315" s="80">
        <v>1E-10</v>
      </c>
      <c r="AO315" s="103">
        <v>1.5660000000000001</v>
      </c>
      <c r="AP315" s="80">
        <v>1E-10</v>
      </c>
      <c r="AQ315" s="80">
        <v>1E-10</v>
      </c>
      <c r="AR315" s="81">
        <v>1E-10</v>
      </c>
      <c r="AS315" s="115">
        <f t="shared" si="35"/>
        <v>2.3740000036000004</v>
      </c>
      <c r="AT315" s="66">
        <f t="shared" si="36"/>
        <v>9.9887844892238772E-3</v>
      </c>
    </row>
    <row r="316" spans="2:46">
      <c r="B316" s="65"/>
      <c r="C316" s="66" t="s">
        <v>430</v>
      </c>
      <c r="D316" s="140" t="s">
        <v>223</v>
      </c>
      <c r="E316" s="78">
        <v>1E-10</v>
      </c>
      <c r="F316" s="80">
        <v>1E-10</v>
      </c>
      <c r="G316" s="80">
        <v>1E-10</v>
      </c>
      <c r="H316" s="80">
        <v>1E-10</v>
      </c>
      <c r="I316" s="80">
        <v>1E-10</v>
      </c>
      <c r="J316" s="80">
        <v>1E-10</v>
      </c>
      <c r="K316" s="80">
        <v>1E-10</v>
      </c>
      <c r="L316" s="80">
        <v>1E-10</v>
      </c>
      <c r="M316" s="80">
        <v>1E-10</v>
      </c>
      <c r="N316" s="80">
        <v>1E-10</v>
      </c>
      <c r="O316" s="80">
        <v>1E-10</v>
      </c>
      <c r="P316" s="80">
        <v>1E-10</v>
      </c>
      <c r="Q316" s="103">
        <f>0.5*7.402</f>
        <v>3.7010000000000001</v>
      </c>
      <c r="R316" s="80">
        <v>1E-10</v>
      </c>
      <c r="S316" s="80">
        <v>1E-10</v>
      </c>
      <c r="T316" s="80">
        <v>1E-10</v>
      </c>
      <c r="U316" s="80">
        <v>1E-10</v>
      </c>
      <c r="V316" s="80">
        <v>1E-10</v>
      </c>
      <c r="W316" s="80">
        <v>1E-10</v>
      </c>
      <c r="X316" s="80">
        <v>1E-10</v>
      </c>
      <c r="Y316" s="80">
        <v>1E-10</v>
      </c>
      <c r="Z316" s="80">
        <v>1E-10</v>
      </c>
      <c r="AA316" s="80">
        <v>1E-10</v>
      </c>
      <c r="AB316" s="80">
        <v>1E-10</v>
      </c>
      <c r="AC316" s="80">
        <v>1E-10</v>
      </c>
      <c r="AD316" s="80">
        <v>1E-10</v>
      </c>
      <c r="AE316" s="80">
        <v>1E-10</v>
      </c>
      <c r="AF316" s="80">
        <v>1E-10</v>
      </c>
      <c r="AG316" s="80">
        <v>1E-10</v>
      </c>
      <c r="AH316" s="80">
        <v>1E-10</v>
      </c>
      <c r="AI316" s="80">
        <v>1E-10</v>
      </c>
      <c r="AJ316" s="80">
        <v>1E-10</v>
      </c>
      <c r="AK316" s="80">
        <v>1E-10</v>
      </c>
      <c r="AL316" s="80">
        <v>1E-10</v>
      </c>
      <c r="AM316" s="80">
        <v>1E-10</v>
      </c>
      <c r="AN316" s="80">
        <v>1E-10</v>
      </c>
      <c r="AO316" s="80">
        <v>1E-10</v>
      </c>
      <c r="AP316" s="80">
        <v>1E-10</v>
      </c>
      <c r="AQ316" s="80">
        <v>1E-10</v>
      </c>
      <c r="AR316" s="81">
        <v>1E-10</v>
      </c>
      <c r="AS316" s="115">
        <f t="shared" si="35"/>
        <v>3.7010000039000004</v>
      </c>
      <c r="AT316" s="66">
        <f t="shared" si="36"/>
        <v>1.557223731150538E-2</v>
      </c>
    </row>
    <row r="317" spans="2:46">
      <c r="B317" s="65"/>
      <c r="C317" s="66" t="s">
        <v>431</v>
      </c>
      <c r="D317" s="140" t="s">
        <v>223</v>
      </c>
      <c r="E317" s="78">
        <v>1E-10</v>
      </c>
      <c r="F317" s="80">
        <v>1E-10</v>
      </c>
      <c r="G317" s="80">
        <v>1E-10</v>
      </c>
      <c r="H317" s="80">
        <v>1E-10</v>
      </c>
      <c r="I317" s="80">
        <v>1E-10</v>
      </c>
      <c r="J317" s="80">
        <v>1E-10</v>
      </c>
      <c r="K317" s="80">
        <v>1E-10</v>
      </c>
      <c r="L317" s="80">
        <v>1E-10</v>
      </c>
      <c r="M317" s="80">
        <v>1E-10</v>
      </c>
      <c r="N317" s="80">
        <v>1E-10</v>
      </c>
      <c r="O317" s="80">
        <v>1E-10</v>
      </c>
      <c r="P317" s="80">
        <v>1E-10</v>
      </c>
      <c r="Q317" s="80">
        <v>1E-10</v>
      </c>
      <c r="R317" s="80">
        <v>1E-10</v>
      </c>
      <c r="S317" s="80">
        <v>1E-10</v>
      </c>
      <c r="T317" s="80">
        <v>1E-10</v>
      </c>
      <c r="U317" s="80">
        <v>1E-10</v>
      </c>
      <c r="V317" s="80">
        <v>1E-10</v>
      </c>
      <c r="W317" s="80">
        <v>1E-10</v>
      </c>
      <c r="X317" s="80">
        <v>1E-10</v>
      </c>
      <c r="Y317" s="80">
        <v>1E-10</v>
      </c>
      <c r="Z317" s="80">
        <v>1E-10</v>
      </c>
      <c r="AA317" s="80">
        <v>1E-10</v>
      </c>
      <c r="AB317" s="103">
        <v>3.4990000000000001</v>
      </c>
      <c r="AC317" s="103">
        <v>5.423</v>
      </c>
      <c r="AD317" s="80">
        <v>1E-10</v>
      </c>
      <c r="AE317" s="80">
        <v>1E-10</v>
      </c>
      <c r="AF317" s="103">
        <v>0.496</v>
      </c>
      <c r="AG317" s="80">
        <v>1E-10</v>
      </c>
      <c r="AH317" s="80">
        <v>1E-10</v>
      </c>
      <c r="AI317" s="80">
        <v>1E-10</v>
      </c>
      <c r="AJ317" s="80">
        <v>1E-10</v>
      </c>
      <c r="AK317" s="80">
        <v>1E-10</v>
      </c>
      <c r="AL317" s="80">
        <v>1E-10</v>
      </c>
      <c r="AM317" s="80">
        <v>1E-10</v>
      </c>
      <c r="AN317" s="80">
        <v>1E-10</v>
      </c>
      <c r="AO317" s="80">
        <v>1E-10</v>
      </c>
      <c r="AP317" s="80">
        <v>1E-10</v>
      </c>
      <c r="AQ317" s="80">
        <v>1E-10</v>
      </c>
      <c r="AR317" s="81">
        <v>1E-10</v>
      </c>
      <c r="AS317" s="115">
        <f t="shared" si="35"/>
        <v>9.4180000037000013</v>
      </c>
      <c r="AT317" s="66">
        <f t="shared" si="36"/>
        <v>3.9626947015085075E-2</v>
      </c>
    </row>
    <row r="318" spans="2:46">
      <c r="B318" s="65"/>
      <c r="C318" s="66" t="s">
        <v>432</v>
      </c>
      <c r="D318" s="140" t="s">
        <v>223</v>
      </c>
      <c r="E318" s="78">
        <v>1E-10</v>
      </c>
      <c r="F318" s="80">
        <v>1E-10</v>
      </c>
      <c r="G318" s="80">
        <v>1E-10</v>
      </c>
      <c r="H318" s="80">
        <v>1E-10</v>
      </c>
      <c r="I318" s="80">
        <v>1E-10</v>
      </c>
      <c r="J318" s="80">
        <v>1E-10</v>
      </c>
      <c r="K318" s="80">
        <v>1E-10</v>
      </c>
      <c r="L318" s="80">
        <v>1E-10</v>
      </c>
      <c r="M318" s="80">
        <v>1E-10</v>
      </c>
      <c r="N318" s="80">
        <v>1E-10</v>
      </c>
      <c r="O318" s="80">
        <v>1E-10</v>
      </c>
      <c r="P318" s="80">
        <v>1E-10</v>
      </c>
      <c r="Q318" s="80">
        <v>1E-10</v>
      </c>
      <c r="R318" s="80">
        <v>1E-10</v>
      </c>
      <c r="S318" s="80">
        <v>1E-10</v>
      </c>
      <c r="T318" s="80">
        <v>1E-10</v>
      </c>
      <c r="U318" s="80">
        <v>1E-10</v>
      </c>
      <c r="V318" s="80">
        <v>1E-10</v>
      </c>
      <c r="W318" s="80">
        <v>1E-10</v>
      </c>
      <c r="X318" s="80">
        <v>1E-10</v>
      </c>
      <c r="Y318" s="80">
        <v>1E-10</v>
      </c>
      <c r="Z318" s="80">
        <v>1E-10</v>
      </c>
      <c r="AA318" s="80">
        <v>1E-10</v>
      </c>
      <c r="AB318" s="80">
        <v>1E-10</v>
      </c>
      <c r="AC318" s="80">
        <v>1E-10</v>
      </c>
      <c r="AD318" s="80">
        <v>1E-10</v>
      </c>
      <c r="AE318" s="80">
        <v>1E-10</v>
      </c>
      <c r="AF318" s="80">
        <v>1E-10</v>
      </c>
      <c r="AG318" s="80">
        <v>1E-10</v>
      </c>
      <c r="AH318" s="103">
        <v>0.2</v>
      </c>
      <c r="AI318" s="80">
        <v>1E-10</v>
      </c>
      <c r="AJ318" s="80">
        <v>1E-10</v>
      </c>
      <c r="AK318" s="80">
        <v>1E-10</v>
      </c>
      <c r="AL318" s="80">
        <v>1E-10</v>
      </c>
      <c r="AM318" s="80">
        <v>1E-10</v>
      </c>
      <c r="AN318" s="80">
        <v>1E-10</v>
      </c>
      <c r="AO318" s="80">
        <v>1E-10</v>
      </c>
      <c r="AP318" s="80">
        <v>1E-10</v>
      </c>
      <c r="AQ318" s="80">
        <v>1E-10</v>
      </c>
      <c r="AR318" s="81">
        <v>1E-10</v>
      </c>
      <c r="AS318" s="115">
        <f t="shared" si="35"/>
        <v>0.20000000390000008</v>
      </c>
      <c r="AT318" s="66">
        <f t="shared" si="36"/>
        <v>8.4151513638230024E-4</v>
      </c>
    </row>
    <row r="319" spans="2:46">
      <c r="B319" s="126"/>
      <c r="C319" s="112" t="s">
        <v>433</v>
      </c>
      <c r="D319" s="140" t="s">
        <v>223</v>
      </c>
      <c r="E319" s="78">
        <v>1E-10</v>
      </c>
      <c r="F319" s="80">
        <v>1E-10</v>
      </c>
      <c r="G319" s="80">
        <v>1E-10</v>
      </c>
      <c r="H319" s="80">
        <v>1E-10</v>
      </c>
      <c r="I319" s="80">
        <v>1E-10</v>
      </c>
      <c r="J319" s="80">
        <v>1E-10</v>
      </c>
      <c r="K319" s="80">
        <v>1E-10</v>
      </c>
      <c r="L319" s="80">
        <v>1E-10</v>
      </c>
      <c r="M319" s="80">
        <v>1E-10</v>
      </c>
      <c r="N319" s="80">
        <v>1E-10</v>
      </c>
      <c r="O319" s="103">
        <v>5.8876289626</v>
      </c>
      <c r="P319" s="80">
        <v>1E-10</v>
      </c>
      <c r="Q319" s="80">
        <v>1E-10</v>
      </c>
      <c r="R319" s="80">
        <v>1E-10</v>
      </c>
      <c r="S319" s="80">
        <v>1E-10</v>
      </c>
      <c r="T319" s="80">
        <v>1E-10</v>
      </c>
      <c r="U319" s="80">
        <v>1E-10</v>
      </c>
      <c r="V319" s="80">
        <v>1E-10</v>
      </c>
      <c r="W319" s="80">
        <v>1E-10</v>
      </c>
      <c r="X319" s="80">
        <v>1E-10</v>
      </c>
      <c r="Y319" s="80">
        <v>1E-10</v>
      </c>
      <c r="Z319" s="103">
        <v>12.071889559360001</v>
      </c>
      <c r="AA319" s="79">
        <v>12</v>
      </c>
      <c r="AB319" s="80">
        <v>1E-10</v>
      </c>
      <c r="AC319" s="80">
        <v>1E-10</v>
      </c>
      <c r="AD319" s="80">
        <v>1E-10</v>
      </c>
      <c r="AE319" s="80">
        <v>1E-10</v>
      </c>
      <c r="AF319" s="80">
        <v>1E-10</v>
      </c>
      <c r="AG319" s="103">
        <v>15.085160992800004</v>
      </c>
      <c r="AH319" s="103">
        <v>10</v>
      </c>
      <c r="AI319" s="103">
        <v>5.8876289626</v>
      </c>
      <c r="AJ319" s="103">
        <v>4.9895160700000005</v>
      </c>
      <c r="AK319" s="80">
        <v>1E-10</v>
      </c>
      <c r="AL319" s="80">
        <v>1E-10</v>
      </c>
      <c r="AM319" s="80">
        <v>1E-10</v>
      </c>
      <c r="AN319" s="80">
        <v>1E-10</v>
      </c>
      <c r="AO319" s="80">
        <v>1E-10</v>
      </c>
      <c r="AP319" s="80">
        <v>1E-10</v>
      </c>
      <c r="AQ319" s="80">
        <v>1E-10</v>
      </c>
      <c r="AR319" s="81">
        <v>1E-10</v>
      </c>
      <c r="AS319" s="115">
        <f t="shared" si="35"/>
        <v>65.921824550660006</v>
      </c>
      <c r="AT319" s="66">
        <f t="shared" si="36"/>
        <v>0.27737106047785781</v>
      </c>
    </row>
    <row r="320" spans="2:46">
      <c r="C320" s="140" t="s">
        <v>434</v>
      </c>
      <c r="D320" s="140" t="s">
        <v>223</v>
      </c>
      <c r="E320" s="78">
        <v>1E-10</v>
      </c>
      <c r="F320" s="80">
        <v>1E-10</v>
      </c>
      <c r="G320" s="80">
        <v>1E-10</v>
      </c>
      <c r="H320" s="80">
        <v>1E-10</v>
      </c>
      <c r="I320" s="80">
        <v>1E-10</v>
      </c>
      <c r="J320" s="80">
        <v>1E-10</v>
      </c>
      <c r="K320" s="80">
        <v>1E-10</v>
      </c>
      <c r="L320" s="80">
        <v>1E-10</v>
      </c>
      <c r="M320" s="103">
        <v>0.14968548210000002</v>
      </c>
      <c r="N320" s="103">
        <f>0.5*1.8</f>
        <v>0.9</v>
      </c>
      <c r="O320" s="80">
        <v>1E-10</v>
      </c>
      <c r="P320" s="80">
        <v>1E-10</v>
      </c>
      <c r="Q320" s="80">
        <v>1E-10</v>
      </c>
      <c r="R320" s="80">
        <v>1E-10</v>
      </c>
      <c r="S320" s="80">
        <v>1E-10</v>
      </c>
      <c r="T320" s="80">
        <v>1E-10</v>
      </c>
      <c r="U320" s="103">
        <v>0.24040395610000001</v>
      </c>
      <c r="V320" s="80">
        <v>1E-10</v>
      </c>
      <c r="W320" s="80">
        <v>1E-10</v>
      </c>
      <c r="X320" s="80">
        <v>1E-10</v>
      </c>
      <c r="Y320" s="80">
        <v>1E-10</v>
      </c>
      <c r="Z320" s="80">
        <v>1E-10</v>
      </c>
      <c r="AA320" s="80">
        <v>1E-10</v>
      </c>
      <c r="AB320" s="80">
        <v>1E-10</v>
      </c>
      <c r="AC320" s="80">
        <v>1E-10</v>
      </c>
      <c r="AD320" s="80">
        <v>1E-10</v>
      </c>
      <c r="AE320" s="80">
        <v>1E-10</v>
      </c>
      <c r="AF320" s="80">
        <v>1E-10</v>
      </c>
      <c r="AG320" s="80">
        <v>1E-10</v>
      </c>
      <c r="AH320" s="103">
        <v>3.1</v>
      </c>
      <c r="AI320" s="80">
        <v>1E-10</v>
      </c>
      <c r="AJ320" s="80">
        <v>1E-10</v>
      </c>
      <c r="AK320" s="80">
        <v>1E-10</v>
      </c>
      <c r="AL320" s="80">
        <v>1E-10</v>
      </c>
      <c r="AM320" s="80">
        <v>1E-10</v>
      </c>
      <c r="AN320" s="80">
        <v>1E-10</v>
      </c>
      <c r="AO320" s="80">
        <v>1E-10</v>
      </c>
      <c r="AP320" s="80">
        <v>1E-10</v>
      </c>
      <c r="AQ320" s="80">
        <v>1E-10</v>
      </c>
      <c r="AR320" s="81">
        <v>1E-10</v>
      </c>
      <c r="AS320" s="115">
        <f t="shared" si="35"/>
        <v>4.3900894418000007</v>
      </c>
      <c r="AT320" s="66">
        <f t="shared" si="36"/>
        <v>1.8471633216537265E-2</v>
      </c>
    </row>
    <row r="321" spans="2:46">
      <c r="C321" s="140" t="s">
        <v>435</v>
      </c>
      <c r="D321" s="140" t="s">
        <v>223</v>
      </c>
      <c r="E321" s="78">
        <v>1E-10</v>
      </c>
      <c r="F321" s="80">
        <v>1E-10</v>
      </c>
      <c r="G321" s="80">
        <v>1E-10</v>
      </c>
      <c r="H321" s="80">
        <v>1E-10</v>
      </c>
      <c r="I321" s="80">
        <v>1E-10</v>
      </c>
      <c r="J321" s="80">
        <v>1E-10</v>
      </c>
      <c r="K321" s="80">
        <v>1E-10</v>
      </c>
      <c r="L321" s="80">
        <v>1E-10</v>
      </c>
      <c r="M321" s="80">
        <v>1E-10</v>
      </c>
      <c r="N321" s="80">
        <v>1E-10</v>
      </c>
      <c r="O321" s="80">
        <v>1E-10</v>
      </c>
      <c r="P321" s="80">
        <v>1E-10</v>
      </c>
      <c r="Q321" s="80">
        <v>1E-10</v>
      </c>
      <c r="R321" s="80">
        <v>1E-10</v>
      </c>
      <c r="S321" s="80">
        <v>1E-10</v>
      </c>
      <c r="T321" s="80">
        <v>1E-10</v>
      </c>
      <c r="U321" s="80">
        <v>1E-10</v>
      </c>
      <c r="V321" s="80">
        <v>1E-10</v>
      </c>
      <c r="W321" s="80">
        <v>1E-10</v>
      </c>
      <c r="X321" s="80">
        <v>1E-10</v>
      </c>
      <c r="Y321" s="80">
        <v>1E-10</v>
      </c>
      <c r="Z321" s="80">
        <v>1E-10</v>
      </c>
      <c r="AA321" s="80">
        <v>1E-10</v>
      </c>
      <c r="AB321" s="80">
        <v>1E-10</v>
      </c>
      <c r="AC321" s="80">
        <v>1E-10</v>
      </c>
      <c r="AD321" s="80">
        <v>1E-10</v>
      </c>
      <c r="AE321" s="80">
        <v>1E-10</v>
      </c>
      <c r="AF321" s="80">
        <v>1E-10</v>
      </c>
      <c r="AG321" s="80">
        <v>1E-10</v>
      </c>
      <c r="AH321" s="103">
        <v>0.9</v>
      </c>
      <c r="AI321" s="80">
        <v>1E-10</v>
      </c>
      <c r="AJ321" s="80">
        <v>1E-10</v>
      </c>
      <c r="AK321" s="80">
        <v>1E-10</v>
      </c>
      <c r="AL321" s="80">
        <v>1E-10</v>
      </c>
      <c r="AM321" s="80">
        <v>1E-10</v>
      </c>
      <c r="AN321" s="80">
        <v>1E-10</v>
      </c>
      <c r="AO321" s="80">
        <v>1E-10</v>
      </c>
      <c r="AP321" s="80">
        <v>1E-10</v>
      </c>
      <c r="AQ321" s="80">
        <v>1E-10</v>
      </c>
      <c r="AR321" s="81">
        <v>1E-10</v>
      </c>
      <c r="AS321" s="115">
        <f t="shared" si="35"/>
        <v>0.90000000390000012</v>
      </c>
      <c r="AT321" s="66">
        <f t="shared" si="36"/>
        <v>3.7868180562869434E-3</v>
      </c>
    </row>
    <row r="322" spans="2:46">
      <c r="B322" s="112" t="s">
        <v>417</v>
      </c>
      <c r="C322" s="126" t="s">
        <v>91</v>
      </c>
      <c r="D322" s="140" t="s">
        <v>223</v>
      </c>
      <c r="E322" s="97">
        <v>11.793401619999999</v>
      </c>
      <c r="F322" s="80">
        <v>1E-10</v>
      </c>
      <c r="G322" s="80">
        <v>1E-10</v>
      </c>
      <c r="H322" s="80">
        <v>1E-10</v>
      </c>
      <c r="I322" s="80">
        <v>1E-10</v>
      </c>
      <c r="J322" s="80">
        <v>1E-10</v>
      </c>
      <c r="K322" s="80">
        <v>1E-10</v>
      </c>
      <c r="L322" s="80">
        <v>1E-10</v>
      </c>
      <c r="M322" s="80">
        <v>1E-10</v>
      </c>
      <c r="N322" s="80">
        <v>1E-10</v>
      </c>
      <c r="O322" s="80">
        <v>1E-10</v>
      </c>
      <c r="P322" s="80">
        <v>1E-10</v>
      </c>
      <c r="Q322" s="80">
        <v>1E-10</v>
      </c>
      <c r="R322" s="80">
        <v>1E-10</v>
      </c>
      <c r="S322" s="80">
        <v>1E-10</v>
      </c>
      <c r="T322" s="80">
        <v>1E-10</v>
      </c>
      <c r="U322" s="80">
        <v>1E-10</v>
      </c>
      <c r="V322" s="80">
        <v>1E-10</v>
      </c>
      <c r="W322" s="80">
        <v>1E-10</v>
      </c>
      <c r="X322" s="80">
        <v>1E-10</v>
      </c>
      <c r="Y322" s="80">
        <v>1E-10</v>
      </c>
      <c r="Z322" s="80">
        <v>1E-10</v>
      </c>
      <c r="AA322" s="80">
        <v>1E-10</v>
      </c>
      <c r="AB322" s="80">
        <v>1E-10</v>
      </c>
      <c r="AC322" s="80">
        <v>1E-10</v>
      </c>
      <c r="AD322" s="80">
        <v>1E-10</v>
      </c>
      <c r="AE322" s="80">
        <v>1E-10</v>
      </c>
      <c r="AF322" s="80">
        <v>1E-10</v>
      </c>
      <c r="AG322" s="80">
        <v>1E-10</v>
      </c>
      <c r="AH322" s="80">
        <v>1E-10</v>
      </c>
      <c r="AI322" s="80">
        <v>1E-10</v>
      </c>
      <c r="AJ322" s="80">
        <v>1E-10</v>
      </c>
      <c r="AK322" s="80">
        <v>1E-10</v>
      </c>
      <c r="AL322" s="80">
        <v>1E-10</v>
      </c>
      <c r="AM322" s="80">
        <v>1E-10</v>
      </c>
      <c r="AN322" s="80">
        <v>1E-10</v>
      </c>
      <c r="AO322" s="80">
        <v>1E-10</v>
      </c>
      <c r="AP322" s="80">
        <v>1E-10</v>
      </c>
      <c r="AQ322" s="80">
        <v>1E-10</v>
      </c>
      <c r="AR322" s="81">
        <v>1E-10</v>
      </c>
      <c r="AS322" s="115">
        <f t="shared" si="35"/>
        <v>11.793401623899999</v>
      </c>
      <c r="AT322" s="66">
        <f t="shared" si="36"/>
        <v>4.9621628912115467E-2</v>
      </c>
    </row>
    <row r="323" spans="2:46" ht="15" thickBot="1">
      <c r="C323" s="126" t="s">
        <v>417</v>
      </c>
      <c r="D323" s="140" t="s">
        <v>223</v>
      </c>
      <c r="E323" s="89">
        <v>1E-10</v>
      </c>
      <c r="F323" s="90">
        <v>1E-10</v>
      </c>
      <c r="G323" s="90">
        <v>1E-10</v>
      </c>
      <c r="H323" s="90">
        <v>1E-10</v>
      </c>
      <c r="I323" s="90">
        <v>1E-10</v>
      </c>
      <c r="J323" s="90">
        <v>1E-10</v>
      </c>
      <c r="K323" s="90">
        <v>1E-10</v>
      </c>
      <c r="L323" s="90">
        <v>1E-10</v>
      </c>
      <c r="M323" s="90">
        <v>1E-10</v>
      </c>
      <c r="N323" s="90">
        <v>1E-10</v>
      </c>
      <c r="O323" s="90">
        <v>1E-10</v>
      </c>
      <c r="P323" s="90">
        <v>1E-10</v>
      </c>
      <c r="Q323" s="90">
        <v>1E-10</v>
      </c>
      <c r="R323" s="90">
        <v>1E-10</v>
      </c>
      <c r="S323" s="90">
        <v>1E-10</v>
      </c>
      <c r="T323" s="90">
        <v>1E-10</v>
      </c>
      <c r="U323" s="90">
        <v>1E-10</v>
      </c>
      <c r="V323" s="90">
        <v>1E-10</v>
      </c>
      <c r="W323" s="90">
        <v>1E-10</v>
      </c>
      <c r="X323" s="90">
        <v>1E-10</v>
      </c>
      <c r="Y323" s="90">
        <v>1E-10</v>
      </c>
      <c r="Z323" s="90">
        <v>1E-10</v>
      </c>
      <c r="AA323" s="90">
        <v>1E-10</v>
      </c>
      <c r="AB323" s="90">
        <v>1E-10</v>
      </c>
      <c r="AC323" s="90">
        <v>1E-10</v>
      </c>
      <c r="AD323" s="90">
        <v>1E-10</v>
      </c>
      <c r="AE323" s="90">
        <v>1E-10</v>
      </c>
      <c r="AF323" s="90">
        <v>1E-10</v>
      </c>
      <c r="AG323" s="90">
        <v>1E-10</v>
      </c>
      <c r="AH323" s="104">
        <v>0.13970644996000001</v>
      </c>
      <c r="AI323" s="90">
        <v>1E-10</v>
      </c>
      <c r="AJ323" s="90">
        <v>1E-10</v>
      </c>
      <c r="AK323" s="90">
        <v>1E-10</v>
      </c>
      <c r="AL323" s="90">
        <v>1E-10</v>
      </c>
      <c r="AM323" s="90">
        <v>1E-10</v>
      </c>
      <c r="AN323" s="90">
        <v>1E-10</v>
      </c>
      <c r="AO323" s="90">
        <v>1E-10</v>
      </c>
      <c r="AP323" s="90">
        <v>1E-10</v>
      </c>
      <c r="AQ323" s="90">
        <v>1E-10</v>
      </c>
      <c r="AR323" s="92">
        <v>1E-10</v>
      </c>
      <c r="AS323" s="115">
        <f t="shared" si="35"/>
        <v>0.13970645386000008</v>
      </c>
      <c r="AT323" s="66">
        <f t="shared" si="36"/>
        <v>5.8782546640483071E-4</v>
      </c>
    </row>
    <row r="324" spans="2:46" ht="15" thickBot="1">
      <c r="B324" s="65"/>
      <c r="C324" s="65"/>
      <c r="D324" s="65"/>
      <c r="E324" s="141">
        <f>SUM(E285:E323)</f>
        <v>11.793401623799999</v>
      </c>
      <c r="F324" s="141">
        <f t="shared" ref="F324:AR324" si="40">SUM(F285:F323)</f>
        <v>0.86600000380000008</v>
      </c>
      <c r="G324" s="141">
        <f t="shared" si="40"/>
        <v>0.48000000380000007</v>
      </c>
      <c r="H324" s="141">
        <f t="shared" si="40"/>
        <v>3.8320000037999997</v>
      </c>
      <c r="I324" s="141">
        <f t="shared" si="40"/>
        <v>0.16400000380000013</v>
      </c>
      <c r="J324" s="141">
        <f t="shared" si="40"/>
        <v>10.140000003700001</v>
      </c>
      <c r="K324" s="141">
        <f t="shared" si="40"/>
        <v>1.8100000037000004</v>
      </c>
      <c r="L324" s="141">
        <f t="shared" si="40"/>
        <v>0.27600000380000017</v>
      </c>
      <c r="M324" s="141">
        <f>SUM(M285:M323)</f>
        <v>0.57878386782000035</v>
      </c>
      <c r="N324" s="141">
        <f t="shared" si="40"/>
        <v>0.9000000038</v>
      </c>
      <c r="O324" s="141">
        <f t="shared" si="40"/>
        <v>9.9790321436999996</v>
      </c>
      <c r="P324" s="141">
        <f t="shared" si="40"/>
        <v>0.58400000380000017</v>
      </c>
      <c r="Q324" s="141">
        <f t="shared" si="40"/>
        <v>7.4020000037000004</v>
      </c>
      <c r="R324" s="141">
        <f t="shared" si="40"/>
        <v>2.1360000038000004</v>
      </c>
      <c r="S324" s="141">
        <f t="shared" si="40"/>
        <v>0.23800000380000005</v>
      </c>
      <c r="T324" s="141">
        <f t="shared" si="40"/>
        <v>9.000000379999995E-2</v>
      </c>
      <c r="U324" s="141">
        <f t="shared" si="40"/>
        <v>11.779793852400001</v>
      </c>
      <c r="V324" s="141">
        <f t="shared" si="40"/>
        <v>0.43400000370000014</v>
      </c>
      <c r="W324" s="141">
        <f t="shared" si="40"/>
        <v>0.81000000370000014</v>
      </c>
      <c r="X324" s="141">
        <f t="shared" si="40"/>
        <v>0.81000000370000014</v>
      </c>
      <c r="Y324" s="141">
        <f t="shared" si="40"/>
        <v>0.81000000370000014</v>
      </c>
      <c r="Z324" s="141">
        <f t="shared" si="40"/>
        <v>18.650793297439993</v>
      </c>
      <c r="AA324" s="141">
        <f t="shared" si="40"/>
        <v>12.0000000038</v>
      </c>
      <c r="AB324" s="141">
        <f t="shared" si="40"/>
        <v>3.4990000038</v>
      </c>
      <c r="AC324" s="141">
        <f t="shared" si="40"/>
        <v>5.4230000038000004</v>
      </c>
      <c r="AD324" s="141">
        <f t="shared" si="40"/>
        <v>0.3780000038000001</v>
      </c>
      <c r="AE324" s="141">
        <f t="shared" si="40"/>
        <v>0.26600000380000016</v>
      </c>
      <c r="AF324" s="141">
        <f t="shared" si="40"/>
        <v>0.49600000380000003</v>
      </c>
      <c r="AG324" s="141">
        <f t="shared" si="40"/>
        <v>49.812192843700075</v>
      </c>
      <c r="AH324" s="141">
        <f t="shared" si="40"/>
        <v>54.972493508320028</v>
      </c>
      <c r="AI324" s="141">
        <f t="shared" si="40"/>
        <v>9.9790321436999996</v>
      </c>
      <c r="AJ324" s="141">
        <f t="shared" si="40"/>
        <v>9.9790321437000014</v>
      </c>
      <c r="AK324" s="141">
        <f t="shared" si="40"/>
        <v>1.2910000038</v>
      </c>
      <c r="AL324" s="141">
        <f>SUM(AL285:AL323)</f>
        <v>0.61400000380000008</v>
      </c>
      <c r="AM324" s="141">
        <f t="shared" si="40"/>
        <v>0.22300000380000012</v>
      </c>
      <c r="AN324" s="141">
        <f t="shared" si="40"/>
        <v>0.12600000370000008</v>
      </c>
      <c r="AO324" s="141">
        <f t="shared" si="40"/>
        <v>1.5660000038000002</v>
      </c>
      <c r="AP324" s="141">
        <f t="shared" si="40"/>
        <v>1.6940000038</v>
      </c>
      <c r="AQ324" s="141">
        <f t="shared" si="40"/>
        <v>0.63000000370000009</v>
      </c>
      <c r="AR324" s="141">
        <f t="shared" si="40"/>
        <v>0.15400000380000012</v>
      </c>
      <c r="AS324" s="142">
        <f>SUM(AS285:AS323)</f>
        <v>237.66655554147999</v>
      </c>
    </row>
    <row r="330" spans="2:46" ht="161.4">
      <c r="B330" s="98" t="s">
        <v>436</v>
      </c>
      <c r="C330" s="87" t="s">
        <v>235</v>
      </c>
      <c r="D330" s="65"/>
      <c r="E330" s="143" t="s">
        <v>437</v>
      </c>
      <c r="F330" s="143" t="s">
        <v>438</v>
      </c>
      <c r="G330" s="143" t="s">
        <v>439</v>
      </c>
      <c r="H330" s="143" t="s">
        <v>440</v>
      </c>
      <c r="I330" s="143" t="s">
        <v>674</v>
      </c>
      <c r="L330" s="143" t="s">
        <v>441</v>
      </c>
      <c r="M330" s="143" t="s">
        <v>442</v>
      </c>
      <c r="N330" s="143" t="s">
        <v>443</v>
      </c>
      <c r="O330" s="143" t="s">
        <v>444</v>
      </c>
      <c r="P330" s="143" t="s">
        <v>794</v>
      </c>
      <c r="S330" s="143" t="s">
        <v>793</v>
      </c>
    </row>
    <row r="331" spans="2:46">
      <c r="B331" s="87"/>
      <c r="C331" s="87"/>
      <c r="D331" s="65"/>
      <c r="E331" s="66" t="s">
        <v>236</v>
      </c>
      <c r="F331" s="66" t="s">
        <v>236</v>
      </c>
      <c r="G331" s="66" t="s">
        <v>236</v>
      </c>
      <c r="H331" s="66" t="s">
        <v>236</v>
      </c>
      <c r="L331" s="66" t="s">
        <v>236</v>
      </c>
      <c r="M331" s="66" t="s">
        <v>236</v>
      </c>
      <c r="N331" s="66" t="s">
        <v>236</v>
      </c>
      <c r="O331" s="66" t="s">
        <v>236</v>
      </c>
    </row>
    <row r="332" spans="2:46" ht="15" thickBot="1">
      <c r="B332" s="98" t="s">
        <v>436</v>
      </c>
      <c r="C332" s="87"/>
      <c r="D332" s="65"/>
      <c r="E332" s="65"/>
      <c r="F332" s="65"/>
      <c r="G332" s="65"/>
      <c r="H332" s="65"/>
      <c r="I332" s="66" t="s">
        <v>223</v>
      </c>
      <c r="J332" s="70" t="s">
        <v>238</v>
      </c>
      <c r="L332" s="65"/>
      <c r="M332" s="65"/>
      <c r="N332" s="65"/>
      <c r="O332" s="65"/>
      <c r="P332" s="66" t="s">
        <v>223</v>
      </c>
      <c r="Q332" s="70" t="s">
        <v>238</v>
      </c>
      <c r="T332" s="70" t="s">
        <v>238</v>
      </c>
      <c r="U332" s="70"/>
      <c r="V332" s="70" t="s">
        <v>568</v>
      </c>
      <c r="W332" s="70"/>
      <c r="X332" s="70"/>
      <c r="Y332" s="70" t="s">
        <v>569</v>
      </c>
      <c r="Z332" s="70"/>
      <c r="AA332" s="70" t="s">
        <v>238</v>
      </c>
      <c r="AB332" s="70" t="s">
        <v>240</v>
      </c>
    </row>
    <row r="333" spans="2:46">
      <c r="B333" s="87" t="s">
        <v>445</v>
      </c>
      <c r="C333" s="87" t="s">
        <v>223</v>
      </c>
      <c r="D333" s="65"/>
      <c r="E333" s="96">
        <v>0</v>
      </c>
      <c r="F333" s="101">
        <v>0</v>
      </c>
      <c r="G333" s="101">
        <v>5.4832436747711704</v>
      </c>
      <c r="H333" s="102">
        <v>0</v>
      </c>
      <c r="I333" s="66">
        <f>SUM(E333:H333)</f>
        <v>5.4832436747711704</v>
      </c>
      <c r="J333" s="66">
        <f>I333/$I$362</f>
        <v>3.9223553696500033E-2</v>
      </c>
      <c r="L333" s="96">
        <v>0</v>
      </c>
      <c r="M333" s="101">
        <v>0</v>
      </c>
      <c r="N333" s="101">
        <v>0</v>
      </c>
      <c r="O333" s="102">
        <v>0</v>
      </c>
      <c r="P333" s="66">
        <f>SUM(L333:O333)</f>
        <v>0</v>
      </c>
      <c r="Q333" s="66">
        <f>P333/$P$362</f>
        <v>0</v>
      </c>
      <c r="S333" s="113">
        <f t="shared" ref="S333:S361" si="41">SUM(E333:H333)+SUM(L333:O333)</f>
        <v>5.4832436747711704</v>
      </c>
      <c r="T333" s="66">
        <f t="shared" ref="T333:T361" si="42">S333/$S$362</f>
        <v>1.449530058852359E-2</v>
      </c>
      <c r="V333" s="133" t="s">
        <v>445</v>
      </c>
      <c r="W333" s="76">
        <f>S333</f>
        <v>5.4832436747711704</v>
      </c>
      <c r="Y333" s="75" t="s">
        <v>87</v>
      </c>
      <c r="Z333" s="76">
        <f>W334</f>
        <v>184.42561442163247</v>
      </c>
      <c r="AA333" s="75">
        <f t="shared" ref="AA333:AA339" si="43">Z333/$W$342</f>
        <v>0.49728744940421188</v>
      </c>
      <c r="AB333" s="77">
        <f>AA333</f>
        <v>0.49728744940421188</v>
      </c>
    </row>
    <row r="334" spans="2:46">
      <c r="B334" s="144" t="s">
        <v>87</v>
      </c>
      <c r="C334" s="87" t="s">
        <v>223</v>
      </c>
      <c r="D334" s="65"/>
      <c r="E334" s="97">
        <v>0</v>
      </c>
      <c r="F334" s="103">
        <v>0</v>
      </c>
      <c r="G334" s="103">
        <v>55.7</v>
      </c>
      <c r="H334" s="467">
        <v>9.614421632448673E-3</v>
      </c>
      <c r="I334" s="66">
        <f t="shared" ref="I334:I361" si="44">SUM(E334:H334)</f>
        <v>55.709614421632452</v>
      </c>
      <c r="J334" s="66">
        <f t="shared" ref="J334:J361" si="45">I334/$I$362</f>
        <v>0.39851029468782523</v>
      </c>
      <c r="L334" s="135">
        <v>34.357999999999997</v>
      </c>
      <c r="M334" s="87">
        <v>34.357999999999997</v>
      </c>
      <c r="N334" s="103">
        <v>60</v>
      </c>
      <c r="O334" s="99">
        <v>0</v>
      </c>
      <c r="P334" s="66">
        <f>SUM(L334:O334)</f>
        <v>128.71600000000001</v>
      </c>
      <c r="Q334" s="66">
        <f t="shared" ref="Q334:Q361" si="46">P334/$P$362</f>
        <v>0.53972895304760082</v>
      </c>
      <c r="S334" s="469">
        <f t="shared" si="41"/>
        <v>184.42561442163247</v>
      </c>
      <c r="T334" s="66">
        <f t="shared" si="42"/>
        <v>0.48754074701527428</v>
      </c>
      <c r="V334" s="146" t="s">
        <v>87</v>
      </c>
      <c r="W334" s="83">
        <f>S334</f>
        <v>184.42561442163247</v>
      </c>
      <c r="Y334" s="82" t="s">
        <v>102</v>
      </c>
      <c r="Z334" s="83">
        <f>W335</f>
        <v>109.53167751627441</v>
      </c>
      <c r="AA334" s="82">
        <f t="shared" si="43"/>
        <v>0.29534253531891053</v>
      </c>
      <c r="AB334" s="84">
        <f t="shared" ref="AB334:AB339" si="47">AB333+AA334</f>
        <v>0.7926299847231224</v>
      </c>
    </row>
    <row r="335" spans="2:46">
      <c r="B335" s="144" t="s">
        <v>102</v>
      </c>
      <c r="C335" s="87" t="s">
        <v>223</v>
      </c>
      <c r="D335" s="65"/>
      <c r="E335" s="97">
        <v>38.58</v>
      </c>
      <c r="F335" s="103">
        <v>0</v>
      </c>
      <c r="G335" s="103">
        <v>0</v>
      </c>
      <c r="H335" s="467">
        <v>5.1677516274411618E-2</v>
      </c>
      <c r="I335" s="66">
        <f t="shared" si="44"/>
        <v>38.631677516274408</v>
      </c>
      <c r="J335" s="66">
        <f t="shared" si="45"/>
        <v>0.27634585791205024</v>
      </c>
      <c r="L335" s="135">
        <v>35.450000000000003</v>
      </c>
      <c r="M335" s="87">
        <v>35.450000000000003</v>
      </c>
      <c r="N335" s="103">
        <v>0</v>
      </c>
      <c r="O335" s="99">
        <v>0</v>
      </c>
      <c r="P335" s="66">
        <f t="shared" ref="P335:P361" si="48">SUM(L335:O335)</f>
        <v>70.900000000000006</v>
      </c>
      <c r="Q335" s="66">
        <f t="shared" si="46"/>
        <v>0.29729623955898959</v>
      </c>
      <c r="S335" s="469">
        <f t="shared" si="41"/>
        <v>109.53167751627441</v>
      </c>
      <c r="T335" s="66">
        <f t="shared" si="42"/>
        <v>0.28955389979634399</v>
      </c>
      <c r="V335" s="146" t="s">
        <v>102</v>
      </c>
      <c r="W335" s="83">
        <f>S335</f>
        <v>109.53167751627441</v>
      </c>
      <c r="Y335" s="82" t="s">
        <v>86</v>
      </c>
      <c r="Z335" s="83">
        <f>W340+W333</f>
        <v>35.876233158997508</v>
      </c>
      <c r="AA335" s="82">
        <f t="shared" si="43"/>
        <v>9.6737107466434546E-2</v>
      </c>
      <c r="AB335" s="84">
        <f t="shared" si="47"/>
        <v>0.8893670921895569</v>
      </c>
    </row>
    <row r="336" spans="2:46">
      <c r="B336" s="144" t="s">
        <v>263</v>
      </c>
      <c r="C336" s="87" t="s">
        <v>223</v>
      </c>
      <c r="D336" s="65"/>
      <c r="E336" s="97">
        <v>0</v>
      </c>
      <c r="F336" s="103">
        <v>0</v>
      </c>
      <c r="G336" s="103">
        <v>0.22999999999999998</v>
      </c>
      <c r="H336" s="467">
        <v>1.2018027040560841E-3</v>
      </c>
      <c r="I336" s="66">
        <f t="shared" si="44"/>
        <v>0.23120180270405608</v>
      </c>
      <c r="J336" s="66">
        <f t="shared" si="45"/>
        <v>1.6538671014777768E-3</v>
      </c>
      <c r="L336" s="97">
        <v>0</v>
      </c>
      <c r="M336" s="103">
        <v>0</v>
      </c>
      <c r="N336" s="103">
        <v>0</v>
      </c>
      <c r="O336" s="99">
        <v>0</v>
      </c>
      <c r="P336" s="66">
        <f t="shared" si="48"/>
        <v>0</v>
      </c>
      <c r="Q336" s="66">
        <f t="shared" si="46"/>
        <v>0</v>
      </c>
      <c r="S336" s="469">
        <f t="shared" si="41"/>
        <v>0.23120180270405608</v>
      </c>
      <c r="T336" s="66">
        <f t="shared" si="42"/>
        <v>6.1119655181906152E-4</v>
      </c>
      <c r="V336" s="146" t="s">
        <v>446</v>
      </c>
      <c r="W336" s="83">
        <f>S338</f>
        <v>23</v>
      </c>
      <c r="Y336" s="82" t="s">
        <v>93</v>
      </c>
      <c r="Z336" s="83">
        <f>W341</f>
        <v>8.1461191787681528</v>
      </c>
      <c r="AA336" s="82">
        <f t="shared" si="43"/>
        <v>2.1965293929784972E-2</v>
      </c>
      <c r="AB336" s="84">
        <f t="shared" si="47"/>
        <v>0.91133238611934186</v>
      </c>
    </row>
    <row r="337" spans="2:29">
      <c r="B337" s="144" t="s">
        <v>447</v>
      </c>
      <c r="C337" s="87" t="s">
        <v>223</v>
      </c>
      <c r="D337" s="65"/>
      <c r="E337" s="97">
        <v>0</v>
      </c>
      <c r="F337" s="103">
        <v>0</v>
      </c>
      <c r="G337" s="103">
        <v>3.1</v>
      </c>
      <c r="H337" s="467">
        <v>6.8502754131196802E-2</v>
      </c>
      <c r="I337" s="66">
        <f t="shared" si="44"/>
        <v>3.1685027541311968</v>
      </c>
      <c r="J337" s="66">
        <f t="shared" si="45"/>
        <v>2.2665404874489686E-2</v>
      </c>
      <c r="L337" s="97">
        <v>0</v>
      </c>
      <c r="M337" s="103">
        <v>0</v>
      </c>
      <c r="N337" s="103">
        <v>0</v>
      </c>
      <c r="O337" s="99">
        <v>0</v>
      </c>
      <c r="P337" s="66">
        <f t="shared" si="48"/>
        <v>0</v>
      </c>
      <c r="Q337" s="66">
        <f t="shared" si="46"/>
        <v>0</v>
      </c>
      <c r="S337" s="469">
        <f t="shared" si="41"/>
        <v>3.1685027541311968</v>
      </c>
      <c r="T337" s="66">
        <f t="shared" si="42"/>
        <v>8.3761369293173463E-3</v>
      </c>
      <c r="V337" s="147" t="s">
        <v>105</v>
      </c>
      <c r="W337" s="83">
        <f>S342</f>
        <v>1.6666666666666667</v>
      </c>
      <c r="Y337" s="82" t="s">
        <v>104</v>
      </c>
      <c r="Z337" s="83">
        <f>W338</f>
        <v>4.5168882849655434</v>
      </c>
      <c r="AA337" s="82">
        <f t="shared" si="43"/>
        <v>1.2179392008634184E-2</v>
      </c>
      <c r="AB337" s="84">
        <f t="shared" si="47"/>
        <v>0.92351177812797602</v>
      </c>
    </row>
    <row r="338" spans="2:29">
      <c r="B338" s="144" t="s">
        <v>446</v>
      </c>
      <c r="C338" s="87" t="s">
        <v>223</v>
      </c>
      <c r="D338" s="65"/>
      <c r="E338" s="97">
        <v>0</v>
      </c>
      <c r="F338" s="103">
        <v>0</v>
      </c>
      <c r="G338" s="103">
        <v>23</v>
      </c>
      <c r="H338" s="467">
        <v>0</v>
      </c>
      <c r="I338" s="66">
        <f t="shared" si="44"/>
        <v>23</v>
      </c>
      <c r="J338" s="66">
        <f t="shared" si="45"/>
        <v>0.16452701877363662</v>
      </c>
      <c r="L338" s="97">
        <v>0</v>
      </c>
      <c r="M338" s="103">
        <v>0</v>
      </c>
      <c r="N338" s="103">
        <v>0</v>
      </c>
      <c r="O338" s="99">
        <v>0</v>
      </c>
      <c r="P338" s="66">
        <f t="shared" si="48"/>
        <v>0</v>
      </c>
      <c r="Q338" s="66">
        <f t="shared" si="46"/>
        <v>0</v>
      </c>
      <c r="S338" s="469">
        <f t="shared" si="41"/>
        <v>23</v>
      </c>
      <c r="T338" s="66">
        <f t="shared" si="42"/>
        <v>6.0801951054994079E-2</v>
      </c>
      <c r="V338" s="147" t="s">
        <v>104</v>
      </c>
      <c r="W338" s="83">
        <f>S343</f>
        <v>4.5168882849655434</v>
      </c>
      <c r="Y338" s="82" t="str">
        <f>V339</f>
        <v>Rubber</v>
      </c>
      <c r="Z338" s="79">
        <f>W339</f>
        <v>3.6999999999999997</v>
      </c>
      <c r="AA338" s="82">
        <f t="shared" si="43"/>
        <v>9.9767245920031073E-3</v>
      </c>
      <c r="AB338" s="84">
        <f t="shared" si="47"/>
        <v>0.93348850271997919</v>
      </c>
    </row>
    <row r="339" spans="2:29" ht="15" thickBot="1">
      <c r="B339" s="144" t="s">
        <v>448</v>
      </c>
      <c r="C339" s="87" t="s">
        <v>223</v>
      </c>
      <c r="D339" s="65"/>
      <c r="E339" s="97">
        <v>0</v>
      </c>
      <c r="F339" s="103">
        <v>0</v>
      </c>
      <c r="G339" s="103">
        <v>3.6999999999999997</v>
      </c>
      <c r="H339" s="467">
        <v>0</v>
      </c>
      <c r="I339" s="66">
        <f t="shared" si="44"/>
        <v>3.6999999999999997</v>
      </c>
      <c r="J339" s="66">
        <f t="shared" si="45"/>
        <v>2.6467389976628501E-2</v>
      </c>
      <c r="L339" s="97">
        <v>0</v>
      </c>
      <c r="M339" s="103">
        <v>0</v>
      </c>
      <c r="N339" s="103">
        <v>0</v>
      </c>
      <c r="O339" s="99">
        <v>0</v>
      </c>
      <c r="P339" s="66">
        <f t="shared" si="48"/>
        <v>0</v>
      </c>
      <c r="Q339" s="66">
        <f t="shared" si="46"/>
        <v>0</v>
      </c>
      <c r="S339" s="469">
        <f t="shared" si="41"/>
        <v>3.6999999999999997</v>
      </c>
      <c r="T339" s="398">
        <f t="shared" si="42"/>
        <v>9.7811834305860032E-3</v>
      </c>
      <c r="V339" s="82" t="s">
        <v>94</v>
      </c>
      <c r="W339" s="83">
        <f>S339</f>
        <v>3.6999999999999997</v>
      </c>
      <c r="Y339" s="85" t="s">
        <v>105</v>
      </c>
      <c r="Z339" s="86">
        <v>1.6666666666666701</v>
      </c>
      <c r="AA339" s="85">
        <f t="shared" si="43"/>
        <v>4.4940200864878963E-3</v>
      </c>
      <c r="AB339" s="207">
        <f t="shared" si="47"/>
        <v>0.9379825228064671</v>
      </c>
    </row>
    <row r="340" spans="2:29">
      <c r="B340" s="144" t="s">
        <v>91</v>
      </c>
      <c r="C340" s="87" t="s">
        <v>223</v>
      </c>
      <c r="D340" s="65"/>
      <c r="E340" s="97">
        <v>0</v>
      </c>
      <c r="F340" s="103">
        <v>0</v>
      </c>
      <c r="G340" s="103">
        <v>2.9000000000000004</v>
      </c>
      <c r="H340" s="467">
        <v>0</v>
      </c>
      <c r="I340" s="66">
        <f t="shared" si="44"/>
        <v>2.9000000000000004</v>
      </c>
      <c r="J340" s="66">
        <f t="shared" si="45"/>
        <v>2.0744711062762884E-2</v>
      </c>
      <c r="L340" s="97">
        <v>0</v>
      </c>
      <c r="M340" s="103">
        <v>0</v>
      </c>
      <c r="N340" s="103">
        <v>0</v>
      </c>
      <c r="O340" s="99">
        <v>0</v>
      </c>
      <c r="P340" s="66">
        <f t="shared" si="48"/>
        <v>0</v>
      </c>
      <c r="Q340" s="66">
        <f t="shared" si="46"/>
        <v>0</v>
      </c>
      <c r="S340" s="469">
        <f t="shared" si="41"/>
        <v>2.9000000000000004</v>
      </c>
      <c r="T340" s="66">
        <f t="shared" si="42"/>
        <v>7.6663329591079498E-3</v>
      </c>
      <c r="V340" s="135" t="s">
        <v>449</v>
      </c>
      <c r="W340" s="83">
        <f>S347</f>
        <v>30.392989484226341</v>
      </c>
      <c r="Z340" s="66">
        <f>SUM(Z333:Z339)</f>
        <v>347.86319922730479</v>
      </c>
      <c r="AA340" s="66">
        <f>SUM(AA333:AA339)</f>
        <v>0.9379825228064671</v>
      </c>
    </row>
    <row r="341" spans="2:29" ht="15" thickBot="1">
      <c r="B341" s="144" t="s">
        <v>450</v>
      </c>
      <c r="C341" s="87" t="s">
        <v>223</v>
      </c>
      <c r="D341" s="65"/>
      <c r="E341" s="97">
        <v>0</v>
      </c>
      <c r="F341" s="103">
        <v>0</v>
      </c>
      <c r="G341" s="87">
        <v>0.16</v>
      </c>
      <c r="H341" s="467">
        <v>0</v>
      </c>
      <c r="I341" s="66">
        <f t="shared" si="44"/>
        <v>0.16</v>
      </c>
      <c r="J341" s="66">
        <f t="shared" si="45"/>
        <v>1.1445357827731244E-3</v>
      </c>
      <c r="L341" s="97">
        <v>0</v>
      </c>
      <c r="M341" s="103">
        <v>0</v>
      </c>
      <c r="N341" s="103">
        <v>0</v>
      </c>
      <c r="O341" s="99">
        <v>0</v>
      </c>
      <c r="P341" s="66">
        <f t="shared" si="48"/>
        <v>0</v>
      </c>
      <c r="Q341" s="66">
        <f t="shared" si="46"/>
        <v>0</v>
      </c>
      <c r="S341" s="469">
        <f t="shared" si="41"/>
        <v>0.16</v>
      </c>
      <c r="T341" s="66">
        <f t="shared" si="42"/>
        <v>4.2297009429561098E-4</v>
      </c>
      <c r="V341" s="136" t="s">
        <v>93</v>
      </c>
      <c r="W341" s="86">
        <f>S358</f>
        <v>8.1461191787681528</v>
      </c>
    </row>
    <row r="342" spans="2:29">
      <c r="B342" s="148" t="s">
        <v>105</v>
      </c>
      <c r="C342" s="87" t="s">
        <v>223</v>
      </c>
      <c r="D342" s="65"/>
      <c r="E342" s="97">
        <v>0</v>
      </c>
      <c r="F342" s="87">
        <v>1.6666666666666667</v>
      </c>
      <c r="G342" s="103">
        <v>0</v>
      </c>
      <c r="H342" s="467">
        <v>0</v>
      </c>
      <c r="I342" s="66">
        <f t="shared" si="44"/>
        <v>1.6666666666666667</v>
      </c>
      <c r="J342" s="66">
        <f t="shared" si="45"/>
        <v>1.1922247737220046E-2</v>
      </c>
      <c r="L342" s="97">
        <v>0</v>
      </c>
      <c r="M342" s="103">
        <v>0</v>
      </c>
      <c r="N342" s="103">
        <v>0</v>
      </c>
      <c r="O342" s="99">
        <v>0</v>
      </c>
      <c r="P342" s="66">
        <f t="shared" si="48"/>
        <v>0</v>
      </c>
      <c r="Q342" s="66">
        <f t="shared" si="46"/>
        <v>0</v>
      </c>
      <c r="S342" s="470">
        <f t="shared" si="41"/>
        <v>1.6666666666666667</v>
      </c>
      <c r="T342" s="66">
        <f t="shared" si="42"/>
        <v>4.4059384822459479E-3</v>
      </c>
      <c r="W342" s="66">
        <f>SUM(W333:W341)</f>
        <v>370.86319922730479</v>
      </c>
    </row>
    <row r="343" spans="2:29">
      <c r="B343" s="148" t="s">
        <v>104</v>
      </c>
      <c r="C343" s="87" t="s">
        <v>223</v>
      </c>
      <c r="D343" s="65"/>
      <c r="E343" s="97">
        <v>0</v>
      </c>
      <c r="F343" s="87">
        <v>4.5168882849655434</v>
      </c>
      <c r="G343" s="103">
        <v>0</v>
      </c>
      <c r="H343" s="467">
        <v>0</v>
      </c>
      <c r="I343" s="66">
        <f t="shared" si="44"/>
        <v>4.5168882849655434</v>
      </c>
      <c r="J343" s="66">
        <f t="shared" si="45"/>
        <v>3.2310876680823712E-2</v>
      </c>
      <c r="L343" s="97">
        <v>0</v>
      </c>
      <c r="M343" s="103">
        <v>0</v>
      </c>
      <c r="N343" s="103">
        <v>0</v>
      </c>
      <c r="O343" s="99">
        <v>0</v>
      </c>
      <c r="P343" s="66">
        <f t="shared" si="48"/>
        <v>0</v>
      </c>
      <c r="Q343" s="66">
        <f t="shared" si="46"/>
        <v>0</v>
      </c>
      <c r="S343" s="469">
        <f t="shared" si="41"/>
        <v>4.5168882849655434</v>
      </c>
      <c r="T343" s="66">
        <f t="shared" si="42"/>
        <v>1.1940679148841353E-2</v>
      </c>
    </row>
    <row r="344" spans="2:29">
      <c r="B344" s="148" t="s">
        <v>451</v>
      </c>
      <c r="C344" s="87" t="s">
        <v>223</v>
      </c>
      <c r="D344" s="65"/>
      <c r="E344" s="97">
        <v>0</v>
      </c>
      <c r="F344" s="87">
        <v>6.2458692105396944E-2</v>
      </c>
      <c r="G344" s="103">
        <v>0</v>
      </c>
      <c r="H344" s="467">
        <v>0</v>
      </c>
      <c r="I344" s="66">
        <f t="shared" si="44"/>
        <v>6.2458692105396944E-2</v>
      </c>
      <c r="J344" s="66">
        <f t="shared" si="45"/>
        <v>4.4678880037397537E-4</v>
      </c>
      <c r="L344" s="97">
        <v>0</v>
      </c>
      <c r="M344" s="103">
        <v>0</v>
      </c>
      <c r="N344" s="103">
        <v>0</v>
      </c>
      <c r="O344" s="99">
        <v>0</v>
      </c>
      <c r="P344" s="66">
        <f t="shared" si="48"/>
        <v>0</v>
      </c>
      <c r="Q344" s="66">
        <f t="shared" si="46"/>
        <v>0</v>
      </c>
      <c r="S344" s="469">
        <f t="shared" si="41"/>
        <v>6.2458692105396944E-2</v>
      </c>
      <c r="T344" s="66">
        <f t="shared" si="42"/>
        <v>1.6511349305875175E-4</v>
      </c>
      <c r="V344" s="98" t="s">
        <v>674</v>
      </c>
    </row>
    <row r="345" spans="2:29" ht="15" thickBot="1">
      <c r="B345" s="65" t="s">
        <v>452</v>
      </c>
      <c r="C345" s="103" t="s">
        <v>223</v>
      </c>
      <c r="D345" s="65"/>
      <c r="E345" s="97">
        <v>0</v>
      </c>
      <c r="F345" s="87">
        <v>6.2460136437376077</v>
      </c>
      <c r="G345" s="103">
        <v>0</v>
      </c>
      <c r="H345" s="467">
        <v>0</v>
      </c>
      <c r="I345" s="173">
        <f t="shared" si="44"/>
        <v>6.2460136437376077</v>
      </c>
      <c r="J345" s="173">
        <f t="shared" si="45"/>
        <v>4.4679913218417737E-2</v>
      </c>
      <c r="L345" s="97">
        <v>0</v>
      </c>
      <c r="M345" s="103">
        <v>0</v>
      </c>
      <c r="N345" s="103">
        <v>0</v>
      </c>
      <c r="O345" s="99">
        <v>0</v>
      </c>
      <c r="P345" s="66">
        <f t="shared" si="48"/>
        <v>0</v>
      </c>
      <c r="Q345" s="66">
        <f t="shared" si="46"/>
        <v>0</v>
      </c>
      <c r="S345" s="469">
        <f t="shared" si="41"/>
        <v>6.2460136437376077</v>
      </c>
      <c r="T345" s="66">
        <f t="shared" si="42"/>
        <v>1.6511731124146056E-2</v>
      </c>
      <c r="V345" s="70" t="s">
        <v>568</v>
      </c>
      <c r="Y345" s="70" t="s">
        <v>569</v>
      </c>
      <c r="AB345" s="66" t="s">
        <v>795</v>
      </c>
    </row>
    <row r="346" spans="2:29">
      <c r="B346" s="65" t="s">
        <v>453</v>
      </c>
      <c r="C346" s="103" t="s">
        <v>223</v>
      </c>
      <c r="D346" s="65"/>
      <c r="E346" s="97">
        <v>0</v>
      </c>
      <c r="F346" s="87">
        <v>-6.5583143259244903</v>
      </c>
      <c r="G346" s="103">
        <v>0</v>
      </c>
      <c r="H346" s="467">
        <v>0</v>
      </c>
      <c r="I346" s="173">
        <f t="shared" si="44"/>
        <v>-6.5583143259244903</v>
      </c>
      <c r="J346" s="173">
        <f t="shared" si="45"/>
        <v>-4.6913908879338641E-2</v>
      </c>
      <c r="L346" s="97">
        <v>0</v>
      </c>
      <c r="M346" s="103">
        <v>0</v>
      </c>
      <c r="N346" s="103">
        <v>0</v>
      </c>
      <c r="O346" s="99">
        <v>0</v>
      </c>
      <c r="P346" s="66">
        <f t="shared" si="48"/>
        <v>0</v>
      </c>
      <c r="Q346" s="66">
        <f t="shared" si="46"/>
        <v>0</v>
      </c>
      <c r="S346" s="469">
        <f t="shared" si="41"/>
        <v>-6.5583143259244903</v>
      </c>
      <c r="T346" s="66">
        <f t="shared" si="42"/>
        <v>-1.7337317680353362E-2</v>
      </c>
      <c r="V346" s="75" t="str">
        <f>B333</f>
        <v>High carbon steel, following Roder</v>
      </c>
      <c r="W346" s="76">
        <f>I333</f>
        <v>5.4832436747711704</v>
      </c>
      <c r="Y346" s="75" t="str">
        <f>V347</f>
        <v>Aluminum</v>
      </c>
      <c r="Z346" s="76">
        <f>W347</f>
        <v>55.709614421632452</v>
      </c>
      <c r="AB346" s="75" t="str">
        <f>Y346</f>
        <v>Aluminum</v>
      </c>
      <c r="AC346" s="76">
        <f>Z346</f>
        <v>55.709614421632452</v>
      </c>
    </row>
    <row r="347" spans="2:29">
      <c r="B347" s="87" t="s">
        <v>449</v>
      </c>
      <c r="C347" s="87" t="s">
        <v>223</v>
      </c>
      <c r="D347" s="65"/>
      <c r="E347" s="97">
        <v>0</v>
      </c>
      <c r="F347" s="103">
        <v>0</v>
      </c>
      <c r="G347" s="103">
        <v>0</v>
      </c>
      <c r="H347" s="99">
        <v>0.39298948422633956</v>
      </c>
      <c r="I347" s="66">
        <f t="shared" si="44"/>
        <v>0.39298948422633956</v>
      </c>
      <c r="J347" s="66">
        <f t="shared" si="45"/>
        <v>2.8111907934412496E-3</v>
      </c>
      <c r="L347" s="97">
        <v>0</v>
      </c>
      <c r="M347" s="103">
        <v>0</v>
      </c>
      <c r="N347" s="103">
        <v>20</v>
      </c>
      <c r="O347" s="99">
        <v>10</v>
      </c>
      <c r="P347" s="66">
        <f t="shared" si="48"/>
        <v>30</v>
      </c>
      <c r="Q347" s="66">
        <f t="shared" si="46"/>
        <v>0.12579530587827484</v>
      </c>
      <c r="S347" s="469">
        <f t="shared" si="41"/>
        <v>30.392989484226341</v>
      </c>
      <c r="T347" s="66">
        <f t="shared" si="42"/>
        <v>8.0345785175429549E-2</v>
      </c>
      <c r="V347" s="135" t="str">
        <f>B334</f>
        <v>Aluminum</v>
      </c>
      <c r="W347" s="83">
        <f>I334</f>
        <v>55.709614421632452</v>
      </c>
      <c r="Y347" s="82" t="str">
        <f>V348</f>
        <v>Copper</v>
      </c>
      <c r="Z347" s="83">
        <f>W348</f>
        <v>38.631677516274408</v>
      </c>
      <c r="AB347" s="82" t="str">
        <f>Y347</f>
        <v>Copper</v>
      </c>
      <c r="AC347" s="83">
        <f>Z347</f>
        <v>38.631677516274408</v>
      </c>
    </row>
    <row r="348" spans="2:29">
      <c r="B348" s="87" t="s">
        <v>454</v>
      </c>
      <c r="C348" s="87" t="s">
        <v>223</v>
      </c>
      <c r="D348" s="65"/>
      <c r="E348" s="97">
        <v>0</v>
      </c>
      <c r="F348" s="103">
        <v>0</v>
      </c>
      <c r="G348" s="145">
        <v>0</v>
      </c>
      <c r="H348" s="467">
        <v>5.408112168252379E-2</v>
      </c>
      <c r="I348" s="66">
        <f t="shared" si="44"/>
        <v>5.408112168252379E-2</v>
      </c>
      <c r="J348" s="66">
        <f t="shared" si="45"/>
        <v>3.8686111836347474E-4</v>
      </c>
      <c r="L348" s="468">
        <v>0</v>
      </c>
      <c r="M348" s="145">
        <v>0</v>
      </c>
      <c r="N348" s="103">
        <v>0</v>
      </c>
      <c r="O348" s="99">
        <v>0</v>
      </c>
      <c r="P348" s="66">
        <f t="shared" si="48"/>
        <v>0</v>
      </c>
      <c r="Q348" s="66">
        <f t="shared" si="46"/>
        <v>0</v>
      </c>
      <c r="S348" s="469">
        <f t="shared" si="41"/>
        <v>5.408112168252379E-2</v>
      </c>
      <c r="T348" s="66">
        <f t="shared" si="42"/>
        <v>1.4296685711043437E-4</v>
      </c>
      <c r="V348" s="135" t="str">
        <f>B335</f>
        <v>Copper</v>
      </c>
      <c r="W348" s="83">
        <f>I335</f>
        <v>38.631677516274408</v>
      </c>
      <c r="Y348" s="471" t="str">
        <f>V350</f>
        <v>Wood</v>
      </c>
      <c r="Z348" s="472">
        <f>W350</f>
        <v>23</v>
      </c>
      <c r="AB348" s="82" t="str">
        <f>Y351</f>
        <v>Iron</v>
      </c>
      <c r="AC348" s="83">
        <f>Z351+Z350</f>
        <v>10.000131959736713</v>
      </c>
    </row>
    <row r="349" spans="2:29">
      <c r="B349" s="87" t="s">
        <v>455</v>
      </c>
      <c r="C349" s="87" t="s">
        <v>223</v>
      </c>
      <c r="D349" s="65"/>
      <c r="E349" s="97">
        <v>0</v>
      </c>
      <c r="F349" s="103">
        <v>0</v>
      </c>
      <c r="G349" s="145">
        <v>0</v>
      </c>
      <c r="H349" s="467">
        <v>1.3219829744616926E-2</v>
      </c>
      <c r="I349" s="66">
        <f t="shared" si="44"/>
        <v>1.3219829744616926E-2</v>
      </c>
      <c r="J349" s="66">
        <f t="shared" si="45"/>
        <v>9.4566051155516037E-5</v>
      </c>
      <c r="L349" s="468">
        <v>0</v>
      </c>
      <c r="M349" s="145">
        <v>0</v>
      </c>
      <c r="N349" s="103">
        <v>0</v>
      </c>
      <c r="O349" s="99">
        <v>0</v>
      </c>
      <c r="P349" s="66">
        <f t="shared" si="48"/>
        <v>0</v>
      </c>
      <c r="Q349" s="66">
        <f t="shared" si="46"/>
        <v>0</v>
      </c>
      <c r="S349" s="469">
        <f t="shared" si="41"/>
        <v>1.3219829744616926E-2</v>
      </c>
      <c r="T349" s="66">
        <f t="shared" si="42"/>
        <v>3.4947453960328403E-5</v>
      </c>
      <c r="V349" s="135" t="str">
        <f>B337</f>
        <v>Fiber glass insulation</v>
      </c>
      <c r="W349" s="83">
        <f>I337</f>
        <v>3.1685027541311968</v>
      </c>
      <c r="Y349" s="82" t="str">
        <f>V351</f>
        <v>Impregnation resin</v>
      </c>
      <c r="Z349" s="83">
        <f>W351</f>
        <v>3.6999999999999997</v>
      </c>
      <c r="AB349" s="82" t="s">
        <v>86</v>
      </c>
      <c r="AC349" s="83">
        <f>Z350</f>
        <v>5.4832436747711704</v>
      </c>
    </row>
    <row r="350" spans="2:29">
      <c r="B350" s="87" t="s">
        <v>456</v>
      </c>
      <c r="C350" s="87" t="s">
        <v>223</v>
      </c>
      <c r="D350" s="65"/>
      <c r="E350" s="97">
        <v>0</v>
      </c>
      <c r="F350" s="103">
        <v>0</v>
      </c>
      <c r="G350" s="145">
        <v>0</v>
      </c>
      <c r="H350" s="467">
        <v>1.3219829744616926E-2</v>
      </c>
      <c r="I350" s="66">
        <f t="shared" si="44"/>
        <v>1.3219829744616926E-2</v>
      </c>
      <c r="J350" s="66">
        <f t="shared" si="45"/>
        <v>9.4566051155516037E-5</v>
      </c>
      <c r="L350" s="468">
        <v>0</v>
      </c>
      <c r="M350" s="145">
        <v>0</v>
      </c>
      <c r="N350" s="103">
        <v>0</v>
      </c>
      <c r="O350" s="99">
        <v>0</v>
      </c>
      <c r="P350" s="66">
        <f t="shared" si="48"/>
        <v>0</v>
      </c>
      <c r="Q350" s="66">
        <f t="shared" si="46"/>
        <v>0</v>
      </c>
      <c r="S350" s="469">
        <f t="shared" si="41"/>
        <v>1.3219829744616926E-2</v>
      </c>
      <c r="T350" s="66">
        <f t="shared" si="42"/>
        <v>3.4947453960328403E-5</v>
      </c>
      <c r="V350" s="135" t="str">
        <f>B338</f>
        <v>Wood</v>
      </c>
      <c r="W350" s="83">
        <f>I338</f>
        <v>23</v>
      </c>
      <c r="Y350" s="82" t="str">
        <f>V346</f>
        <v>High carbon steel, following Roder</v>
      </c>
      <c r="Z350" s="83">
        <f>W346</f>
        <v>5.4832436747711704</v>
      </c>
      <c r="AB350" s="82" t="s">
        <v>94</v>
      </c>
      <c r="AC350" s="83">
        <f>Z349</f>
        <v>3.6999999999999997</v>
      </c>
    </row>
    <row r="351" spans="2:29">
      <c r="B351" s="87" t="s">
        <v>106</v>
      </c>
      <c r="C351" s="87" t="s">
        <v>223</v>
      </c>
      <c r="D351" s="65"/>
      <c r="E351" s="97">
        <v>0</v>
      </c>
      <c r="F351" s="103">
        <v>0</v>
      </c>
      <c r="G351" s="145">
        <v>0</v>
      </c>
      <c r="H351" s="467">
        <v>8.4126189283925887E-3</v>
      </c>
      <c r="I351" s="66">
        <f t="shared" si="44"/>
        <v>8.4126189283925887E-3</v>
      </c>
      <c r="J351" s="66">
        <f t="shared" si="45"/>
        <v>6.0178396189873842E-5</v>
      </c>
      <c r="L351" s="468">
        <v>0</v>
      </c>
      <c r="M351" s="145">
        <v>0</v>
      </c>
      <c r="N351" s="103">
        <v>0</v>
      </c>
      <c r="O351" s="99">
        <v>0</v>
      </c>
      <c r="P351" s="66">
        <f t="shared" si="48"/>
        <v>0</v>
      </c>
      <c r="Q351" s="66">
        <f t="shared" si="46"/>
        <v>0</v>
      </c>
      <c r="S351" s="469">
        <f t="shared" si="41"/>
        <v>8.4126189283925887E-3</v>
      </c>
      <c r="T351" s="66">
        <f t="shared" si="42"/>
        <v>2.2239288883845344E-5</v>
      </c>
      <c r="V351" s="135" t="str">
        <f>B339</f>
        <v>Impregnation resin</v>
      </c>
      <c r="W351" s="83">
        <f>I339</f>
        <v>3.6999999999999997</v>
      </c>
      <c r="Y351" s="82" t="str">
        <f>V353</f>
        <v>Iron</v>
      </c>
      <c r="Z351" s="83">
        <f>W353</f>
        <v>4.5168882849655434</v>
      </c>
      <c r="AB351" s="82" t="str">
        <f>Y353</f>
        <v>Paint</v>
      </c>
      <c r="AC351" s="83">
        <f>Z353</f>
        <v>2.9000000000000004</v>
      </c>
    </row>
    <row r="352" spans="2:29" ht="15" thickBot="1">
      <c r="B352" s="87" t="s">
        <v>457</v>
      </c>
      <c r="C352" s="87" t="s">
        <v>223</v>
      </c>
      <c r="D352" s="65"/>
      <c r="E352" s="97">
        <v>0</v>
      </c>
      <c r="F352" s="103">
        <v>0</v>
      </c>
      <c r="G352" s="145">
        <v>0</v>
      </c>
      <c r="H352" s="467">
        <v>1.2018027040560841E-3</v>
      </c>
      <c r="I352" s="66">
        <f t="shared" si="44"/>
        <v>1.2018027040560841E-3</v>
      </c>
      <c r="J352" s="66">
        <f t="shared" si="45"/>
        <v>8.5969137414105488E-6</v>
      </c>
      <c r="L352" s="468">
        <v>0</v>
      </c>
      <c r="M352" s="145">
        <v>0</v>
      </c>
      <c r="N352" s="103">
        <v>0</v>
      </c>
      <c r="O352" s="99">
        <v>0</v>
      </c>
      <c r="P352" s="66">
        <f t="shared" si="48"/>
        <v>0</v>
      </c>
      <c r="Q352" s="66">
        <f t="shared" si="46"/>
        <v>0</v>
      </c>
      <c r="S352" s="469">
        <f t="shared" si="41"/>
        <v>1.2018027040560841E-3</v>
      </c>
      <c r="T352" s="66">
        <f t="shared" si="42"/>
        <v>3.1770412691207635E-6</v>
      </c>
      <c r="V352" s="135" t="str">
        <f>B340</f>
        <v>Paint</v>
      </c>
      <c r="W352" s="83">
        <f>I340</f>
        <v>2.9000000000000004</v>
      </c>
      <c r="Y352" s="82" t="str">
        <f>V349</f>
        <v>Fiber glass insulation</v>
      </c>
      <c r="Z352" s="83">
        <f>W349</f>
        <v>3.1685027541311968</v>
      </c>
      <c r="AB352" s="85" t="str">
        <f>Y354</f>
        <v>Neodymium</v>
      </c>
      <c r="AC352" s="86">
        <f>Z354</f>
        <v>1.6666666666666667</v>
      </c>
    </row>
    <row r="353" spans="1:29">
      <c r="B353" s="87" t="s">
        <v>458</v>
      </c>
      <c r="C353" s="87" t="s">
        <v>223</v>
      </c>
      <c r="D353" s="65"/>
      <c r="E353" s="97">
        <v>0</v>
      </c>
      <c r="F353" s="103">
        <v>0</v>
      </c>
      <c r="G353" s="145">
        <v>0</v>
      </c>
      <c r="H353" s="467">
        <v>3.6054081121682523E-4</v>
      </c>
      <c r="I353" s="66">
        <f t="shared" si="44"/>
        <v>3.6054081121682523E-4</v>
      </c>
      <c r="J353" s="66">
        <f t="shared" si="45"/>
        <v>2.5790741224231645E-6</v>
      </c>
      <c r="L353" s="468">
        <v>0</v>
      </c>
      <c r="M353" s="145">
        <v>0</v>
      </c>
      <c r="N353" s="103">
        <v>0</v>
      </c>
      <c r="O353" s="99">
        <v>0</v>
      </c>
      <c r="P353" s="66">
        <f t="shared" si="48"/>
        <v>0</v>
      </c>
      <c r="Q353" s="66">
        <f t="shared" si="46"/>
        <v>0</v>
      </c>
      <c r="S353" s="469">
        <f t="shared" si="41"/>
        <v>3.6054081121682523E-4</v>
      </c>
      <c r="T353" s="66">
        <f t="shared" si="42"/>
        <v>9.5311238073622901E-7</v>
      </c>
      <c r="V353" s="135" t="str">
        <f>B343</f>
        <v>Iron</v>
      </c>
      <c r="W353" s="83">
        <f>I343</f>
        <v>4.5168882849655434</v>
      </c>
      <c r="Y353" s="82" t="str">
        <f>V352</f>
        <v>Paint</v>
      </c>
      <c r="Z353" s="83">
        <f>W352</f>
        <v>2.9000000000000004</v>
      </c>
      <c r="AC353" s="66">
        <f>SUM(AC346:AC352)</f>
        <v>118.09133423908143</v>
      </c>
    </row>
    <row r="354" spans="1:29" ht="15" thickBot="1">
      <c r="B354" s="87" t="s">
        <v>459</v>
      </c>
      <c r="C354" s="87" t="s">
        <v>223</v>
      </c>
      <c r="D354" s="65"/>
      <c r="E354" s="97">
        <v>0</v>
      </c>
      <c r="F354" s="103">
        <v>0</v>
      </c>
      <c r="G354" s="145">
        <v>0</v>
      </c>
      <c r="H354" s="467">
        <v>1.201802704056084E-4</v>
      </c>
      <c r="I354" s="66">
        <f t="shared" si="44"/>
        <v>1.201802704056084E-4</v>
      </c>
      <c r="J354" s="66">
        <f t="shared" si="45"/>
        <v>8.5969137414105486E-7</v>
      </c>
      <c r="L354" s="468">
        <v>0</v>
      </c>
      <c r="M354" s="145">
        <v>0</v>
      </c>
      <c r="N354" s="103">
        <v>0</v>
      </c>
      <c r="O354" s="99">
        <v>0</v>
      </c>
      <c r="P354" s="66">
        <f t="shared" si="48"/>
        <v>0</v>
      </c>
      <c r="Q354" s="66">
        <f t="shared" si="46"/>
        <v>0</v>
      </c>
      <c r="S354" s="469">
        <f t="shared" si="41"/>
        <v>1.201802704056084E-4</v>
      </c>
      <c r="T354" s="66">
        <f t="shared" si="42"/>
        <v>3.1770412691207632E-7</v>
      </c>
      <c r="V354" s="85" t="str">
        <f>B342</f>
        <v>Neodymium</v>
      </c>
      <c r="W354" s="86">
        <f>I342</f>
        <v>1.6666666666666667</v>
      </c>
      <c r="Y354" s="85" t="str">
        <f>V354</f>
        <v>Neodymium</v>
      </c>
      <c r="Z354" s="86">
        <f>W354</f>
        <v>1.6666666666666667</v>
      </c>
    </row>
    <row r="355" spans="1:29">
      <c r="B355" s="87" t="s">
        <v>460</v>
      </c>
      <c r="C355" s="87" t="s">
        <v>223</v>
      </c>
      <c r="D355" s="65"/>
      <c r="E355" s="97">
        <v>0</v>
      </c>
      <c r="F355" s="103">
        <v>0</v>
      </c>
      <c r="G355" s="145">
        <v>0</v>
      </c>
      <c r="H355" s="467">
        <v>1.201802704056084E-4</v>
      </c>
      <c r="I355" s="66">
        <f t="shared" si="44"/>
        <v>1.201802704056084E-4</v>
      </c>
      <c r="J355" s="66">
        <f t="shared" si="45"/>
        <v>8.5969137414105486E-7</v>
      </c>
      <c r="L355" s="468">
        <v>0</v>
      </c>
      <c r="M355" s="145">
        <v>0</v>
      </c>
      <c r="N355" s="103">
        <v>0</v>
      </c>
      <c r="O355" s="99">
        <v>0</v>
      </c>
      <c r="P355" s="66">
        <f t="shared" si="48"/>
        <v>0</v>
      </c>
      <c r="Q355" s="66">
        <f t="shared" si="46"/>
        <v>0</v>
      </c>
      <c r="S355" s="469">
        <f t="shared" si="41"/>
        <v>1.201802704056084E-4</v>
      </c>
      <c r="T355" s="66">
        <f t="shared" si="42"/>
        <v>3.1770412691207632E-7</v>
      </c>
      <c r="W355" s="66">
        <f>SUM(W346:W354)</f>
        <v>138.77659331844143</v>
      </c>
      <c r="Z355" s="66">
        <f>SUM(Z346:Z354)</f>
        <v>138.77659331844143</v>
      </c>
    </row>
    <row r="356" spans="1:29">
      <c r="B356" s="87" t="s">
        <v>461</v>
      </c>
      <c r="C356" s="87" t="s">
        <v>223</v>
      </c>
      <c r="D356" s="65"/>
      <c r="E356" s="97">
        <v>0</v>
      </c>
      <c r="F356" s="103">
        <v>0</v>
      </c>
      <c r="G356" s="145">
        <v>0</v>
      </c>
      <c r="H356" s="467">
        <v>3.2448673009514276E-2</v>
      </c>
      <c r="I356" s="66">
        <f t="shared" si="44"/>
        <v>3.2448673009514276E-2</v>
      </c>
      <c r="J356" s="66">
        <f t="shared" si="45"/>
        <v>2.3211667101808486E-4</v>
      </c>
      <c r="L356" s="468">
        <v>0</v>
      </c>
      <c r="M356" s="145">
        <v>0</v>
      </c>
      <c r="N356" s="103">
        <v>0</v>
      </c>
      <c r="O356" s="99">
        <v>0</v>
      </c>
      <c r="P356" s="66">
        <f t="shared" si="48"/>
        <v>0</v>
      </c>
      <c r="Q356" s="66">
        <f t="shared" si="46"/>
        <v>0</v>
      </c>
      <c r="S356" s="469">
        <f t="shared" si="41"/>
        <v>3.2448673009514276E-2</v>
      </c>
      <c r="T356" s="66">
        <f t="shared" si="42"/>
        <v>8.5780114266260633E-5</v>
      </c>
    </row>
    <row r="357" spans="1:29">
      <c r="B357" s="87" t="s">
        <v>462</v>
      </c>
      <c r="C357" s="87" t="s">
        <v>223</v>
      </c>
      <c r="D357" s="65"/>
      <c r="E357" s="97">
        <v>0</v>
      </c>
      <c r="F357" s="103">
        <v>0</v>
      </c>
      <c r="G357" s="145">
        <v>0</v>
      </c>
      <c r="H357" s="88">
        <v>1.4421632448673009E-2</v>
      </c>
      <c r="I357" s="66">
        <f t="shared" si="44"/>
        <v>1.4421632448673009E-2</v>
      </c>
      <c r="J357" s="66">
        <f t="shared" si="45"/>
        <v>1.0316296489692659E-4</v>
      </c>
      <c r="L357" s="468">
        <v>0</v>
      </c>
      <c r="M357" s="145">
        <v>0</v>
      </c>
      <c r="N357" s="103">
        <v>0</v>
      </c>
      <c r="O357" s="99">
        <v>0</v>
      </c>
      <c r="P357" s="66">
        <f t="shared" si="48"/>
        <v>0</v>
      </c>
      <c r="Q357" s="66">
        <f t="shared" si="46"/>
        <v>0</v>
      </c>
      <c r="S357" s="469">
        <f t="shared" si="41"/>
        <v>1.4421632448673009E-2</v>
      </c>
      <c r="T357" s="66">
        <f t="shared" si="42"/>
        <v>3.8124495229449161E-5</v>
      </c>
    </row>
    <row r="358" spans="1:29">
      <c r="B358" s="87" t="s">
        <v>366</v>
      </c>
      <c r="C358" s="87" t="s">
        <v>223</v>
      </c>
      <c r="D358" s="65"/>
      <c r="E358" s="97">
        <v>0</v>
      </c>
      <c r="F358" s="103">
        <v>0</v>
      </c>
      <c r="G358" s="145">
        <v>0</v>
      </c>
      <c r="H358" s="99">
        <v>0.34611917876815224</v>
      </c>
      <c r="I358" s="66">
        <f t="shared" si="44"/>
        <v>0.34611917876815224</v>
      </c>
      <c r="J358" s="66">
        <f t="shared" si="45"/>
        <v>2.4759111575262381E-3</v>
      </c>
      <c r="L358" s="135">
        <v>3.9</v>
      </c>
      <c r="M358" s="87">
        <v>3.9</v>
      </c>
      <c r="N358" s="103">
        <v>0</v>
      </c>
      <c r="O358" s="99">
        <v>0</v>
      </c>
      <c r="P358" s="66">
        <f t="shared" si="48"/>
        <v>7.8</v>
      </c>
      <c r="Q358" s="66">
        <f t="shared" si="46"/>
        <v>3.2706779528351458E-2</v>
      </c>
      <c r="S358" s="469">
        <f t="shared" si="41"/>
        <v>8.1461191787681528</v>
      </c>
      <c r="T358" s="66">
        <f t="shared" si="42"/>
        <v>2.1534779982417818E-2</v>
      </c>
    </row>
    <row r="359" spans="1:29">
      <c r="B359" s="87" t="s">
        <v>463</v>
      </c>
      <c r="C359" s="87" t="s">
        <v>223</v>
      </c>
      <c r="D359" s="65"/>
      <c r="E359" s="97">
        <v>0</v>
      </c>
      <c r="F359" s="103">
        <v>0</v>
      </c>
      <c r="G359" s="145">
        <v>0</v>
      </c>
      <c r="H359" s="467">
        <v>0</v>
      </c>
      <c r="I359" s="66">
        <f t="shared" si="44"/>
        <v>0</v>
      </c>
      <c r="J359" s="66">
        <f t="shared" si="45"/>
        <v>0</v>
      </c>
      <c r="L359" s="135">
        <v>0.2</v>
      </c>
      <c r="M359" s="87">
        <v>0.2</v>
      </c>
      <c r="N359" s="103">
        <v>0</v>
      </c>
      <c r="O359" s="99">
        <v>0</v>
      </c>
      <c r="P359" s="66">
        <f t="shared" si="48"/>
        <v>0.4</v>
      </c>
      <c r="Q359" s="66">
        <f t="shared" si="46"/>
        <v>1.6772707450436646E-3</v>
      </c>
      <c r="S359" s="469">
        <f t="shared" si="41"/>
        <v>0.4</v>
      </c>
      <c r="T359" s="66">
        <f t="shared" si="42"/>
        <v>1.0574252357390275E-3</v>
      </c>
    </row>
    <row r="360" spans="1:29">
      <c r="B360" s="87" t="s">
        <v>464</v>
      </c>
      <c r="C360" s="87" t="s">
        <v>223</v>
      </c>
      <c r="D360" s="65"/>
      <c r="E360" s="97">
        <v>0</v>
      </c>
      <c r="F360" s="103">
        <v>0</v>
      </c>
      <c r="G360" s="145">
        <v>0</v>
      </c>
      <c r="H360" s="467">
        <v>0</v>
      </c>
      <c r="I360" s="66">
        <f t="shared" si="44"/>
        <v>0</v>
      </c>
      <c r="J360" s="66">
        <f t="shared" si="45"/>
        <v>0</v>
      </c>
      <c r="L360" s="135">
        <v>0.16666666666666669</v>
      </c>
      <c r="M360" s="87">
        <v>0.16666666666666669</v>
      </c>
      <c r="N360" s="103">
        <v>0</v>
      </c>
      <c r="O360" s="99">
        <v>0</v>
      </c>
      <c r="P360" s="66">
        <f t="shared" si="48"/>
        <v>0.33333333333333337</v>
      </c>
      <c r="Q360" s="66">
        <f t="shared" si="46"/>
        <v>1.3977256208697207E-3</v>
      </c>
      <c r="S360" s="469">
        <f t="shared" si="41"/>
        <v>0.33333333333333337</v>
      </c>
      <c r="T360" s="66">
        <f t="shared" si="42"/>
        <v>8.8118769644918962E-4</v>
      </c>
      <c r="V360" s="98" t="s">
        <v>109</v>
      </c>
    </row>
    <row r="361" spans="1:29" ht="15" thickBot="1">
      <c r="B361" s="87" t="s">
        <v>465</v>
      </c>
      <c r="C361" s="87" t="s">
        <v>223</v>
      </c>
      <c r="D361" s="65"/>
      <c r="E361" s="136">
        <v>0</v>
      </c>
      <c r="F361" s="149">
        <v>0</v>
      </c>
      <c r="G361" s="149">
        <v>0</v>
      </c>
      <c r="H361" s="100">
        <v>0</v>
      </c>
      <c r="I361" s="66">
        <f t="shared" si="44"/>
        <v>0</v>
      </c>
      <c r="J361" s="66">
        <f t="shared" si="45"/>
        <v>0</v>
      </c>
      <c r="L361" s="136">
        <v>0.16666666666666669</v>
      </c>
      <c r="M361" s="149">
        <v>0.16666666666666669</v>
      </c>
      <c r="N361" s="104">
        <v>0</v>
      </c>
      <c r="O361" s="150">
        <v>0</v>
      </c>
      <c r="P361" s="66">
        <f t="shared" si="48"/>
        <v>0.33333333333333337</v>
      </c>
      <c r="Q361" s="66">
        <f t="shared" si="46"/>
        <v>1.3977256208697207E-3</v>
      </c>
      <c r="S361" s="121">
        <f t="shared" si="41"/>
        <v>0.33333333333333337</v>
      </c>
      <c r="T361" s="66">
        <f t="shared" si="42"/>
        <v>8.8118769644918962E-4</v>
      </c>
      <c r="V361" s="70" t="s">
        <v>568</v>
      </c>
      <c r="Y361" s="70" t="s">
        <v>569</v>
      </c>
    </row>
    <row r="362" spans="1:29">
      <c r="E362" s="66">
        <f>SUM(E333:E361)</f>
        <v>38.58</v>
      </c>
      <c r="F362" s="66">
        <f t="shared" ref="F362:H362" si="49">SUM(F333:F361)</f>
        <v>5.9337129615507251</v>
      </c>
      <c r="G362" s="66">
        <f t="shared" si="49"/>
        <v>94.27324367477118</v>
      </c>
      <c r="H362" s="66">
        <f t="shared" si="49"/>
        <v>1.0077115673510266</v>
      </c>
      <c r="I362" s="66">
        <f>SUM(I333:I361)</f>
        <v>139.79466820367293</v>
      </c>
      <c r="J362" s="66">
        <f>SUM(J333:J361)</f>
        <v>0.99999999999999956</v>
      </c>
      <c r="L362" s="66">
        <f t="shared" ref="L362:Q362" si="50">SUM(L333:L361)</f>
        <v>74.241333333333344</v>
      </c>
      <c r="M362" s="66">
        <f t="shared" si="50"/>
        <v>74.241333333333344</v>
      </c>
      <c r="N362" s="66">
        <f t="shared" si="50"/>
        <v>80</v>
      </c>
      <c r="O362" s="66">
        <f t="shared" si="50"/>
        <v>10</v>
      </c>
      <c r="P362" s="66">
        <f t="shared" si="50"/>
        <v>238.48266666666672</v>
      </c>
      <c r="Q362" s="66">
        <f t="shared" si="50"/>
        <v>0.99999999999999967</v>
      </c>
      <c r="S362" s="66">
        <f>SUM(S333:S361)</f>
        <v>378.2773348703397</v>
      </c>
      <c r="V362" s="75" t="str">
        <f>B334</f>
        <v>Aluminum</v>
      </c>
      <c r="W362" s="76">
        <f>P334</f>
        <v>128.71600000000001</v>
      </c>
      <c r="Y362" s="75" t="str">
        <f>V362</f>
        <v>Aluminum</v>
      </c>
      <c r="Z362" s="76">
        <f>W362</f>
        <v>128.71600000000001</v>
      </c>
    </row>
    <row r="363" spans="1:29">
      <c r="V363" s="82" t="str">
        <f>B335</f>
        <v>Copper</v>
      </c>
      <c r="W363" s="83">
        <f>P335</f>
        <v>70.900000000000006</v>
      </c>
      <c r="Y363" s="82" t="str">
        <f>V363</f>
        <v>Copper</v>
      </c>
      <c r="Z363" s="83">
        <f>W363</f>
        <v>70.900000000000006</v>
      </c>
    </row>
    <row r="364" spans="1:29" ht="14.4" customHeight="1">
      <c r="A364" s="507" t="s">
        <v>780</v>
      </c>
      <c r="B364" s="507"/>
      <c r="C364" s="507"/>
      <c r="D364" s="507"/>
      <c r="E364" s="507"/>
      <c r="F364" s="507"/>
      <c r="G364" s="507"/>
      <c r="H364" s="507"/>
      <c r="I364" s="507"/>
      <c r="J364" s="210"/>
      <c r="K364" s="210"/>
      <c r="V364" s="82" t="str">
        <f>B347</f>
        <v>Steel, unspecified</v>
      </c>
      <c r="W364" s="83">
        <f>P347</f>
        <v>30</v>
      </c>
      <c r="Y364" s="82" t="s">
        <v>86</v>
      </c>
      <c r="Z364" s="83">
        <f>W364</f>
        <v>30</v>
      </c>
    </row>
    <row r="365" spans="1:29" ht="15" thickBot="1">
      <c r="A365" s="507"/>
      <c r="B365" s="507"/>
      <c r="C365" s="507"/>
      <c r="D365" s="507"/>
      <c r="E365" s="507"/>
      <c r="F365" s="507"/>
      <c r="G365" s="507"/>
      <c r="H365" s="507"/>
      <c r="I365" s="507"/>
      <c r="J365" s="210"/>
      <c r="K365" s="210"/>
      <c r="V365" s="85" t="str">
        <f>B358</f>
        <v>Polyethylene</v>
      </c>
      <c r="W365" s="86">
        <f>P358</f>
        <v>7.8</v>
      </c>
      <c r="Y365" s="85" t="str">
        <f>V365</f>
        <v>Polyethylene</v>
      </c>
      <c r="Z365" s="86">
        <f>W365</f>
        <v>7.8</v>
      </c>
      <c r="AC365" s="66">
        <f>Z366+AC353</f>
        <v>355.50733423908144</v>
      </c>
    </row>
    <row r="366" spans="1:29">
      <c r="A366" s="210"/>
      <c r="B366" s="210"/>
      <c r="C366" s="210"/>
      <c r="D366" s="210"/>
      <c r="E366" s="210"/>
      <c r="F366" s="210"/>
      <c r="G366" s="210"/>
      <c r="H366" s="210"/>
      <c r="I366" s="210"/>
      <c r="J366" s="210"/>
      <c r="K366" s="210"/>
      <c r="W366" s="66">
        <f>SUM(W362:W365)</f>
        <v>237.41600000000003</v>
      </c>
      <c r="Z366" s="66">
        <f>SUM(Z362:Z365)</f>
        <v>237.41600000000003</v>
      </c>
    </row>
    <row r="367" spans="1:29">
      <c r="A367" s="66" t="s">
        <v>466</v>
      </c>
      <c r="B367" s="66" t="s">
        <v>467</v>
      </c>
    </row>
    <row r="368" spans="1:29" ht="15" thickBot="1">
      <c r="A368" s="66"/>
      <c r="B368" s="151">
        <v>150000</v>
      </c>
      <c r="I368" s="66">
        <v>300</v>
      </c>
    </row>
    <row r="369" spans="1:13">
      <c r="A369" s="75" t="s">
        <v>468</v>
      </c>
      <c r="B369" s="72"/>
      <c r="C369" s="72"/>
      <c r="D369" s="72"/>
      <c r="E369" s="72"/>
      <c r="F369" s="72"/>
      <c r="G369" s="503" t="s">
        <v>470</v>
      </c>
      <c r="I369" s="505" t="s">
        <v>791</v>
      </c>
    </row>
    <row r="370" spans="1:13">
      <c r="A370" s="153"/>
      <c r="B370" s="59" t="s">
        <v>217</v>
      </c>
      <c r="C370" s="59" t="s">
        <v>469</v>
      </c>
      <c r="D370" s="59"/>
      <c r="E370" s="59" t="s">
        <v>238</v>
      </c>
      <c r="F370" s="79"/>
      <c r="G370" s="504"/>
      <c r="I370" s="506"/>
      <c r="J370" s="70" t="s">
        <v>471</v>
      </c>
      <c r="L370" s="70"/>
      <c r="M370" s="70"/>
    </row>
    <row r="371" spans="1:13" ht="15" thickBot="1">
      <c r="A371" s="154" t="s">
        <v>472</v>
      </c>
      <c r="B371" s="155" t="s">
        <v>473</v>
      </c>
      <c r="C371" s="3">
        <v>0.623</v>
      </c>
      <c r="D371" s="3">
        <v>0.623</v>
      </c>
      <c r="E371" s="3">
        <f>D371/$D$374</f>
        <v>0.59765924788948577</v>
      </c>
      <c r="F371" s="79"/>
      <c r="G371" s="83"/>
      <c r="H371" s="66">
        <f>E371*$G$374</f>
        <v>0.18900829212752596</v>
      </c>
      <c r="I371" s="3">
        <f>H371*$I$368</f>
        <v>56.702487638257786</v>
      </c>
      <c r="J371" s="66">
        <f>I371/$I$394</f>
        <v>0.18900829212752593</v>
      </c>
    </row>
    <row r="372" spans="1:13" ht="15" thickBot="1">
      <c r="A372" s="156"/>
      <c r="B372" s="152" t="s">
        <v>95</v>
      </c>
      <c r="C372" s="157">
        <v>2.64E-2</v>
      </c>
      <c r="D372" s="3">
        <v>2.64E-2</v>
      </c>
      <c r="E372" s="3">
        <f>D372/$D$374</f>
        <v>2.5326170376055258E-2</v>
      </c>
      <c r="F372" s="79"/>
      <c r="G372" s="83"/>
      <c r="H372" s="66">
        <f>E372*$G$374</f>
        <v>8.0093401479401066E-3</v>
      </c>
      <c r="I372" s="3">
        <f>H372*$I$368</f>
        <v>2.4028020443820322</v>
      </c>
      <c r="J372" s="66">
        <f>I372/$I$394</f>
        <v>8.0093401479401048E-3</v>
      </c>
    </row>
    <row r="373" spans="1:13">
      <c r="A373" s="154"/>
      <c r="B373" s="158" t="s">
        <v>474</v>
      </c>
      <c r="C373" s="3">
        <v>0.39300000000000002</v>
      </c>
      <c r="D373" s="3">
        <v>0.39300000000000002</v>
      </c>
      <c r="E373" s="3">
        <f>D373/$D$374</f>
        <v>0.37701458173445895</v>
      </c>
      <c r="F373" s="79"/>
      <c r="G373" s="83"/>
      <c r="H373" s="66">
        <f>E373*$G$374</f>
        <v>0.11922994992956294</v>
      </c>
      <c r="I373" s="3">
        <f>H373*$I$368</f>
        <v>35.768984978868886</v>
      </c>
      <c r="J373" s="66">
        <f>I373/$I$394</f>
        <v>0.11922994992956293</v>
      </c>
    </row>
    <row r="374" spans="1:13">
      <c r="A374" s="82"/>
      <c r="B374" s="79"/>
      <c r="C374" s="79"/>
      <c r="D374" s="79">
        <f>SUM(D371:D373)</f>
        <v>1.0424</v>
      </c>
      <c r="E374" s="79">
        <f>SUM(E371:E373)</f>
        <v>1</v>
      </c>
      <c r="F374" s="79">
        <v>0.32700000000000001</v>
      </c>
      <c r="G374" s="116">
        <f>F374/$F$393</f>
        <v>0.31624758220502902</v>
      </c>
      <c r="I374" s="98">
        <f>SUM(I371:I373)</f>
        <v>94.874274661508707</v>
      </c>
    </row>
    <row r="375" spans="1:13">
      <c r="A375" s="82"/>
      <c r="B375" s="79"/>
      <c r="C375" s="79"/>
      <c r="D375" s="79"/>
      <c r="E375" s="79"/>
      <c r="F375" s="79"/>
      <c r="G375" s="116"/>
    </row>
    <row r="376" spans="1:13" ht="15" thickBot="1">
      <c r="A376" s="154" t="s">
        <v>475</v>
      </c>
      <c r="B376" s="155" t="s">
        <v>97</v>
      </c>
      <c r="C376" s="3">
        <v>0.49399999999999999</v>
      </c>
      <c r="D376" s="3">
        <v>0.49399999999999999</v>
      </c>
      <c r="E376" s="3">
        <f>D376/$D$380</f>
        <v>0.46940326871911819</v>
      </c>
      <c r="F376" s="79"/>
      <c r="G376" s="116"/>
      <c r="H376" s="66">
        <f>E376*$G$380</f>
        <v>0.18204130634077989</v>
      </c>
      <c r="I376" s="3">
        <f>H376*$I$368</f>
        <v>54.612391902233966</v>
      </c>
      <c r="J376" s="66">
        <f>I376/$I$394</f>
        <v>0.18204130634077986</v>
      </c>
    </row>
    <row r="377" spans="1:13" ht="15" thickBot="1">
      <c r="A377" s="156"/>
      <c r="B377" s="152" t="s">
        <v>95</v>
      </c>
      <c r="C377" s="157">
        <v>1.5900000000000001E-2</v>
      </c>
      <c r="D377" s="3">
        <v>1.5900000000000001E-2</v>
      </c>
      <c r="E377" s="3">
        <f>D377/$D$380</f>
        <v>1.5108323831242875E-2</v>
      </c>
      <c r="F377" s="79"/>
      <c r="G377" s="116"/>
      <c r="H377" s="66">
        <f>E377*$G$380</f>
        <v>5.8592242324259115E-3</v>
      </c>
      <c r="I377" s="3">
        <f>H377*$I$368</f>
        <v>1.7577672697277735</v>
      </c>
      <c r="J377" s="66">
        <f>I377/$I$394</f>
        <v>5.8592242324259107E-3</v>
      </c>
    </row>
    <row r="378" spans="1:13" ht="15" thickBot="1">
      <c r="A378" s="154"/>
      <c r="B378" s="159" t="s">
        <v>102</v>
      </c>
      <c r="C378" s="3">
        <v>0.52400000000000002</v>
      </c>
      <c r="D378" s="3">
        <v>0.52400000000000002</v>
      </c>
      <c r="E378" s="3">
        <f>D378/$D$380</f>
        <v>0.49790954009882177</v>
      </c>
      <c r="F378" s="79"/>
      <c r="G378" s="116"/>
      <c r="H378" s="66">
        <f>E378*$G$380</f>
        <v>0.19309644640196086</v>
      </c>
      <c r="I378" s="3">
        <f>H378*$I$368</f>
        <v>57.928933920588257</v>
      </c>
      <c r="J378" s="66">
        <f>I378/$I$394</f>
        <v>0.19309644640196083</v>
      </c>
    </row>
    <row r="379" spans="1:13" ht="15" thickBot="1">
      <c r="A379" s="156"/>
      <c r="B379" s="152" t="s">
        <v>476</v>
      </c>
      <c r="C379" s="157">
        <v>1.8499999999999999E-2</v>
      </c>
      <c r="D379" s="3">
        <v>1.8499999999999999E-2</v>
      </c>
      <c r="E379" s="3">
        <f>D379/$D$380</f>
        <v>1.7578867350817179E-2</v>
      </c>
      <c r="F379" s="79"/>
      <c r="G379" s="116"/>
      <c r="H379" s="66">
        <f>E379*$G$380</f>
        <v>6.817336371061594E-3</v>
      </c>
      <c r="I379" s="3">
        <f>H379*$I$368</f>
        <v>2.0452009113184784</v>
      </c>
      <c r="J379" s="66">
        <f>I379/$I$394</f>
        <v>6.8173363710615931E-3</v>
      </c>
    </row>
    <row r="380" spans="1:13">
      <c r="A380" s="82"/>
      <c r="B380" s="79"/>
      <c r="C380" s="79"/>
      <c r="D380" s="79">
        <f>SUM(D376:D379)</f>
        <v>1.0524</v>
      </c>
      <c r="E380" s="112">
        <f>SUM(E376:E379)</f>
        <v>1</v>
      </c>
      <c r="F380" s="79">
        <v>0.40100000000000002</v>
      </c>
      <c r="G380" s="116">
        <f>F380/$F$393</f>
        <v>0.38781431334622823</v>
      </c>
      <c r="I380" s="98">
        <f>SUM(I376:I379)</f>
        <v>116.34429400386847</v>
      </c>
    </row>
    <row r="381" spans="1:13">
      <c r="A381" s="82"/>
      <c r="B381" s="79"/>
      <c r="C381" s="79"/>
      <c r="D381" s="79"/>
      <c r="E381" s="79"/>
      <c r="F381" s="79"/>
      <c r="G381" s="116"/>
    </row>
    <row r="382" spans="1:13" ht="15" thickBot="1">
      <c r="A382" s="154" t="s">
        <v>477</v>
      </c>
      <c r="B382" s="155" t="s">
        <v>366</v>
      </c>
      <c r="C382" s="3">
        <v>0.35099999999999998</v>
      </c>
      <c r="D382" s="3">
        <v>0.35099999999999998</v>
      </c>
      <c r="E382" s="3">
        <f t="shared" ref="E382:E387" si="51">D382/$D$388</f>
        <v>0.32125205930807255</v>
      </c>
      <c r="F382" s="79"/>
      <c r="G382" s="116"/>
      <c r="H382" s="66">
        <f t="shared" ref="H382:H387" si="52">E382*$G$388</f>
        <v>1.6683980256134909E-2</v>
      </c>
      <c r="I382" s="3">
        <f t="shared" ref="I382:I387" si="53">H382*$I$368</f>
        <v>5.005194076840473</v>
      </c>
      <c r="J382" s="66">
        <f>I382/$I$394</f>
        <v>1.6683980256134906E-2</v>
      </c>
    </row>
    <row r="383" spans="1:13" ht="15" thickBot="1">
      <c r="A383" s="156"/>
      <c r="B383" s="152" t="s">
        <v>478</v>
      </c>
      <c r="C383" s="157">
        <v>0.192</v>
      </c>
      <c r="D383" s="3">
        <v>0.192</v>
      </c>
      <c r="E383" s="3">
        <f t="shared" si="51"/>
        <v>0.17572762218561233</v>
      </c>
      <c r="F383" s="79"/>
      <c r="G383" s="116"/>
      <c r="H383" s="66">
        <f t="shared" si="52"/>
        <v>9.1262797982276413E-3</v>
      </c>
      <c r="I383" s="3">
        <f t="shared" si="53"/>
        <v>2.7378839394682926</v>
      </c>
      <c r="J383" s="66">
        <f t="shared" ref="J383:J387" si="54">I383/$I$394</f>
        <v>9.1262797982276395E-3</v>
      </c>
    </row>
    <row r="384" spans="1:13">
      <c r="A384" s="156"/>
      <c r="B384" s="160" t="s">
        <v>479</v>
      </c>
      <c r="C384" s="157">
        <v>2.6200000000000001E-2</v>
      </c>
      <c r="D384" s="3">
        <v>2.6200000000000001E-2</v>
      </c>
      <c r="E384" s="3">
        <f t="shared" si="51"/>
        <v>2.3979498444078352E-2</v>
      </c>
      <c r="F384" s="79"/>
      <c r="G384" s="116"/>
      <c r="H384" s="66">
        <f t="shared" si="52"/>
        <v>1.2453569307998137E-3</v>
      </c>
      <c r="I384" s="3">
        <f t="shared" si="53"/>
        <v>0.37360707923994413</v>
      </c>
      <c r="J384" s="66">
        <f t="shared" si="54"/>
        <v>1.2453569307998135E-3</v>
      </c>
    </row>
    <row r="385" spans="1:10">
      <c r="A385" s="156"/>
      <c r="B385" s="161" t="s">
        <v>480</v>
      </c>
      <c r="C385" s="157">
        <v>0.29099999999999998</v>
      </c>
      <c r="D385" s="3">
        <v>0.29099999999999998</v>
      </c>
      <c r="E385" s="3">
        <f t="shared" si="51"/>
        <v>0.26633717737506868</v>
      </c>
      <c r="F385" s="79"/>
      <c r="G385" s="116"/>
      <c r="H385" s="66">
        <f t="shared" si="52"/>
        <v>1.3832017819188769E-2</v>
      </c>
      <c r="I385" s="3">
        <f t="shared" si="53"/>
        <v>4.1496053457566306</v>
      </c>
      <c r="J385" s="66">
        <f t="shared" si="54"/>
        <v>1.3832017819188766E-2</v>
      </c>
    </row>
    <row r="386" spans="1:10" ht="15" thickBot="1">
      <c r="A386" s="156"/>
      <c r="B386" s="162" t="s">
        <v>481</v>
      </c>
      <c r="C386" s="157">
        <v>0.218</v>
      </c>
      <c r="D386" s="3">
        <v>0.218</v>
      </c>
      <c r="E386" s="3">
        <f t="shared" si="51"/>
        <v>0.19952407102324735</v>
      </c>
      <c r="F386" s="79"/>
      <c r="G386" s="116"/>
      <c r="H386" s="66">
        <f t="shared" si="52"/>
        <v>1.036213018757097E-2</v>
      </c>
      <c r="I386" s="3">
        <f t="shared" si="53"/>
        <v>3.1086390562712909</v>
      </c>
      <c r="J386" s="66">
        <f t="shared" si="54"/>
        <v>1.0362130187570968E-2</v>
      </c>
    </row>
    <row r="387" spans="1:10" ht="15" thickBot="1">
      <c r="A387" s="156"/>
      <c r="B387" s="152" t="s">
        <v>482</v>
      </c>
      <c r="C387" s="157">
        <v>1.44E-2</v>
      </c>
      <c r="D387" s="3">
        <v>1.44E-2</v>
      </c>
      <c r="E387" s="3">
        <f t="shared" si="51"/>
        <v>1.3179571663920924E-2</v>
      </c>
      <c r="F387" s="79"/>
      <c r="G387" s="116"/>
      <c r="H387" s="66">
        <f t="shared" si="52"/>
        <v>6.8447098486707316E-4</v>
      </c>
      <c r="I387" s="3">
        <f t="shared" si="53"/>
        <v>0.20534129546012195</v>
      </c>
      <c r="J387" s="66">
        <f t="shared" si="54"/>
        <v>6.8447098486707305E-4</v>
      </c>
    </row>
    <row r="388" spans="1:10">
      <c r="A388" s="82"/>
      <c r="B388" s="79"/>
      <c r="C388" s="79"/>
      <c r="D388" s="79">
        <f>SUM(D382:D387)</f>
        <v>1.0925999999999998</v>
      </c>
      <c r="E388" s="163">
        <f>SUM(E382:E387)</f>
        <v>1.0000000000000002</v>
      </c>
      <c r="F388" s="79">
        <v>5.3699999999999998E-2</v>
      </c>
      <c r="G388" s="116">
        <f>F388/$F$393</f>
        <v>5.1934235976789166E-2</v>
      </c>
      <c r="I388" s="98">
        <f>SUM(I382:I387)</f>
        <v>15.580270793036753</v>
      </c>
    </row>
    <row r="389" spans="1:10">
      <c r="A389" s="82"/>
      <c r="B389" s="79"/>
      <c r="C389" s="79"/>
      <c r="D389" s="79"/>
      <c r="E389" s="79"/>
      <c r="F389" s="79"/>
      <c r="G389" s="116"/>
    </row>
    <row r="390" spans="1:10">
      <c r="A390" s="154" t="s">
        <v>483</v>
      </c>
      <c r="B390" s="3" t="s">
        <v>99</v>
      </c>
      <c r="C390" s="3">
        <v>0.16</v>
      </c>
      <c r="D390" s="3"/>
      <c r="E390" s="3"/>
      <c r="F390" s="79">
        <v>0.16</v>
      </c>
      <c r="G390" s="116">
        <f>F390/$F$393</f>
        <v>0.15473887814313347</v>
      </c>
      <c r="H390" s="66">
        <f>G390</f>
        <v>0.15473887814313347</v>
      </c>
      <c r="I390" s="164">
        <f>H390*$I$368</f>
        <v>46.421663442940044</v>
      </c>
      <c r="J390" s="66">
        <f>I390/$I$394</f>
        <v>0.15473887814313345</v>
      </c>
    </row>
    <row r="391" spans="1:10">
      <c r="A391" s="154" t="s">
        <v>484</v>
      </c>
      <c r="B391" s="3" t="s">
        <v>98</v>
      </c>
      <c r="C391" s="3">
        <v>1.9E-2</v>
      </c>
      <c r="D391" s="3"/>
      <c r="E391" s="3"/>
      <c r="F391" s="79">
        <v>1.9E-2</v>
      </c>
      <c r="G391" s="116">
        <f>F391/$F$393</f>
        <v>1.8375241779497099E-2</v>
      </c>
      <c r="H391" s="66">
        <f>G391</f>
        <v>1.8375241779497099E-2</v>
      </c>
      <c r="I391" s="164">
        <f>H391*$I$368</f>
        <v>5.5125725338491298</v>
      </c>
      <c r="J391" s="66">
        <f>I391/$I$394</f>
        <v>1.8375241779497096E-2</v>
      </c>
    </row>
    <row r="392" spans="1:10">
      <c r="A392" s="154" t="s">
        <v>485</v>
      </c>
      <c r="B392" s="3" t="s">
        <v>486</v>
      </c>
      <c r="C392" s="3">
        <v>7.3300000000000004E-2</v>
      </c>
      <c r="D392" s="3"/>
      <c r="E392" s="3"/>
      <c r="F392" s="79">
        <v>7.3300000000000004E-2</v>
      </c>
      <c r="G392" s="116">
        <f>F392/$F$393</f>
        <v>7.088974854932302E-2</v>
      </c>
      <c r="H392" s="66">
        <f>G392</f>
        <v>7.088974854932302E-2</v>
      </c>
      <c r="I392" s="164">
        <f>H392*$I$368</f>
        <v>21.266924564796906</v>
      </c>
      <c r="J392" s="66">
        <f>I392/$I$394</f>
        <v>7.0889748549323006E-2</v>
      </c>
    </row>
    <row r="393" spans="1:10" ht="15" thickBot="1">
      <c r="A393" s="85"/>
      <c r="B393" s="91"/>
      <c r="C393" s="91"/>
      <c r="D393" s="91"/>
      <c r="E393" s="91"/>
      <c r="F393" s="165">
        <f>F374+F380+F388+F390+F391+F392</f>
        <v>1.034</v>
      </c>
      <c r="G393" s="166">
        <f>G374+G380+G388+G390+G391+G392</f>
        <v>1</v>
      </c>
      <c r="I393" s="98"/>
    </row>
    <row r="394" spans="1:10" ht="15" thickBot="1">
      <c r="A394" s="66"/>
      <c r="I394" s="167">
        <f>I374+I380+I388+I390+I391+I392</f>
        <v>300.00000000000006</v>
      </c>
    </row>
  </sheetData>
  <autoFilter ref="M196:M205" xr:uid="{6663EFFA-9576-4954-85B3-A82AAEDA8E48}">
    <sortState ref="L197:O205">
      <sortCondition descending="1" ref="M196:M205"/>
    </sortState>
  </autoFilter>
  <mergeCells count="26">
    <mergeCell ref="AU283:AV283"/>
    <mergeCell ref="B31:B32"/>
    <mergeCell ref="B33:B35"/>
    <mergeCell ref="B36:B38"/>
    <mergeCell ref="A87:U87"/>
    <mergeCell ref="A86:U86"/>
    <mergeCell ref="H39:H45"/>
    <mergeCell ref="H46:H51"/>
    <mergeCell ref="H52:H53"/>
    <mergeCell ref="H54:H60"/>
    <mergeCell ref="B50:B55"/>
    <mergeCell ref="B42:B44"/>
    <mergeCell ref="B39:B41"/>
    <mergeCell ref="G369:G370"/>
    <mergeCell ref="I369:I370"/>
    <mergeCell ref="A364:I365"/>
    <mergeCell ref="A4:A9"/>
    <mergeCell ref="A10:A11"/>
    <mergeCell ref="A12:A14"/>
    <mergeCell ref="B45:B47"/>
    <mergeCell ref="H31:H32"/>
    <mergeCell ref="H33:H35"/>
    <mergeCell ref="H36:H38"/>
    <mergeCell ref="B48:B49"/>
    <mergeCell ref="B28:B30"/>
    <mergeCell ref="H28:H30"/>
  </mergeCells>
  <conditionalFormatting sqref="G270:G279">
    <cfRule type="aboveAverage" dxfId="47" priority="29"/>
  </conditionalFormatting>
  <conditionalFormatting sqref="J270:J276">
    <cfRule type="top10" dxfId="46" priority="27" percent="1" bottom="1" rank="10"/>
    <cfRule type="top10" dxfId="45" priority="28" percent="1" rank="20"/>
    <cfRule type="aboveAverage" dxfId="44" priority="30"/>
  </conditionalFormatting>
  <conditionalFormatting sqref="P92:P107">
    <cfRule type="cellIs" dxfId="43" priority="22" operator="greaterThan">
      <formula>0.01</formula>
    </cfRule>
    <cfRule type="cellIs" dxfId="42" priority="26" operator="greaterThan">
      <formula>0.01</formula>
    </cfRule>
  </conditionalFormatting>
  <conditionalFormatting sqref="H117:H125">
    <cfRule type="cellIs" dxfId="41" priority="23" operator="greaterThan">
      <formula>0.01</formula>
    </cfRule>
    <cfRule type="cellIs" dxfId="40" priority="25" operator="greaterThan">
      <formula>0.01</formula>
    </cfRule>
  </conditionalFormatting>
  <conditionalFormatting sqref="L135:L142">
    <cfRule type="cellIs" dxfId="39" priority="24" operator="greaterThan">
      <formula>0.01</formula>
    </cfRule>
  </conditionalFormatting>
  <conditionalFormatting sqref="P152:P172">
    <cfRule type="cellIs" dxfId="38" priority="21" operator="greaterThan">
      <formula>0.01</formula>
    </cfRule>
  </conditionalFormatting>
  <conditionalFormatting sqref="H197:H205">
    <cfRule type="cellIs" dxfId="37" priority="20" operator="greaterThan">
      <formula>0.01</formula>
    </cfRule>
  </conditionalFormatting>
  <conditionalFormatting sqref="O229:O243">
    <cfRule type="cellIs" dxfId="36" priority="18" operator="greaterThan">
      <formula>0.01</formula>
    </cfRule>
    <cfRule type="cellIs" dxfId="35" priority="19" operator="greaterThan">
      <formula>0.01</formula>
    </cfRule>
  </conditionalFormatting>
  <conditionalFormatting sqref="L254:L262">
    <cfRule type="cellIs" dxfId="34" priority="17" operator="greaterThan">
      <formula>0.01</formula>
    </cfRule>
  </conditionalFormatting>
  <conditionalFormatting sqref="H270:H279">
    <cfRule type="cellIs" dxfId="33" priority="15" operator="greaterThan">
      <formula>0.01</formula>
    </cfRule>
    <cfRule type="cellIs" dxfId="32" priority="16" operator="greaterThan">
      <formula>0.01</formula>
    </cfRule>
  </conditionalFormatting>
  <conditionalFormatting sqref="AT285:AT323">
    <cfRule type="cellIs" dxfId="31" priority="14" operator="greaterThan">
      <formula>0.01</formula>
    </cfRule>
  </conditionalFormatting>
  <conditionalFormatting sqref="AW285:AW294">
    <cfRule type="cellIs" dxfId="30" priority="13" operator="greaterThan">
      <formula>0.01</formula>
    </cfRule>
  </conditionalFormatting>
  <conditionalFormatting sqref="T333:U335 T338:U338 T336:T337 T343:U343 T339:T342 T345:U345 T344 T347:U347 T346 T348:T361">
    <cfRule type="cellIs" dxfId="29" priority="12" operator="greaterThan">
      <formula>0.01</formula>
    </cfRule>
  </conditionalFormatting>
  <conditionalFormatting sqref="J371:J392">
    <cfRule type="cellIs" dxfId="28" priority="6" operator="greaterThan">
      <formula>0.015</formula>
    </cfRule>
  </conditionalFormatting>
  <conditionalFormatting sqref="T333:T361">
    <cfRule type="cellIs" dxfId="27" priority="3" operator="greaterThan">
      <formula>0.015</formula>
    </cfRule>
  </conditionalFormatting>
  <conditionalFormatting sqref="Q333:Q361">
    <cfRule type="cellIs" dxfId="26" priority="2" operator="greaterThan">
      <formula>0.015</formula>
    </cfRule>
  </conditionalFormatting>
  <conditionalFormatting sqref="J333:J361">
    <cfRule type="cellIs" dxfId="25" priority="1" operator="greaterThan">
      <formula>0.015</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1F4FD-9A74-48F0-828E-DF44B5F58D1A}">
  <dimension ref="A1:R113"/>
  <sheetViews>
    <sheetView showGridLines="0" workbookViewId="0">
      <selection activeCell="B11" sqref="B11"/>
    </sheetView>
  </sheetViews>
  <sheetFormatPr defaultRowHeight="14.4"/>
  <cols>
    <col min="1" max="1" width="18.5546875" customWidth="1"/>
    <col min="2" max="2" width="29" bestFit="1" customWidth="1"/>
    <col min="3" max="3" width="15.6640625" customWidth="1"/>
    <col min="4" max="4" width="10.5546875" bestFit="1" customWidth="1"/>
    <col min="5" max="5" width="10.109375" customWidth="1"/>
    <col min="6" max="6" width="14.33203125" customWidth="1"/>
    <col min="7" max="7" width="10.109375" customWidth="1"/>
    <col min="8" max="8" width="12.44140625" customWidth="1"/>
    <col min="9" max="9" width="12.109375" customWidth="1"/>
    <col min="10" max="10" width="14" customWidth="1"/>
    <col min="11" max="11" width="10.109375" customWidth="1"/>
    <col min="12" max="12" width="13.5546875" customWidth="1"/>
    <col min="13" max="13" width="10.109375" customWidth="1"/>
  </cols>
  <sheetData>
    <row r="1" spans="1:18">
      <c r="A1" s="532" t="s">
        <v>157</v>
      </c>
      <c r="B1" s="532"/>
      <c r="C1" s="536"/>
      <c r="D1" s="537"/>
      <c r="E1" s="537"/>
      <c r="F1" s="537"/>
      <c r="G1" s="537"/>
      <c r="H1" s="537"/>
      <c r="I1" s="537"/>
    </row>
    <row r="2" spans="1:18">
      <c r="A2" s="532"/>
      <c r="B2" s="532"/>
      <c r="C2" s="536"/>
      <c r="D2" s="537"/>
      <c r="E2" s="537"/>
      <c r="F2" s="537"/>
      <c r="G2" s="537"/>
      <c r="H2" s="537"/>
      <c r="I2" s="537"/>
    </row>
    <row r="3" spans="1:18">
      <c r="A3" s="35" t="s">
        <v>146</v>
      </c>
      <c r="B3" s="35" t="s">
        <v>147</v>
      </c>
      <c r="C3" s="35">
        <v>1</v>
      </c>
      <c r="D3" s="35">
        <v>2</v>
      </c>
      <c r="E3" s="35">
        <v>3</v>
      </c>
      <c r="F3" s="35">
        <v>4</v>
      </c>
      <c r="H3" s="33" t="s">
        <v>155</v>
      </c>
      <c r="I3" s="34" t="s">
        <v>156</v>
      </c>
    </row>
    <row r="4" spans="1:18">
      <c r="A4" s="35" t="s">
        <v>148</v>
      </c>
      <c r="B4" s="36" t="s">
        <v>149</v>
      </c>
      <c r="C4" s="52">
        <f>$H$4*EXP($I$4*C3)%</f>
        <v>2.2644183516049264E-2</v>
      </c>
      <c r="D4" s="52">
        <f>$H$4*EXP($I$4*D3)%</f>
        <v>6.8367872947802277E-2</v>
      </c>
      <c r="E4" s="52">
        <f>$H$4*EXP($I$4*E3)%</f>
        <v>0.20641795488426334</v>
      </c>
      <c r="F4" s="52">
        <f>$H$4*EXP($I$4*F3)%</f>
        <v>0.62322214018757827</v>
      </c>
      <c r="H4" s="25">
        <v>0.75</v>
      </c>
      <c r="I4" s="34">
        <v>1.105</v>
      </c>
    </row>
    <row r="5" spans="1:18" ht="14.4" customHeight="1">
      <c r="A5" s="533" t="s">
        <v>150</v>
      </c>
      <c r="B5" s="35" t="s">
        <v>151</v>
      </c>
      <c r="C5" s="52">
        <v>0</v>
      </c>
      <c r="D5" s="52">
        <f>$H$5*EXP($I$5*(D3-1))%</f>
        <v>4.5288367032098528E-2</v>
      </c>
      <c r="E5" s="52">
        <f>$H$5*EXP($I$5*(E3-1))%</f>
        <v>0.13673574589560455</v>
      </c>
      <c r="F5" s="52">
        <f>$H$5*EXP($I$5*(F3-1))%</f>
        <v>0.41283590976852669</v>
      </c>
      <c r="H5" s="34">
        <f>4*H7</f>
        <v>1.5</v>
      </c>
      <c r="I5" s="34">
        <v>1.105</v>
      </c>
    </row>
    <row r="6" spans="1:18">
      <c r="A6" s="534"/>
      <c r="B6" s="35" t="s">
        <v>152</v>
      </c>
      <c r="C6" s="52">
        <v>0</v>
      </c>
      <c r="D6" s="52">
        <f>$H$6*EXP($I$6*(D3-1))%</f>
        <v>2.2644183516049264E-2</v>
      </c>
      <c r="E6" s="52">
        <f>$H$6*EXP($I$6*(E3-1))%</f>
        <v>6.8367872947802277E-2</v>
      </c>
      <c r="F6" s="52">
        <f>$H$6*EXP($I$6*(F3-1))%</f>
        <v>0.20641795488426334</v>
      </c>
      <c r="H6" s="34">
        <f>2*H7</f>
        <v>0.75</v>
      </c>
      <c r="I6" s="34">
        <v>1.105</v>
      </c>
    </row>
    <row r="7" spans="1:18">
      <c r="A7" s="535"/>
      <c r="B7" s="35" t="s">
        <v>153</v>
      </c>
      <c r="C7" s="52">
        <v>0</v>
      </c>
      <c r="D7" s="52">
        <f>$H$7*EXP($I$7*(D3-1))%</f>
        <v>1.1322091758024632E-2</v>
      </c>
      <c r="E7" s="52">
        <f>$H$7*EXP($I$7*(E3-1))%</f>
        <v>3.4183936473901139E-2</v>
      </c>
      <c r="F7" s="52">
        <f>$H$7*EXP($I$7*(F3-1))%</f>
        <v>0.10320897744213167</v>
      </c>
      <c r="H7" s="34">
        <v>0.375</v>
      </c>
      <c r="I7" s="34">
        <v>1.105</v>
      </c>
    </row>
    <row r="8" spans="1:18">
      <c r="A8" s="35" t="s">
        <v>154</v>
      </c>
      <c r="B8" s="36"/>
      <c r="C8" s="52">
        <f>$H$8*EXP($I$8*C3)%</f>
        <v>4.5288367032098528E-2</v>
      </c>
      <c r="D8" s="52">
        <f>$H$8*EXP($I$8*D3)%</f>
        <v>0.13673574589560455</v>
      </c>
      <c r="E8" s="52">
        <f>$H$8*EXP($I$8*E3)%</f>
        <v>0.41283590976852669</v>
      </c>
      <c r="F8" s="52">
        <f>$H$8*EXP($I$8*F3)%</f>
        <v>1.2464442803751565</v>
      </c>
      <c r="H8" s="25">
        <v>1.5</v>
      </c>
      <c r="I8" s="34">
        <v>1.105</v>
      </c>
    </row>
    <row r="9" spans="1:18">
      <c r="A9" s="497" t="s">
        <v>814</v>
      </c>
      <c r="B9" s="499" t="s">
        <v>813</v>
      </c>
    </row>
    <row r="10" spans="1:18">
      <c r="B10" s="499" t="s">
        <v>816</v>
      </c>
    </row>
    <row r="11" spans="1:18">
      <c r="C11" s="29"/>
    </row>
    <row r="13" spans="1:18" ht="31.95" customHeight="1" thickBot="1">
      <c r="A13" s="21" t="s">
        <v>1</v>
      </c>
      <c r="B13" s="47" t="s">
        <v>85</v>
      </c>
      <c r="C13" s="47" t="s">
        <v>143</v>
      </c>
      <c r="D13" s="47" t="s">
        <v>2</v>
      </c>
      <c r="E13" s="47" t="s">
        <v>3</v>
      </c>
      <c r="F13" s="47" t="s">
        <v>4</v>
      </c>
      <c r="G13" s="47" t="s">
        <v>5</v>
      </c>
      <c r="H13" s="47" t="s">
        <v>6</v>
      </c>
      <c r="I13" s="47" t="s">
        <v>7</v>
      </c>
      <c r="J13" s="48" t="s">
        <v>189</v>
      </c>
      <c r="K13" s="48" t="s">
        <v>190</v>
      </c>
      <c r="L13" s="47" t="s">
        <v>191</v>
      </c>
      <c r="M13" s="47" t="s">
        <v>192</v>
      </c>
      <c r="N13" s="48" t="s">
        <v>193</v>
      </c>
      <c r="O13" s="29" t="s">
        <v>200</v>
      </c>
      <c r="P13" s="29"/>
      <c r="Q13" s="29"/>
      <c r="R13" s="29"/>
    </row>
    <row r="14" spans="1:18">
      <c r="A14" s="46" t="s">
        <v>38</v>
      </c>
      <c r="B14" s="46" t="s">
        <v>8</v>
      </c>
      <c r="C14" s="49">
        <f>'A2-3 Generic MFA'!J10</f>
        <v>230000</v>
      </c>
      <c r="D14" s="53">
        <f t="shared" ref="D14:D24" si="0">rel.1</f>
        <v>2.2644183516049264E-2</v>
      </c>
      <c r="E14" s="53">
        <f>high.1</f>
        <v>0</v>
      </c>
      <c r="F14" s="53">
        <f>mid.3</f>
        <v>6.8367872947802277E-2</v>
      </c>
      <c r="G14" s="53">
        <f t="shared" ref="G14:G61" si="1">high.3</f>
        <v>0.13673574589560455</v>
      </c>
      <c r="H14" s="53">
        <f t="shared" ref="H14:H61" si="2">high.1</f>
        <v>0</v>
      </c>
      <c r="I14" s="53"/>
      <c r="J14" s="53">
        <f>IF(I14="",SQRT(D14^2+E14^2+F14^2+G14^2+H14^2),I14)</f>
        <v>0.15454316323973277</v>
      </c>
      <c r="K14" s="53"/>
      <c r="L14" s="50">
        <f>C14*J14</f>
        <v>35544.92754513854</v>
      </c>
      <c r="M14" s="54"/>
      <c r="N14" t="s">
        <v>194</v>
      </c>
      <c r="O14" s="53">
        <f>C14/$C$14</f>
        <v>1</v>
      </c>
    </row>
    <row r="15" spans="1:18">
      <c r="A15" s="1" t="s">
        <v>39</v>
      </c>
      <c r="B15" s="1" t="s">
        <v>9</v>
      </c>
      <c r="C15" s="51">
        <f>'A2-3 Generic MFA'!J11</f>
        <v>163298.185459931</v>
      </c>
      <c r="D15" s="53">
        <f t="shared" si="0"/>
        <v>2.2644183516049264E-2</v>
      </c>
      <c r="E15" s="53">
        <f>high.1</f>
        <v>0</v>
      </c>
      <c r="F15" s="53">
        <f>mid.2</f>
        <v>2.2644183516049264E-2</v>
      </c>
      <c r="G15" s="53">
        <f t="shared" si="1"/>
        <v>0.13673574589560455</v>
      </c>
      <c r="H15" s="53">
        <f t="shared" si="2"/>
        <v>0</v>
      </c>
      <c r="I15" s="53"/>
      <c r="J15" s="53">
        <f t="shared" ref="J15:J61" si="3">IF(I15="",SQRT(D15^2+E15^2+F15^2+G15^2+H15^2),I15)</f>
        <v>0.14043568741543003</v>
      </c>
      <c r="K15" s="53"/>
      <c r="L15" s="50">
        <f t="shared" ref="L15:L61" si="4">C15*J15</f>
        <v>22932.892928757792</v>
      </c>
      <c r="M15" s="54"/>
      <c r="N15" t="s">
        <v>195</v>
      </c>
      <c r="O15" s="53">
        <f t="shared" ref="O15:O61" si="5">C15/$C$14</f>
        <v>0.70999211069535217</v>
      </c>
    </row>
    <row r="16" spans="1:18">
      <c r="A16" s="1" t="s">
        <v>40</v>
      </c>
      <c r="B16" s="1" t="s">
        <v>159</v>
      </c>
      <c r="C16" s="51">
        <f>'A2-3 Generic MFA'!J12</f>
        <v>8234.9903649669595</v>
      </c>
      <c r="D16" s="53">
        <f t="shared" si="0"/>
        <v>2.2644183516049264E-2</v>
      </c>
      <c r="E16" s="53">
        <f>high.2</f>
        <v>4.5288367032098528E-2</v>
      </c>
      <c r="F16" s="53">
        <f>mid.3</f>
        <v>6.8367872947802277E-2</v>
      </c>
      <c r="G16" s="53">
        <f>high.3</f>
        <v>0.13673574589560455</v>
      </c>
      <c r="H16" s="53">
        <f t="shared" si="2"/>
        <v>0</v>
      </c>
      <c r="I16" s="53"/>
      <c r="J16" s="53">
        <f t="shared" si="3"/>
        <v>0.16104230963500479</v>
      </c>
      <c r="K16" s="53"/>
      <c r="L16" s="50">
        <f>C16*J16</f>
        <v>1326.1818681962902</v>
      </c>
      <c r="M16" s="54"/>
      <c r="N16" t="s">
        <v>198</v>
      </c>
      <c r="O16" s="53">
        <f t="shared" si="5"/>
        <v>3.5804305934638951E-2</v>
      </c>
    </row>
    <row r="17" spans="1:15">
      <c r="A17" s="1" t="s">
        <v>41</v>
      </c>
      <c r="B17" s="1" t="s">
        <v>161</v>
      </c>
      <c r="C17" s="51">
        <f>'A2-3 Generic MFA'!J13</f>
        <v>11864.1110836877</v>
      </c>
      <c r="D17" s="53">
        <f t="shared" si="0"/>
        <v>2.2644183516049264E-2</v>
      </c>
      <c r="E17" s="53">
        <f>high.2</f>
        <v>4.5288367032098528E-2</v>
      </c>
      <c r="F17" s="53">
        <f>mid.3</f>
        <v>6.8367872947802277E-2</v>
      </c>
      <c r="G17" s="53">
        <f t="shared" si="1"/>
        <v>0.13673574589560455</v>
      </c>
      <c r="H17" s="53">
        <f t="shared" si="2"/>
        <v>0</v>
      </c>
      <c r="I17" s="53"/>
      <c r="J17" s="53">
        <f t="shared" si="3"/>
        <v>0.16104230963500479</v>
      </c>
      <c r="K17" s="53"/>
      <c r="L17" s="50">
        <f t="shared" si="4"/>
        <v>1910.6238506833267</v>
      </c>
      <c r="M17" s="54"/>
      <c r="N17" t="s">
        <v>196</v>
      </c>
      <c r="O17" s="53">
        <f t="shared" si="5"/>
        <v>5.158309166820739E-2</v>
      </c>
    </row>
    <row r="18" spans="1:15">
      <c r="A18" s="1" t="s">
        <v>42</v>
      </c>
      <c r="B18" s="1" t="s">
        <v>10</v>
      </c>
      <c r="C18" s="51">
        <f>'A2-3 Generic MFA'!J14</f>
        <v>1384.41133150833</v>
      </c>
      <c r="D18" s="53">
        <f t="shared" si="0"/>
        <v>2.2644183516049264E-2</v>
      </c>
      <c r="E18" s="53">
        <f>high.2</f>
        <v>4.5288367032098528E-2</v>
      </c>
      <c r="F18" s="53">
        <f>mid.3</f>
        <v>6.8367872947802277E-2</v>
      </c>
      <c r="G18" s="53">
        <f t="shared" si="1"/>
        <v>0.13673574589560455</v>
      </c>
      <c r="H18" s="53">
        <f t="shared" si="2"/>
        <v>0</v>
      </c>
      <c r="I18" s="53"/>
      <c r="J18" s="53">
        <f t="shared" si="3"/>
        <v>0.16104230963500479</v>
      </c>
      <c r="K18" s="53"/>
      <c r="L18" s="50">
        <f t="shared" si="4"/>
        <v>222.94879831097376</v>
      </c>
      <c r="M18" s="54"/>
      <c r="N18" t="s">
        <v>76</v>
      </c>
      <c r="O18" s="53">
        <f t="shared" si="5"/>
        <v>6.0191797022101307E-3</v>
      </c>
    </row>
    <row r="19" spans="1:15">
      <c r="A19" s="1" t="s">
        <v>160</v>
      </c>
      <c r="B19" s="1" t="s">
        <v>11</v>
      </c>
      <c r="C19" s="51">
        <f>'A2-3 Generic MFA'!J15</f>
        <v>7014.2735387869998</v>
      </c>
      <c r="D19" s="53">
        <f t="shared" si="0"/>
        <v>2.2644183516049264E-2</v>
      </c>
      <c r="E19" s="53">
        <f>high.2</f>
        <v>4.5288367032098528E-2</v>
      </c>
      <c r="F19" s="53">
        <f>mid.3</f>
        <v>6.8367872947802277E-2</v>
      </c>
      <c r="G19" s="53">
        <f t="shared" si="1"/>
        <v>0.13673574589560455</v>
      </c>
      <c r="H19" s="53">
        <f t="shared" si="2"/>
        <v>0</v>
      </c>
      <c r="I19" s="53"/>
      <c r="J19" s="53">
        <f t="shared" si="3"/>
        <v>0.16104230963500479</v>
      </c>
      <c r="K19" s="53"/>
      <c r="L19" s="50">
        <f t="shared" si="4"/>
        <v>1129.5948110979568</v>
      </c>
      <c r="M19" s="54"/>
      <c r="N19" t="s">
        <v>76</v>
      </c>
      <c r="O19" s="53">
        <f t="shared" si="5"/>
        <v>3.0496841472986955E-2</v>
      </c>
    </row>
    <row r="20" spans="1:15">
      <c r="A20" s="1" t="s">
        <v>162</v>
      </c>
      <c r="B20" s="1" t="s">
        <v>12</v>
      </c>
      <c r="C20" s="51">
        <f>'A2-3 Generic MFA'!J16</f>
        <v>38204.028221119202</v>
      </c>
      <c r="D20" s="53">
        <f t="shared" si="0"/>
        <v>2.2644183516049264E-2</v>
      </c>
      <c r="E20" s="53">
        <f>high.2</f>
        <v>4.5288367032098528E-2</v>
      </c>
      <c r="F20" s="53">
        <f>mid.3</f>
        <v>6.8367872947802277E-2</v>
      </c>
      <c r="G20" s="53">
        <f t="shared" si="1"/>
        <v>0.13673574589560455</v>
      </c>
      <c r="H20" s="53">
        <f t="shared" si="2"/>
        <v>0</v>
      </c>
      <c r="I20" s="53"/>
      <c r="J20" s="53">
        <f t="shared" si="3"/>
        <v>0.16104230963500479</v>
      </c>
      <c r="K20" s="53"/>
      <c r="L20" s="50">
        <f t="shared" si="4"/>
        <v>6152.4649420899395</v>
      </c>
      <c r="M20" s="54"/>
      <c r="N20" t="s">
        <v>76</v>
      </c>
      <c r="O20" s="53">
        <f t="shared" si="5"/>
        <v>0.16610447052660524</v>
      </c>
    </row>
    <row r="21" spans="1:15">
      <c r="A21" s="1" t="s">
        <v>43</v>
      </c>
      <c r="B21" s="1" t="s">
        <v>19</v>
      </c>
      <c r="C21" s="51">
        <f>'A2-3 Generic MFA'!J17</f>
        <v>120581.12277312401</v>
      </c>
      <c r="D21" s="53">
        <f t="shared" si="0"/>
        <v>2.2644183516049264E-2</v>
      </c>
      <c r="E21" s="53">
        <f>high.1</f>
        <v>0</v>
      </c>
      <c r="F21" s="53">
        <f>high.3</f>
        <v>0.13673574589560455</v>
      </c>
      <c r="G21" s="53">
        <f t="shared" si="1"/>
        <v>0.13673574589560455</v>
      </c>
      <c r="H21" s="53">
        <f t="shared" si="2"/>
        <v>0</v>
      </c>
      <c r="I21" s="53"/>
      <c r="J21" s="53">
        <f t="shared" si="3"/>
        <v>0.19469485729819158</v>
      </c>
      <c r="K21" s="53"/>
      <c r="L21" s="50">
        <f t="shared" si="4"/>
        <v>23476.524491169097</v>
      </c>
      <c r="M21" s="54"/>
      <c r="N21" t="s">
        <v>73</v>
      </c>
      <c r="O21" s="53">
        <f t="shared" si="5"/>
        <v>0.52426575118749563</v>
      </c>
    </row>
    <row r="22" spans="1:15">
      <c r="A22" s="1" t="s">
        <v>44</v>
      </c>
      <c r="B22" s="1" t="s">
        <v>20</v>
      </c>
      <c r="C22" s="51">
        <f>'A2-3 Generic MFA'!J18</f>
        <v>42717.062686806603</v>
      </c>
      <c r="D22" s="53">
        <f t="shared" si="0"/>
        <v>2.2644183516049264E-2</v>
      </c>
      <c r="E22" s="53">
        <f>high.1</f>
        <v>0</v>
      </c>
      <c r="F22" s="53">
        <f>high.3</f>
        <v>0.13673574589560455</v>
      </c>
      <c r="G22" s="53">
        <f t="shared" si="1"/>
        <v>0.13673574589560455</v>
      </c>
      <c r="H22" s="53">
        <f t="shared" si="2"/>
        <v>0</v>
      </c>
      <c r="I22" s="53"/>
      <c r="J22" s="53">
        <f t="shared" si="3"/>
        <v>0.19469485729819158</v>
      </c>
      <c r="K22" s="53"/>
      <c r="L22" s="50">
        <f t="shared" si="4"/>
        <v>8316.7924240057164</v>
      </c>
      <c r="M22" s="54"/>
      <c r="N22" t="s">
        <v>198</v>
      </c>
      <c r="O22" s="53">
        <f t="shared" si="5"/>
        <v>0.18572635950785479</v>
      </c>
    </row>
    <row r="23" spans="1:15">
      <c r="A23" s="1" t="s">
        <v>45</v>
      </c>
      <c r="B23" s="1" t="s">
        <v>165</v>
      </c>
      <c r="C23" s="51">
        <f>'A2-3 Generic MFA'!J30</f>
        <v>2090.1037356617398</v>
      </c>
      <c r="D23" s="53">
        <f t="shared" si="0"/>
        <v>2.2644183516049264E-2</v>
      </c>
      <c r="E23" s="53">
        <f t="shared" ref="E23:E32" si="6">high.2</f>
        <v>4.5288367032098528E-2</v>
      </c>
      <c r="F23" s="53">
        <f>mid.2</f>
        <v>2.2644183516049264E-2</v>
      </c>
      <c r="G23" s="53">
        <f t="shared" si="1"/>
        <v>0.13673574589560455</v>
      </c>
      <c r="H23" s="53">
        <f t="shared" si="2"/>
        <v>0</v>
      </c>
      <c r="I23" s="53"/>
      <c r="J23" s="53">
        <f t="shared" si="3"/>
        <v>0.14755750908807874</v>
      </c>
      <c r="K23" s="53"/>
      <c r="L23" s="50">
        <f t="shared" si="4"/>
        <v>308.4105009699345</v>
      </c>
      <c r="M23" s="54"/>
      <c r="N23" t="s">
        <v>73</v>
      </c>
      <c r="O23" s="53">
        <f t="shared" si="5"/>
        <v>9.0874075463553902E-3</v>
      </c>
    </row>
    <row r="24" spans="1:15">
      <c r="A24" s="1" t="s">
        <v>46</v>
      </c>
      <c r="B24" s="1" t="s">
        <v>17</v>
      </c>
      <c r="C24" s="51">
        <f>'A2-3 Generic MFA'!J31</f>
        <v>35586.798626191201</v>
      </c>
      <c r="D24" s="53">
        <f t="shared" si="0"/>
        <v>2.2644183516049264E-2</v>
      </c>
      <c r="E24" s="53">
        <f t="shared" si="6"/>
        <v>4.5288367032098528E-2</v>
      </c>
      <c r="F24" s="53">
        <f>mid.2</f>
        <v>2.2644183516049264E-2</v>
      </c>
      <c r="G24" s="53">
        <f t="shared" si="1"/>
        <v>0.13673574589560455</v>
      </c>
      <c r="H24" s="53">
        <f t="shared" si="2"/>
        <v>0</v>
      </c>
      <c r="I24" s="53"/>
      <c r="J24" s="53">
        <f t="shared" si="3"/>
        <v>0.14755750908807874</v>
      </c>
      <c r="K24" s="53"/>
      <c r="L24" s="50">
        <f t="shared" si="4"/>
        <v>5251.0993616998367</v>
      </c>
      <c r="M24" s="54"/>
      <c r="N24" t="s">
        <v>73</v>
      </c>
      <c r="O24" s="53">
        <f t="shared" si="5"/>
        <v>0.15472521141822262</v>
      </c>
    </row>
    <row r="25" spans="1:15">
      <c r="A25" s="1" t="s">
        <v>163</v>
      </c>
      <c r="B25" s="1" t="s">
        <v>117</v>
      </c>
      <c r="C25" s="51">
        <f>'A2-3 Generic MFA'!J32</f>
        <v>66952.119976175396</v>
      </c>
      <c r="D25" s="53">
        <f>rel.2</f>
        <v>6.8367872947802277E-2</v>
      </c>
      <c r="E25" s="53">
        <f t="shared" si="6"/>
        <v>4.5288367032098528E-2</v>
      </c>
      <c r="F25" s="53">
        <f>mid.2</f>
        <v>2.2644183516049264E-2</v>
      </c>
      <c r="G25" s="53">
        <f t="shared" si="1"/>
        <v>0.13673574589560455</v>
      </c>
      <c r="H25" s="53">
        <f t="shared" si="2"/>
        <v>0</v>
      </c>
      <c r="I25" s="53"/>
      <c r="J25" s="53">
        <f t="shared" si="3"/>
        <v>0.16104230963500479</v>
      </c>
      <c r="K25" s="53"/>
      <c r="L25" s="50">
        <f t="shared" si="4"/>
        <v>10782.124035923227</v>
      </c>
      <c r="M25" s="54"/>
      <c r="N25" t="s">
        <v>73</v>
      </c>
      <c r="O25" s="53">
        <f t="shared" si="5"/>
        <v>0.29109617380945824</v>
      </c>
    </row>
    <row r="26" spans="1:15">
      <c r="A26" s="1" t="s">
        <v>164</v>
      </c>
      <c r="B26" s="1" t="s">
        <v>26</v>
      </c>
      <c r="C26" s="51">
        <f>'A2-3 Generic MFA'!J33</f>
        <v>15952.100435095899</v>
      </c>
      <c r="D26" s="53">
        <f>rel.3</f>
        <v>0.20641795488426334</v>
      </c>
      <c r="E26" s="53">
        <f t="shared" si="6"/>
        <v>4.5288367032098528E-2</v>
      </c>
      <c r="F26" s="53">
        <f>high.3</f>
        <v>0.13673574589560455</v>
      </c>
      <c r="G26" s="53">
        <f t="shared" si="1"/>
        <v>0.13673574589560455</v>
      </c>
      <c r="H26" s="53">
        <f t="shared" si="2"/>
        <v>0</v>
      </c>
      <c r="I26" s="53"/>
      <c r="J26" s="53">
        <f t="shared" si="3"/>
        <v>0.28644848873452011</v>
      </c>
      <c r="K26" s="53"/>
      <c r="L26" s="50">
        <f t="shared" si="4"/>
        <v>4569.4550617745008</v>
      </c>
      <c r="M26" s="54"/>
      <c r="N26" t="s">
        <v>73</v>
      </c>
      <c r="O26" s="53">
        <f t="shared" si="5"/>
        <v>6.9356958413460429E-2</v>
      </c>
    </row>
    <row r="27" spans="1:15">
      <c r="A27" s="1" t="s">
        <v>47</v>
      </c>
      <c r="B27" s="1" t="s">
        <v>28</v>
      </c>
      <c r="C27" s="51">
        <f>'A2-3 Generic MFA'!J34</f>
        <v>18448.2479312836</v>
      </c>
      <c r="D27" s="53">
        <f>rel.2</f>
        <v>6.8367872947802277E-2</v>
      </c>
      <c r="E27" s="53">
        <f t="shared" si="6"/>
        <v>4.5288367032098528E-2</v>
      </c>
      <c r="F27" s="53">
        <f>high.3</f>
        <v>0.13673574589560455</v>
      </c>
      <c r="G27" s="53">
        <f t="shared" si="1"/>
        <v>0.13673574589560455</v>
      </c>
      <c r="H27" s="53">
        <f t="shared" si="2"/>
        <v>0</v>
      </c>
      <c r="I27" s="53"/>
      <c r="J27" s="53">
        <f t="shared" si="3"/>
        <v>0.21004411596399356</v>
      </c>
      <c r="K27" s="53"/>
      <c r="L27" s="50">
        <f t="shared" si="4"/>
        <v>3874.9459278110367</v>
      </c>
      <c r="M27" s="54"/>
      <c r="N27" t="s">
        <v>73</v>
      </c>
      <c r="O27" s="53">
        <f t="shared" si="5"/>
        <v>8.0209773614276517E-2</v>
      </c>
    </row>
    <row r="28" spans="1:15">
      <c r="A28" s="1" t="s">
        <v>48</v>
      </c>
      <c r="B28" s="1" t="s">
        <v>29</v>
      </c>
      <c r="C28" s="51">
        <f>'A2-3 Generic MFA'!J35</f>
        <v>12405.9321562926</v>
      </c>
      <c r="D28" s="53">
        <f>rel.1</f>
        <v>2.2644183516049264E-2</v>
      </c>
      <c r="E28" s="53">
        <f t="shared" si="6"/>
        <v>4.5288367032098528E-2</v>
      </c>
      <c r="F28" s="53">
        <f>high.3</f>
        <v>0.13673574589560455</v>
      </c>
      <c r="G28" s="53">
        <f t="shared" si="1"/>
        <v>0.13673574589560455</v>
      </c>
      <c r="H28" s="53">
        <f t="shared" si="2"/>
        <v>0</v>
      </c>
      <c r="I28" s="53"/>
      <c r="J28" s="53">
        <f t="shared" si="3"/>
        <v>0.19989278037687419</v>
      </c>
      <c r="K28" s="53"/>
      <c r="L28" s="50">
        <f t="shared" si="4"/>
        <v>2479.8562718881981</v>
      </c>
      <c r="M28" s="54"/>
      <c r="N28" t="s">
        <v>73</v>
      </c>
      <c r="O28" s="53">
        <f t="shared" si="5"/>
        <v>5.3938835462141739E-2</v>
      </c>
    </row>
    <row r="29" spans="1:15">
      <c r="A29" s="1" t="s">
        <v>49</v>
      </c>
      <c r="B29" s="1" t="s">
        <v>173</v>
      </c>
      <c r="C29" s="51">
        <f>'A2-3 Generic MFA'!J36</f>
        <v>1294.86822366611</v>
      </c>
      <c r="D29" s="53">
        <f>rel.2</f>
        <v>6.8367872947802277E-2</v>
      </c>
      <c r="E29" s="53">
        <f t="shared" si="6"/>
        <v>4.5288367032098528E-2</v>
      </c>
      <c r="F29" s="53">
        <f>mid.4</f>
        <v>0.20641795488426334</v>
      </c>
      <c r="G29" s="53">
        <f t="shared" si="1"/>
        <v>0.13673574589560455</v>
      </c>
      <c r="H29" s="53">
        <f t="shared" si="2"/>
        <v>0</v>
      </c>
      <c r="I29" s="53"/>
      <c r="J29" s="53">
        <f t="shared" si="3"/>
        <v>0.26082606952540233</v>
      </c>
      <c r="K29" s="53"/>
      <c r="L29" s="50">
        <f t="shared" si="4"/>
        <v>337.735389332171</v>
      </c>
      <c r="M29" s="54"/>
      <c r="N29" t="s">
        <v>73</v>
      </c>
      <c r="O29" s="53">
        <f t="shared" si="5"/>
        <v>5.6298618420265656E-3</v>
      </c>
    </row>
    <row r="30" spans="1:15">
      <c r="A30" s="1" t="s">
        <v>177</v>
      </c>
      <c r="B30" s="1" t="s">
        <v>27</v>
      </c>
      <c r="C30" s="51">
        <f>'A2-3 Generic MFA'!J37</f>
        <v>9273.9550540013606</v>
      </c>
      <c r="D30" s="53">
        <f>rel.2</f>
        <v>6.8367872947802277E-2</v>
      </c>
      <c r="E30" s="53">
        <f t="shared" si="6"/>
        <v>4.5288367032098528E-2</v>
      </c>
      <c r="F30" s="53">
        <f>high.3</f>
        <v>0.13673574589560455</v>
      </c>
      <c r="G30" s="53">
        <f t="shared" si="1"/>
        <v>0.13673574589560455</v>
      </c>
      <c r="H30" s="53">
        <f t="shared" si="2"/>
        <v>0</v>
      </c>
      <c r="I30" s="53"/>
      <c r="J30" s="53">
        <f t="shared" si="3"/>
        <v>0.21004411596399356</v>
      </c>
      <c r="K30" s="53"/>
      <c r="L30" s="50">
        <f t="shared" si="4"/>
        <v>1947.9396908075259</v>
      </c>
      <c r="M30" s="54"/>
      <c r="N30" t="s">
        <v>73</v>
      </c>
      <c r="O30" s="53">
        <f t="shared" si="5"/>
        <v>4.0321543713049392E-2</v>
      </c>
    </row>
    <row r="31" spans="1:15">
      <c r="A31" s="1" t="s">
        <v>178</v>
      </c>
      <c r="B31" s="1" t="s">
        <v>165</v>
      </c>
      <c r="C31" s="51">
        <f>'A2-3 Generic MFA'!J38</f>
        <v>1294.0593215629301</v>
      </c>
      <c r="D31" s="43">
        <f>rel.1</f>
        <v>2.2644183516049264E-2</v>
      </c>
      <c r="E31" s="53">
        <f t="shared" si="6"/>
        <v>4.5288367032098528E-2</v>
      </c>
      <c r="F31" s="53">
        <f>high.3</f>
        <v>0.13673574589560455</v>
      </c>
      <c r="G31" s="53">
        <f t="shared" si="1"/>
        <v>0.13673574589560455</v>
      </c>
      <c r="H31" s="53">
        <f t="shared" si="2"/>
        <v>0</v>
      </c>
      <c r="I31" s="53"/>
      <c r="J31" s="53">
        <f t="shared" si="3"/>
        <v>0.19989278037687419</v>
      </c>
      <c r="K31" s="53"/>
      <c r="L31" s="50">
        <f t="shared" si="4"/>
        <v>258.67311575982558</v>
      </c>
      <c r="M31" s="54"/>
      <c r="N31" t="s">
        <v>74</v>
      </c>
      <c r="O31" s="53">
        <f t="shared" si="5"/>
        <v>5.6263448763605658E-3</v>
      </c>
    </row>
    <row r="32" spans="1:15">
      <c r="A32" s="1" t="s">
        <v>179</v>
      </c>
      <c r="B32" s="1" t="s">
        <v>30</v>
      </c>
      <c r="C32" s="51">
        <f>'A2-3 Generic MFA'!J44</f>
        <v>2089.8846274071998</v>
      </c>
      <c r="D32" s="43">
        <f>rel.1</f>
        <v>2.2644183516049264E-2</v>
      </c>
      <c r="E32" s="53">
        <f t="shared" si="6"/>
        <v>4.5288367032098528E-2</v>
      </c>
      <c r="F32" s="53">
        <f>high.3</f>
        <v>0.13673574589560455</v>
      </c>
      <c r="G32" s="53">
        <f t="shared" si="1"/>
        <v>0.13673574589560455</v>
      </c>
      <c r="H32" s="53">
        <f t="shared" si="2"/>
        <v>0</v>
      </c>
      <c r="I32" s="53"/>
      <c r="J32" s="53">
        <f t="shared" si="3"/>
        <v>0.19989278037687419</v>
      </c>
      <c r="K32" s="53"/>
      <c r="L32" s="50">
        <f t="shared" si="4"/>
        <v>417.75284883931295</v>
      </c>
      <c r="M32" s="54"/>
      <c r="N32" t="s">
        <v>67</v>
      </c>
      <c r="O32" s="53">
        <f t="shared" si="5"/>
        <v>9.0864549017704334E-3</v>
      </c>
    </row>
    <row r="33" spans="1:15">
      <c r="A33" s="1" t="s">
        <v>180</v>
      </c>
      <c r="B33" s="1" t="s">
        <v>131</v>
      </c>
      <c r="C33" s="51">
        <f>'A2-3 Generic MFA'!J45</f>
        <v>6493.9136621784201</v>
      </c>
      <c r="D33" s="43">
        <f>rel.2</f>
        <v>6.8367872947802277E-2</v>
      </c>
      <c r="E33" s="53">
        <f>high.3</f>
        <v>0.13673574589560455</v>
      </c>
      <c r="F33" s="53">
        <f>mid.4</f>
        <v>0.20641795488426334</v>
      </c>
      <c r="G33" s="53">
        <f t="shared" si="1"/>
        <v>0.13673574589560455</v>
      </c>
      <c r="H33" s="53">
        <f t="shared" si="2"/>
        <v>0</v>
      </c>
      <c r="I33" s="53"/>
      <c r="J33" s="53">
        <f t="shared" si="3"/>
        <v>0.29099117952484965</v>
      </c>
      <c r="K33" s="53"/>
      <c r="L33" s="50">
        <f t="shared" si="4"/>
        <v>1889.6715962898345</v>
      </c>
      <c r="M33" s="54"/>
      <c r="N33" t="s">
        <v>67</v>
      </c>
      <c r="O33" s="53">
        <f t="shared" si="5"/>
        <v>2.8234407226862695E-2</v>
      </c>
    </row>
    <row r="34" spans="1:15">
      <c r="A34" s="1" t="s">
        <v>181</v>
      </c>
      <c r="B34" s="1" t="s">
        <v>31</v>
      </c>
      <c r="C34" s="51">
        <f>'A2-3 Generic MFA'!J46</f>
        <v>983.28540562343801</v>
      </c>
      <c r="D34" s="43">
        <f>rel.2</f>
        <v>6.8367872947802277E-2</v>
      </c>
      <c r="E34" s="53">
        <f>high.2</f>
        <v>4.5288367032098528E-2</v>
      </c>
      <c r="F34" s="53">
        <f>mid.4</f>
        <v>0.20641795488426334</v>
      </c>
      <c r="G34" s="53">
        <f t="shared" si="1"/>
        <v>0.13673574589560455</v>
      </c>
      <c r="H34" s="53">
        <f t="shared" si="2"/>
        <v>0</v>
      </c>
      <c r="I34" s="53"/>
      <c r="J34" s="53">
        <f t="shared" si="3"/>
        <v>0.26082606952540233</v>
      </c>
      <c r="K34" s="53"/>
      <c r="L34" s="50">
        <f t="shared" si="4"/>
        <v>256.46646757045227</v>
      </c>
      <c r="M34" s="54"/>
      <c r="N34" t="s">
        <v>67</v>
      </c>
      <c r="O34" s="53">
        <f t="shared" si="5"/>
        <v>4.2751539374932084E-3</v>
      </c>
    </row>
    <row r="35" spans="1:15">
      <c r="A35" s="1" t="s">
        <v>182</v>
      </c>
      <c r="B35" s="1" t="s">
        <v>32</v>
      </c>
      <c r="C35" s="51">
        <f>'A2-3 Generic MFA'!J47</f>
        <v>2069.7874082230001</v>
      </c>
      <c r="D35" s="43">
        <f>rel.2</f>
        <v>6.8367872947802277E-2</v>
      </c>
      <c r="E35" s="53">
        <f>high.2</f>
        <v>4.5288367032098528E-2</v>
      </c>
      <c r="F35" s="53">
        <f>mid.4</f>
        <v>0.20641795488426334</v>
      </c>
      <c r="G35" s="53">
        <f t="shared" si="1"/>
        <v>0.13673574589560455</v>
      </c>
      <c r="H35" s="53">
        <f t="shared" si="2"/>
        <v>0</v>
      </c>
      <c r="I35" s="53"/>
      <c r="J35" s="53">
        <f t="shared" si="3"/>
        <v>0.26082606952540233</v>
      </c>
      <c r="K35" s="53"/>
      <c r="L35" s="50">
        <f t="shared" si="4"/>
        <v>539.85451443997454</v>
      </c>
      <c r="M35" s="54"/>
      <c r="N35" t="s">
        <v>67</v>
      </c>
      <c r="O35" s="53">
        <f t="shared" si="5"/>
        <v>8.9990756879260864E-3</v>
      </c>
    </row>
    <row r="36" spans="1:15">
      <c r="A36" s="1" t="s">
        <v>183</v>
      </c>
      <c r="B36" s="1" t="s">
        <v>33</v>
      </c>
      <c r="C36" s="51">
        <f>'A2-3 Generic MFA'!J48</f>
        <v>3018.03214227126</v>
      </c>
      <c r="D36" s="43">
        <f>rel.2</f>
        <v>6.8367872947802277E-2</v>
      </c>
      <c r="E36" s="53">
        <f>high.3</f>
        <v>0.13673574589560455</v>
      </c>
      <c r="F36" s="53">
        <f>mid.4</f>
        <v>0.20641795488426334</v>
      </c>
      <c r="G36" s="53">
        <f t="shared" si="1"/>
        <v>0.13673574589560455</v>
      </c>
      <c r="H36" s="53">
        <f t="shared" si="2"/>
        <v>0</v>
      </c>
      <c r="I36" s="53"/>
      <c r="J36" s="53">
        <f t="shared" si="3"/>
        <v>0.29099117952484965</v>
      </c>
      <c r="K36" s="53"/>
      <c r="L36" s="50">
        <f t="shared" si="4"/>
        <v>878.22073292342282</v>
      </c>
      <c r="M36" s="54"/>
      <c r="N36" t="s">
        <v>67</v>
      </c>
      <c r="O36" s="53">
        <f t="shared" si="5"/>
        <v>1.312187887944026E-2</v>
      </c>
    </row>
    <row r="37" spans="1:15">
      <c r="A37" s="1" t="s">
        <v>184</v>
      </c>
      <c r="B37" s="1" t="s">
        <v>131</v>
      </c>
      <c r="C37" s="51">
        <f>'A2-3 Generic MFA'!J49</f>
        <v>1297.19718939262</v>
      </c>
      <c r="D37" s="43">
        <f>rel.2</f>
        <v>6.8367872947802277E-2</v>
      </c>
      <c r="E37" s="53">
        <f>high.3</f>
        <v>0.13673574589560455</v>
      </c>
      <c r="F37" s="53">
        <f>mid.4</f>
        <v>0.20641795488426334</v>
      </c>
      <c r="G37" s="53">
        <f t="shared" si="1"/>
        <v>0.13673574589560455</v>
      </c>
      <c r="H37" s="53">
        <f t="shared" si="2"/>
        <v>0</v>
      </c>
      <c r="I37" s="53"/>
      <c r="J37" s="53">
        <f t="shared" si="3"/>
        <v>0.29099117952484965</v>
      </c>
      <c r="K37" s="53"/>
      <c r="L37" s="50">
        <f t="shared" si="4"/>
        <v>377.47294021767829</v>
      </c>
      <c r="M37" s="54"/>
      <c r="N37" t="s">
        <v>67</v>
      </c>
      <c r="O37" s="53">
        <f t="shared" si="5"/>
        <v>5.6399877799679131E-3</v>
      </c>
    </row>
    <row r="38" spans="1:15">
      <c r="A38" s="1" t="s">
        <v>50</v>
      </c>
      <c r="B38" s="1" t="s">
        <v>14</v>
      </c>
      <c r="C38" s="51">
        <f>'A2-3 Generic MFA'!J50</f>
        <v>3250.5385079377102</v>
      </c>
      <c r="D38" s="43">
        <f>rel.1</f>
        <v>2.2644183516049264E-2</v>
      </c>
      <c r="E38" s="53">
        <f t="shared" ref="E38:F40" si="7">high.2</f>
        <v>4.5288367032098528E-2</v>
      </c>
      <c r="F38" s="53">
        <f t="shared" si="7"/>
        <v>4.5288367032098528E-2</v>
      </c>
      <c r="G38" s="53">
        <f t="shared" si="1"/>
        <v>0.13673574589560455</v>
      </c>
      <c r="H38" s="53">
        <f t="shared" si="2"/>
        <v>0</v>
      </c>
      <c r="I38" s="53"/>
      <c r="J38" s="53">
        <f t="shared" si="3"/>
        <v>0.15268102576811565</v>
      </c>
      <c r="K38" s="53"/>
      <c r="L38" s="50">
        <f t="shared" si="4"/>
        <v>496.29555369068976</v>
      </c>
      <c r="M38" s="54"/>
      <c r="N38" t="s">
        <v>71</v>
      </c>
      <c r="O38" s="53">
        <f t="shared" si="5"/>
        <v>1.4132776121468306E-2</v>
      </c>
    </row>
    <row r="39" spans="1:15">
      <c r="A39" s="1" t="s">
        <v>51</v>
      </c>
      <c r="B39" s="1" t="s">
        <v>15</v>
      </c>
      <c r="C39" s="51">
        <f>'A2-3 Generic MFA'!J51</f>
        <v>998.10804898608899</v>
      </c>
      <c r="D39" s="43">
        <f>rel.1</f>
        <v>2.2644183516049264E-2</v>
      </c>
      <c r="E39" s="53">
        <f t="shared" si="7"/>
        <v>4.5288367032098528E-2</v>
      </c>
      <c r="F39" s="53">
        <f t="shared" si="7"/>
        <v>4.5288367032098528E-2</v>
      </c>
      <c r="G39" s="53">
        <f t="shared" si="1"/>
        <v>0.13673574589560455</v>
      </c>
      <c r="H39" s="53">
        <f t="shared" si="2"/>
        <v>0</v>
      </c>
      <c r="I39" s="53"/>
      <c r="J39" s="53">
        <f t="shared" si="3"/>
        <v>0.15268102576811565</v>
      </c>
      <c r="K39" s="53"/>
      <c r="L39" s="50">
        <f t="shared" si="4"/>
        <v>152.39216074660868</v>
      </c>
      <c r="M39" s="54"/>
      <c r="N39" t="s">
        <v>71</v>
      </c>
      <c r="O39" s="53">
        <f t="shared" si="5"/>
        <v>4.3396002129829957E-3</v>
      </c>
    </row>
    <row r="40" spans="1:15">
      <c r="A40" s="1" t="s">
        <v>52</v>
      </c>
      <c r="B40" s="1" t="s">
        <v>16</v>
      </c>
      <c r="C40" s="51">
        <f>'A2-3 Generic MFA'!J52</f>
        <v>6322.5056864701801</v>
      </c>
      <c r="D40" s="43">
        <f>rel.1</f>
        <v>2.2644183516049264E-2</v>
      </c>
      <c r="E40" s="53">
        <f t="shared" si="7"/>
        <v>4.5288367032098528E-2</v>
      </c>
      <c r="F40" s="53">
        <f t="shared" si="7"/>
        <v>4.5288367032098528E-2</v>
      </c>
      <c r="G40" s="53">
        <f t="shared" si="1"/>
        <v>0.13673574589560455</v>
      </c>
      <c r="H40" s="53">
        <f t="shared" si="2"/>
        <v>0</v>
      </c>
      <c r="I40" s="53"/>
      <c r="J40" s="53">
        <f t="shared" si="3"/>
        <v>0.15268102576811565</v>
      </c>
      <c r="K40" s="53"/>
      <c r="L40" s="50">
        <f t="shared" si="4"/>
        <v>965.32665363501133</v>
      </c>
      <c r="M40" s="54"/>
      <c r="N40" t="s">
        <v>71</v>
      </c>
      <c r="O40" s="53">
        <f t="shared" si="5"/>
        <v>2.7489155158566002E-2</v>
      </c>
    </row>
    <row r="41" spans="1:15">
      <c r="A41" s="1" t="s">
        <v>53</v>
      </c>
      <c r="B41" s="1" t="s">
        <v>30</v>
      </c>
      <c r="C41" s="51">
        <f>'A2-3 Generic MFA'!J53</f>
        <v>6.5005439939814096</v>
      </c>
      <c r="D41" s="43">
        <f>rel.3</f>
        <v>0.20641795488426334</v>
      </c>
      <c r="E41" s="53">
        <f t="shared" ref="E41:E50" si="8">high.2</f>
        <v>4.5288367032098528E-2</v>
      </c>
      <c r="F41" s="53">
        <f>high.3</f>
        <v>0.13673574589560455</v>
      </c>
      <c r="G41" s="53">
        <f t="shared" si="1"/>
        <v>0.13673574589560455</v>
      </c>
      <c r="H41" s="53">
        <f t="shared" si="2"/>
        <v>0</v>
      </c>
      <c r="I41" s="53"/>
      <c r="J41" s="53">
        <f t="shared" si="3"/>
        <v>0.28644848873452011</v>
      </c>
      <c r="K41" s="53"/>
      <c r="L41" s="50">
        <f t="shared" si="4"/>
        <v>1.8620710030282361</v>
      </c>
      <c r="M41" s="54"/>
      <c r="N41" t="s">
        <v>199</v>
      </c>
      <c r="O41" s="53">
        <f t="shared" si="5"/>
        <v>2.826323475644091E-5</v>
      </c>
    </row>
    <row r="42" spans="1:15">
      <c r="A42" s="1" t="s">
        <v>54</v>
      </c>
      <c r="B42" s="1" t="s">
        <v>18</v>
      </c>
      <c r="C42" s="51">
        <f>'A2-3 Generic MFA'!J54</f>
        <v>1405.1939362002499</v>
      </c>
      <c r="D42" s="43">
        <f>rel.1</f>
        <v>2.2644183516049264E-2</v>
      </c>
      <c r="E42" s="53">
        <f t="shared" si="8"/>
        <v>4.5288367032098528E-2</v>
      </c>
      <c r="F42" s="53">
        <f>high.2</f>
        <v>4.5288367032098528E-2</v>
      </c>
      <c r="G42" s="53">
        <f t="shared" si="1"/>
        <v>0.13673574589560455</v>
      </c>
      <c r="H42" s="53">
        <f t="shared" si="2"/>
        <v>0</v>
      </c>
      <c r="I42" s="53"/>
      <c r="J42" s="53">
        <f t="shared" si="3"/>
        <v>0.15268102576811565</v>
      </c>
      <c r="K42" s="53"/>
      <c r="L42" s="50">
        <f t="shared" si="4"/>
        <v>214.54645158219023</v>
      </c>
      <c r="M42" s="54"/>
      <c r="N42" t="s">
        <v>68</v>
      </c>
      <c r="O42" s="53">
        <f t="shared" si="5"/>
        <v>6.109538853044565E-3</v>
      </c>
    </row>
    <row r="43" spans="1:15">
      <c r="A43" s="1" t="s">
        <v>55</v>
      </c>
      <c r="B43" s="1" t="s">
        <v>17</v>
      </c>
      <c r="C43" s="51">
        <f>'A2-3 Generic MFA'!J55</f>
        <v>966.848041559492</v>
      </c>
      <c r="D43" s="43">
        <f>rel.3</f>
        <v>0.20641795488426334</v>
      </c>
      <c r="E43" s="53">
        <f t="shared" si="8"/>
        <v>4.5288367032098528E-2</v>
      </c>
      <c r="F43" s="53">
        <f>high.2</f>
        <v>4.5288367032098528E-2</v>
      </c>
      <c r="G43" s="53">
        <f t="shared" si="1"/>
        <v>0.13673574589560455</v>
      </c>
      <c r="H43" s="53">
        <f t="shared" si="2"/>
        <v>0</v>
      </c>
      <c r="I43" s="53"/>
      <c r="J43" s="53">
        <f t="shared" si="3"/>
        <v>0.25574813524461376</v>
      </c>
      <c r="K43" s="53"/>
      <c r="L43" s="50">
        <f t="shared" si="4"/>
        <v>247.26958369374691</v>
      </c>
      <c r="M43" s="54"/>
      <c r="N43" t="s">
        <v>68</v>
      </c>
      <c r="O43" s="53">
        <f t="shared" si="5"/>
        <v>4.203687137215183E-3</v>
      </c>
    </row>
    <row r="44" spans="1:15">
      <c r="A44" s="1" t="s">
        <v>56</v>
      </c>
      <c r="B44" s="1" t="s">
        <v>165</v>
      </c>
      <c r="C44" s="51">
        <f>'A2-3 Generic MFA'!J56</f>
        <v>6.5003139428774803</v>
      </c>
      <c r="D44" s="43">
        <f>rel.3</f>
        <v>0.20641795488426334</v>
      </c>
      <c r="E44" s="53">
        <f t="shared" si="8"/>
        <v>4.5288367032098528E-2</v>
      </c>
      <c r="F44" s="53">
        <f>high.2</f>
        <v>4.5288367032098528E-2</v>
      </c>
      <c r="G44" s="53">
        <f t="shared" si="1"/>
        <v>0.13673574589560455</v>
      </c>
      <c r="H44" s="53">
        <f t="shared" si="2"/>
        <v>0</v>
      </c>
      <c r="I44" s="53"/>
      <c r="J44" s="53">
        <f t="shared" si="3"/>
        <v>0.25574813524461376</v>
      </c>
      <c r="K44" s="53"/>
      <c r="L44" s="50">
        <f t="shared" si="4"/>
        <v>1.6624431693954784</v>
      </c>
      <c r="M44" s="54"/>
      <c r="N44" t="s">
        <v>68</v>
      </c>
      <c r="O44" s="53">
        <f t="shared" si="5"/>
        <v>2.8262234534249916E-5</v>
      </c>
    </row>
    <row r="45" spans="1:15">
      <c r="A45" s="1" t="s">
        <v>185</v>
      </c>
      <c r="B45" s="1" t="s">
        <v>186</v>
      </c>
      <c r="C45" s="51">
        <f>'A2-3 Generic MFA'!J57</f>
        <v>865.49567224110297</v>
      </c>
      <c r="D45" s="43">
        <f>rel.3</f>
        <v>0.20641795488426334</v>
      </c>
      <c r="E45" s="53">
        <f t="shared" si="8"/>
        <v>4.5288367032098528E-2</v>
      </c>
      <c r="F45" s="53">
        <f>high.2</f>
        <v>4.5288367032098528E-2</v>
      </c>
      <c r="G45" s="53">
        <f t="shared" si="1"/>
        <v>0.13673574589560455</v>
      </c>
      <c r="H45" s="53">
        <f t="shared" si="2"/>
        <v>0</v>
      </c>
      <c r="I45" s="53"/>
      <c r="J45" s="53">
        <f t="shared" si="3"/>
        <v>0.25574813524461376</v>
      </c>
      <c r="K45" s="53"/>
      <c r="L45" s="50">
        <f t="shared" si="4"/>
        <v>221.3489042379455</v>
      </c>
      <c r="M45" s="54"/>
      <c r="N45" t="s">
        <v>68</v>
      </c>
      <c r="O45" s="53">
        <f t="shared" si="5"/>
        <v>3.7630246619178389E-3</v>
      </c>
    </row>
    <row r="46" spans="1:15">
      <c r="A46" s="1" t="s">
        <v>57</v>
      </c>
      <c r="B46" s="1" t="s">
        <v>34</v>
      </c>
      <c r="C46" s="51">
        <f>'A2-3 Generic MFA'!J39</f>
        <v>63677.997717547703</v>
      </c>
      <c r="D46" s="43">
        <f t="shared" ref="D46:D58" si="9">rel.1</f>
        <v>2.2644183516049264E-2</v>
      </c>
      <c r="E46" s="53">
        <f t="shared" si="8"/>
        <v>4.5288367032098528E-2</v>
      </c>
      <c r="F46" s="53">
        <f>mid.2</f>
        <v>2.2644183516049264E-2</v>
      </c>
      <c r="G46" s="53">
        <f t="shared" si="1"/>
        <v>0.13673574589560455</v>
      </c>
      <c r="H46" s="53">
        <f t="shared" si="2"/>
        <v>0</v>
      </c>
      <c r="I46" s="53"/>
      <c r="J46" s="53">
        <f t="shared" si="3"/>
        <v>0.14755750908807874</v>
      </c>
      <c r="K46" s="53"/>
      <c r="L46" s="50">
        <f t="shared" si="4"/>
        <v>9396.1667269177033</v>
      </c>
      <c r="M46" s="54"/>
      <c r="N46" t="s">
        <v>69</v>
      </c>
      <c r="O46" s="53">
        <f t="shared" si="5"/>
        <v>0.27686085964151175</v>
      </c>
    </row>
    <row r="47" spans="1:15">
      <c r="A47" s="1" t="s">
        <v>58</v>
      </c>
      <c r="B47" s="1" t="s">
        <v>35</v>
      </c>
      <c r="C47" s="51">
        <f>'A2-3 Generic MFA'!J40</f>
        <v>8602.3444178043192</v>
      </c>
      <c r="D47" s="43">
        <f t="shared" si="9"/>
        <v>2.2644183516049264E-2</v>
      </c>
      <c r="E47" s="53">
        <f t="shared" si="8"/>
        <v>4.5288367032098528E-2</v>
      </c>
      <c r="F47" s="53">
        <f>mid.2</f>
        <v>2.2644183516049264E-2</v>
      </c>
      <c r="G47" s="53">
        <f t="shared" si="1"/>
        <v>0.13673574589560455</v>
      </c>
      <c r="H47" s="53">
        <f t="shared" si="2"/>
        <v>0</v>
      </c>
      <c r="I47" s="53"/>
      <c r="J47" s="53">
        <f t="shared" si="3"/>
        <v>0.14755750908807874</v>
      </c>
      <c r="K47" s="53"/>
      <c r="L47" s="50">
        <f t="shared" si="4"/>
        <v>1269.3405146089442</v>
      </c>
      <c r="M47" s="54"/>
      <c r="N47" t="s">
        <v>69</v>
      </c>
      <c r="O47" s="53">
        <f t="shared" si="5"/>
        <v>3.7401497468714434E-2</v>
      </c>
    </row>
    <row r="48" spans="1:15">
      <c r="A48" s="1" t="s">
        <v>59</v>
      </c>
      <c r="B48" s="1" t="s">
        <v>36</v>
      </c>
      <c r="C48" s="51">
        <f>'A2-3 Generic MFA'!J41</f>
        <v>789.19478334194298</v>
      </c>
      <c r="D48" s="43">
        <f t="shared" si="9"/>
        <v>2.2644183516049264E-2</v>
      </c>
      <c r="E48" s="53">
        <f t="shared" si="8"/>
        <v>4.5288367032098528E-2</v>
      </c>
      <c r="F48" s="53">
        <f>mid.2</f>
        <v>2.2644183516049264E-2</v>
      </c>
      <c r="G48" s="53">
        <f t="shared" si="1"/>
        <v>0.13673574589560455</v>
      </c>
      <c r="H48" s="53">
        <f t="shared" si="2"/>
        <v>0</v>
      </c>
      <c r="I48" s="53"/>
      <c r="J48" s="53">
        <f t="shared" si="3"/>
        <v>0.14755750908807874</v>
      </c>
      <c r="K48" s="53"/>
      <c r="L48" s="50">
        <f t="shared" si="4"/>
        <v>116.45161641524308</v>
      </c>
      <c r="M48" s="54"/>
      <c r="N48" t="s">
        <v>69</v>
      </c>
      <c r="O48" s="53">
        <f t="shared" si="5"/>
        <v>3.4312816667040999E-3</v>
      </c>
    </row>
    <row r="49" spans="1:15">
      <c r="A49" s="1" t="s">
        <v>60</v>
      </c>
      <c r="B49" s="1" t="s">
        <v>13</v>
      </c>
      <c r="C49" s="51">
        <f>'A2-3 Generic MFA'!J42</f>
        <v>8726.9093506565405</v>
      </c>
      <c r="D49" s="43">
        <f t="shared" si="9"/>
        <v>2.2644183516049264E-2</v>
      </c>
      <c r="E49" s="53">
        <f t="shared" si="8"/>
        <v>4.5288367032098528E-2</v>
      </c>
      <c r="F49" s="53">
        <f>mid.2</f>
        <v>2.2644183516049264E-2</v>
      </c>
      <c r="G49" s="53">
        <f t="shared" si="1"/>
        <v>0.13673574589560455</v>
      </c>
      <c r="H49" s="53">
        <f t="shared" si="2"/>
        <v>0</v>
      </c>
      <c r="I49" s="53"/>
      <c r="J49" s="53">
        <f t="shared" si="3"/>
        <v>0.14755750908807874</v>
      </c>
      <c r="K49" s="53"/>
      <c r="L49" s="50">
        <f t="shared" si="4"/>
        <v>1287.7210058203418</v>
      </c>
      <c r="M49" s="54"/>
      <c r="N49" t="s">
        <v>70</v>
      </c>
      <c r="O49" s="53">
        <f t="shared" si="5"/>
        <v>3.7943084133289305E-2</v>
      </c>
    </row>
    <row r="50" spans="1:15">
      <c r="A50" s="1" t="s">
        <v>61</v>
      </c>
      <c r="B50" s="1" t="s">
        <v>187</v>
      </c>
      <c r="C50" s="51">
        <f>'A2-3 Generic MFA'!J43</f>
        <v>659.58886509744298</v>
      </c>
      <c r="D50" s="43">
        <f t="shared" si="9"/>
        <v>2.2644183516049264E-2</v>
      </c>
      <c r="E50" s="53">
        <f t="shared" si="8"/>
        <v>4.5288367032098528E-2</v>
      </c>
      <c r="F50" s="53">
        <f>mid.2</f>
        <v>2.2644183516049264E-2</v>
      </c>
      <c r="G50" s="53">
        <f t="shared" si="1"/>
        <v>0.13673574589560455</v>
      </c>
      <c r="H50" s="53">
        <f t="shared" si="2"/>
        <v>0</v>
      </c>
      <c r="I50" s="53"/>
      <c r="J50" s="53">
        <f t="shared" si="3"/>
        <v>0.14755750908807874</v>
      </c>
      <c r="K50" s="53"/>
      <c r="L50" s="50">
        <f t="shared" si="4"/>
        <v>97.327289956011484</v>
      </c>
      <c r="M50" s="54"/>
      <c r="N50" t="s">
        <v>70</v>
      </c>
      <c r="O50" s="53">
        <f t="shared" si="5"/>
        <v>2.8677776743367086E-3</v>
      </c>
    </row>
    <row r="51" spans="1:15">
      <c r="A51" s="1" t="s">
        <v>62</v>
      </c>
      <c r="B51" s="2" t="s">
        <v>173</v>
      </c>
      <c r="C51" s="51">
        <f>'A2-3 Generic MFA'!J23</f>
        <v>5995.2448206867002</v>
      </c>
      <c r="D51" s="53">
        <f t="shared" si="9"/>
        <v>2.2644183516049264E-2</v>
      </c>
      <c r="E51" s="53">
        <f t="shared" ref="E51:F54" si="10">high.3</f>
        <v>0.13673574589560455</v>
      </c>
      <c r="F51" s="53">
        <f t="shared" si="10"/>
        <v>0.13673574589560455</v>
      </c>
      <c r="G51" s="53">
        <f t="shared" si="1"/>
        <v>0.13673574589560455</v>
      </c>
      <c r="H51" s="53">
        <f t="shared" si="2"/>
        <v>0</v>
      </c>
      <c r="I51" s="53"/>
      <c r="J51" s="53">
        <f t="shared" si="3"/>
        <v>0.23791332805034385</v>
      </c>
      <c r="K51" s="53"/>
      <c r="L51" s="50">
        <f t="shared" si="4"/>
        <v>1426.3486477661597</v>
      </c>
      <c r="M51" s="54"/>
      <c r="N51" t="s">
        <v>197</v>
      </c>
      <c r="O51" s="53">
        <f t="shared" si="5"/>
        <v>2.6066281829072609E-2</v>
      </c>
    </row>
    <row r="52" spans="1:15">
      <c r="A52" s="1" t="s">
        <v>63</v>
      </c>
      <c r="B52" s="2" t="s">
        <v>174</v>
      </c>
      <c r="C52" s="51">
        <f>'A2-3 Generic MFA'!J24</f>
        <v>5904.00754371529</v>
      </c>
      <c r="D52" s="53">
        <f t="shared" si="9"/>
        <v>2.2644183516049264E-2</v>
      </c>
      <c r="E52" s="53">
        <f t="shared" si="10"/>
        <v>0.13673574589560455</v>
      </c>
      <c r="F52" s="53">
        <f t="shared" si="10"/>
        <v>0.13673574589560455</v>
      </c>
      <c r="G52" s="53">
        <f t="shared" si="1"/>
        <v>0.13673574589560455</v>
      </c>
      <c r="H52" s="53">
        <f t="shared" si="2"/>
        <v>0</v>
      </c>
      <c r="I52" s="53"/>
      <c r="J52" s="53">
        <f t="shared" si="3"/>
        <v>0.23791332805034385</v>
      </c>
      <c r="K52" s="53"/>
      <c r="L52" s="50">
        <f t="shared" si="4"/>
        <v>1404.6420835596407</v>
      </c>
      <c r="M52" s="54"/>
      <c r="N52" t="s">
        <v>197</v>
      </c>
      <c r="O52" s="53">
        <f t="shared" si="5"/>
        <v>2.5669598016153435E-2</v>
      </c>
    </row>
    <row r="53" spans="1:15">
      <c r="A53" s="1" t="s">
        <v>64</v>
      </c>
      <c r="B53" s="2" t="s">
        <v>175</v>
      </c>
      <c r="C53" s="51">
        <f>'A2-3 Generic MFA'!J25</f>
        <v>2855.7028605924602</v>
      </c>
      <c r="D53" s="53">
        <f t="shared" si="9"/>
        <v>2.2644183516049264E-2</v>
      </c>
      <c r="E53" s="53">
        <f t="shared" si="10"/>
        <v>0.13673574589560455</v>
      </c>
      <c r="F53" s="53">
        <f t="shared" si="10"/>
        <v>0.13673574589560455</v>
      </c>
      <c r="G53" s="53">
        <f t="shared" si="1"/>
        <v>0.13673574589560455</v>
      </c>
      <c r="H53" s="53">
        <f t="shared" si="2"/>
        <v>0</v>
      </c>
      <c r="I53" s="53"/>
      <c r="J53" s="53">
        <f t="shared" si="3"/>
        <v>0.23791332805034385</v>
      </c>
      <c r="K53" s="53"/>
      <c r="L53" s="50">
        <f t="shared" si="4"/>
        <v>679.40977148643935</v>
      </c>
      <c r="M53" s="54"/>
      <c r="N53" t="s">
        <v>197</v>
      </c>
      <c r="O53" s="53">
        <f t="shared" si="5"/>
        <v>1.2416099393880262E-2</v>
      </c>
    </row>
    <row r="54" spans="1:15">
      <c r="A54" s="1" t="s">
        <v>188</v>
      </c>
      <c r="B54" s="2" t="s">
        <v>176</v>
      </c>
      <c r="C54" s="51">
        <f>'A2-3 Generic MFA'!J26</f>
        <v>5344.1462236601701</v>
      </c>
      <c r="D54" s="53">
        <f t="shared" si="9"/>
        <v>2.2644183516049264E-2</v>
      </c>
      <c r="E54" s="53">
        <f t="shared" si="10"/>
        <v>0.13673574589560455</v>
      </c>
      <c r="F54" s="53">
        <f t="shared" si="10"/>
        <v>0.13673574589560455</v>
      </c>
      <c r="G54" s="53">
        <f t="shared" si="1"/>
        <v>0.13673574589560455</v>
      </c>
      <c r="H54" s="53">
        <f t="shared" si="2"/>
        <v>0</v>
      </c>
      <c r="I54" s="53"/>
      <c r="J54" s="53">
        <f t="shared" si="3"/>
        <v>0.23791332805034385</v>
      </c>
      <c r="K54" s="53"/>
      <c r="L54" s="50">
        <f t="shared" si="4"/>
        <v>1271.4436136586683</v>
      </c>
      <c r="M54" s="54"/>
      <c r="N54" t="s">
        <v>197</v>
      </c>
      <c r="O54" s="53">
        <f t="shared" si="5"/>
        <v>2.3235418363739869E-2</v>
      </c>
    </row>
    <row r="55" spans="1:15">
      <c r="A55" s="1" t="s">
        <v>65</v>
      </c>
      <c r="B55" s="1" t="s">
        <v>21</v>
      </c>
      <c r="C55" s="51">
        <f>'A2-3 Generic MFA'!J19</f>
        <v>773.27071885837495</v>
      </c>
      <c r="D55" s="53">
        <f t="shared" si="9"/>
        <v>2.2644183516049264E-2</v>
      </c>
      <c r="E55" s="53">
        <f t="shared" ref="E55:F58" si="11">high.2</f>
        <v>4.5288367032098528E-2</v>
      </c>
      <c r="F55" s="53">
        <f t="shared" si="11"/>
        <v>4.5288367032098528E-2</v>
      </c>
      <c r="G55" s="53">
        <f t="shared" si="1"/>
        <v>0.13673574589560455</v>
      </c>
      <c r="H55" s="53">
        <f t="shared" si="2"/>
        <v>0</v>
      </c>
      <c r="I55" s="53"/>
      <c r="J55" s="53">
        <f t="shared" si="3"/>
        <v>0.15268102576811565</v>
      </c>
      <c r="K55" s="53"/>
      <c r="L55" s="50">
        <f t="shared" si="4"/>
        <v>118.06376655174486</v>
      </c>
      <c r="M55" s="54"/>
      <c r="N55" t="s">
        <v>72</v>
      </c>
      <c r="O55" s="53">
        <f t="shared" si="5"/>
        <v>3.3620466037320648E-3</v>
      </c>
    </row>
    <row r="56" spans="1:15">
      <c r="A56" s="1" t="s">
        <v>66</v>
      </c>
      <c r="B56" s="1" t="s">
        <v>168</v>
      </c>
      <c r="C56" s="51">
        <f>'A2-3 Generic MFA'!J20</f>
        <v>410.69518948560199</v>
      </c>
      <c r="D56" s="53">
        <f t="shared" si="9"/>
        <v>2.2644183516049264E-2</v>
      </c>
      <c r="E56" s="53">
        <f t="shared" si="11"/>
        <v>4.5288367032098528E-2</v>
      </c>
      <c r="F56" s="53">
        <f>high.2</f>
        <v>4.5288367032098528E-2</v>
      </c>
      <c r="G56" s="53">
        <f t="shared" si="1"/>
        <v>0.13673574589560455</v>
      </c>
      <c r="H56" s="53">
        <f t="shared" si="2"/>
        <v>0</v>
      </c>
      <c r="I56" s="53"/>
      <c r="J56" s="53">
        <f t="shared" si="3"/>
        <v>0.15268102576811565</v>
      </c>
      <c r="K56" s="53"/>
      <c r="L56" s="50">
        <f t="shared" si="4"/>
        <v>62.705362808692335</v>
      </c>
      <c r="M56" s="54"/>
      <c r="N56" t="s">
        <v>72</v>
      </c>
      <c r="O56" s="53">
        <f t="shared" si="5"/>
        <v>1.785631258633052E-3</v>
      </c>
    </row>
    <row r="57" spans="1:15">
      <c r="A57" s="1" t="s">
        <v>166</v>
      </c>
      <c r="B57" s="1" t="s">
        <v>22</v>
      </c>
      <c r="C57" s="51">
        <f>'A2-3 Generic MFA'!J21</f>
        <v>200.16542284011999</v>
      </c>
      <c r="D57" s="53">
        <f t="shared" si="9"/>
        <v>2.2644183516049264E-2</v>
      </c>
      <c r="E57" s="53">
        <f t="shared" si="11"/>
        <v>4.5288367032098528E-2</v>
      </c>
      <c r="F57" s="53">
        <f t="shared" si="11"/>
        <v>4.5288367032098528E-2</v>
      </c>
      <c r="G57" s="53">
        <f t="shared" si="1"/>
        <v>0.13673574589560455</v>
      </c>
      <c r="H57" s="53">
        <f t="shared" si="2"/>
        <v>0</v>
      </c>
      <c r="I57" s="53"/>
      <c r="J57" s="53">
        <f t="shared" si="3"/>
        <v>0.15268102576811565</v>
      </c>
      <c r="K57" s="53"/>
      <c r="L57" s="50">
        <f t="shared" si="4"/>
        <v>30.561462082538124</v>
      </c>
      <c r="M57" s="54"/>
      <c r="N57" t="s">
        <v>72</v>
      </c>
      <c r="O57" s="53">
        <f t="shared" si="5"/>
        <v>8.7028444713095642E-4</v>
      </c>
    </row>
    <row r="58" spans="1:15">
      <c r="A58" s="1" t="s">
        <v>167</v>
      </c>
      <c r="B58" s="2" t="s">
        <v>169</v>
      </c>
      <c r="C58" s="51">
        <f>'A2-3 Generic MFA'!J22</f>
        <v>0.28000032422876697</v>
      </c>
      <c r="D58" s="53">
        <f t="shared" si="9"/>
        <v>2.2644183516049264E-2</v>
      </c>
      <c r="E58" s="53">
        <f t="shared" si="11"/>
        <v>4.5288367032098528E-2</v>
      </c>
      <c r="F58" s="53">
        <f t="shared" si="11"/>
        <v>4.5288367032098528E-2</v>
      </c>
      <c r="G58" s="53">
        <f t="shared" si="1"/>
        <v>0.13673574589560455</v>
      </c>
      <c r="H58" s="53">
        <f t="shared" si="2"/>
        <v>0</v>
      </c>
      <c r="I58" s="53"/>
      <c r="J58" s="53">
        <f t="shared" si="3"/>
        <v>0.15268102576811565</v>
      </c>
      <c r="K58" s="53"/>
      <c r="L58" s="50">
        <f t="shared" si="4"/>
        <v>4.2750736718653107E-2</v>
      </c>
      <c r="M58" s="54"/>
      <c r="N58" t="s">
        <v>72</v>
      </c>
      <c r="O58" s="53">
        <f t="shared" si="5"/>
        <v>1.2173927140381174E-6</v>
      </c>
    </row>
    <row r="59" spans="1:15">
      <c r="A59" s="1" t="s">
        <v>170</v>
      </c>
      <c r="B59" s="1" t="s">
        <v>23</v>
      </c>
      <c r="C59" s="51">
        <f>'A2-3 Generic MFA'!J27</f>
        <v>159.86155077611701</v>
      </c>
      <c r="D59" s="53">
        <f>rel.2</f>
        <v>6.8367872947802277E-2</v>
      </c>
      <c r="E59" s="53">
        <f>high.3</f>
        <v>0.13673574589560455</v>
      </c>
      <c r="F59" s="53">
        <f>mid.4</f>
        <v>0.20641795488426334</v>
      </c>
      <c r="G59" s="53">
        <f t="shared" si="1"/>
        <v>0.13673574589560455</v>
      </c>
      <c r="H59" s="53">
        <f t="shared" si="2"/>
        <v>0</v>
      </c>
      <c r="I59" s="53"/>
      <c r="J59" s="53">
        <f t="shared" si="3"/>
        <v>0.29099117952484965</v>
      </c>
      <c r="K59" s="53"/>
      <c r="L59" s="50">
        <f t="shared" si="4"/>
        <v>46.518301221013935</v>
      </c>
      <c r="M59" s="54"/>
      <c r="N59" t="s">
        <v>75</v>
      </c>
      <c r="O59" s="53">
        <f t="shared" si="5"/>
        <v>6.9505022076572613E-4</v>
      </c>
    </row>
    <row r="60" spans="1:15">
      <c r="A60" s="1" t="s">
        <v>171</v>
      </c>
      <c r="B60" s="1" t="s">
        <v>24</v>
      </c>
      <c r="C60" s="51">
        <f>'A2-3 Generic MFA'!J28</f>
        <v>4485.5630633844803</v>
      </c>
      <c r="D60" s="53">
        <f>rel.2</f>
        <v>6.8367872947802277E-2</v>
      </c>
      <c r="E60" s="53">
        <f>high.3</f>
        <v>0.13673574589560455</v>
      </c>
      <c r="F60" s="53">
        <f>mid.4</f>
        <v>0.20641795488426334</v>
      </c>
      <c r="G60" s="53">
        <f t="shared" si="1"/>
        <v>0.13673574589560455</v>
      </c>
      <c r="H60" s="53">
        <f t="shared" si="2"/>
        <v>0</v>
      </c>
      <c r="I60" s="53"/>
      <c r="J60" s="53">
        <f t="shared" si="3"/>
        <v>0.29099117952484965</v>
      </c>
      <c r="K60" s="53"/>
      <c r="L60" s="50">
        <f t="shared" si="4"/>
        <v>1305.2592866473478</v>
      </c>
      <c r="M60" s="54"/>
      <c r="N60" t="s">
        <v>75</v>
      </c>
      <c r="O60" s="53">
        <f t="shared" si="5"/>
        <v>1.9502448101671652E-2</v>
      </c>
    </row>
    <row r="61" spans="1:15">
      <c r="A61" s="1" t="s">
        <v>172</v>
      </c>
      <c r="B61" s="1" t="s">
        <v>25</v>
      </c>
      <c r="C61" s="51">
        <f>'A2-3 Generic MFA'!J29</f>
        <v>2368.8489246263998</v>
      </c>
      <c r="D61" s="53">
        <f>rel.2</f>
        <v>6.8367872947802277E-2</v>
      </c>
      <c r="E61" s="53">
        <f>high.3</f>
        <v>0.13673574589560455</v>
      </c>
      <c r="F61" s="53">
        <f>mid.4</f>
        <v>0.20641795488426334</v>
      </c>
      <c r="G61" s="53">
        <f t="shared" si="1"/>
        <v>0.13673574589560455</v>
      </c>
      <c r="H61" s="53">
        <f t="shared" si="2"/>
        <v>0</v>
      </c>
      <c r="I61" s="53"/>
      <c r="J61" s="53">
        <f t="shared" si="3"/>
        <v>0.29099117952484965</v>
      </c>
      <c r="K61" s="53"/>
      <c r="L61" s="50">
        <f t="shared" si="4"/>
        <v>689.31414269320771</v>
      </c>
      <c r="M61" s="54"/>
      <c r="N61" t="s">
        <v>75</v>
      </c>
      <c r="O61" s="53">
        <f t="shared" si="5"/>
        <v>1.0299343150549565E-2</v>
      </c>
    </row>
    <row r="62" spans="1:15">
      <c r="L62" s="50"/>
    </row>
    <row r="65" spans="2:5" ht="43.8" thickBot="1">
      <c r="B65" s="47" t="s">
        <v>85</v>
      </c>
      <c r="C65" s="47" t="s">
        <v>215</v>
      </c>
      <c r="D65" s="48" t="s">
        <v>214</v>
      </c>
      <c r="E65" s="48" t="s">
        <v>216</v>
      </c>
    </row>
    <row r="66" spans="2:5">
      <c r="B66" s="46" t="s">
        <v>8</v>
      </c>
      <c r="C66" s="49">
        <f>C14</f>
        <v>230000</v>
      </c>
      <c r="D66" s="60">
        <f>L14</f>
        <v>35544.92754513854</v>
      </c>
      <c r="E66" s="40">
        <f>J14</f>
        <v>0.15454316323973277</v>
      </c>
    </row>
    <row r="67" spans="2:5">
      <c r="B67" s="1" t="s">
        <v>9</v>
      </c>
      <c r="C67" s="49">
        <f t="shared" ref="C67:C113" si="12">C15</f>
        <v>163298.185459931</v>
      </c>
      <c r="D67" s="60">
        <f t="shared" ref="D67:D113" si="13">L15</f>
        <v>22932.892928757792</v>
      </c>
      <c r="E67" s="40">
        <f t="shared" ref="E67:E113" si="14">J15</f>
        <v>0.14043568741543003</v>
      </c>
    </row>
    <row r="68" spans="2:5">
      <c r="B68" s="1" t="s">
        <v>159</v>
      </c>
      <c r="C68" s="49">
        <f t="shared" si="12"/>
        <v>8234.9903649669595</v>
      </c>
      <c r="D68" s="60">
        <f t="shared" si="13"/>
        <v>1326.1818681962902</v>
      </c>
      <c r="E68" s="40">
        <f t="shared" si="14"/>
        <v>0.16104230963500479</v>
      </c>
    </row>
    <row r="69" spans="2:5">
      <c r="B69" s="1" t="s">
        <v>161</v>
      </c>
      <c r="C69" s="49">
        <f t="shared" si="12"/>
        <v>11864.1110836877</v>
      </c>
      <c r="D69" s="60">
        <f t="shared" si="13"/>
        <v>1910.6238506833267</v>
      </c>
      <c r="E69" s="40">
        <f t="shared" si="14"/>
        <v>0.16104230963500479</v>
      </c>
    </row>
    <row r="70" spans="2:5">
      <c r="B70" s="1" t="s">
        <v>10</v>
      </c>
      <c r="C70" s="49">
        <f t="shared" si="12"/>
        <v>1384.41133150833</v>
      </c>
      <c r="D70" s="60">
        <f t="shared" si="13"/>
        <v>222.94879831097376</v>
      </c>
      <c r="E70" s="40">
        <f t="shared" si="14"/>
        <v>0.16104230963500479</v>
      </c>
    </row>
    <row r="71" spans="2:5">
      <c r="B71" s="1" t="s">
        <v>11</v>
      </c>
      <c r="C71" s="49">
        <f t="shared" si="12"/>
        <v>7014.2735387869998</v>
      </c>
      <c r="D71" s="60">
        <f t="shared" si="13"/>
        <v>1129.5948110979568</v>
      </c>
      <c r="E71" s="40">
        <f t="shared" si="14"/>
        <v>0.16104230963500479</v>
      </c>
    </row>
    <row r="72" spans="2:5">
      <c r="B72" s="1" t="s">
        <v>12</v>
      </c>
      <c r="C72" s="49">
        <f t="shared" si="12"/>
        <v>38204.028221119202</v>
      </c>
      <c r="D72" s="60">
        <f t="shared" si="13"/>
        <v>6152.4649420899395</v>
      </c>
      <c r="E72" s="40">
        <f t="shared" si="14"/>
        <v>0.16104230963500479</v>
      </c>
    </row>
    <row r="73" spans="2:5">
      <c r="B73" s="1" t="s">
        <v>19</v>
      </c>
      <c r="C73" s="49">
        <f t="shared" si="12"/>
        <v>120581.12277312401</v>
      </c>
      <c r="D73" s="60">
        <f t="shared" si="13"/>
        <v>23476.524491169097</v>
      </c>
      <c r="E73" s="40">
        <f t="shared" si="14"/>
        <v>0.19469485729819158</v>
      </c>
    </row>
    <row r="74" spans="2:5">
      <c r="B74" s="1" t="s">
        <v>20</v>
      </c>
      <c r="C74" s="49">
        <f t="shared" si="12"/>
        <v>42717.062686806603</v>
      </c>
      <c r="D74" s="60">
        <f t="shared" si="13"/>
        <v>8316.7924240057164</v>
      </c>
      <c r="E74" s="40">
        <f t="shared" si="14"/>
        <v>0.19469485729819158</v>
      </c>
    </row>
    <row r="75" spans="2:5">
      <c r="B75" s="1" t="s">
        <v>165</v>
      </c>
      <c r="C75" s="49">
        <f t="shared" si="12"/>
        <v>2090.1037356617398</v>
      </c>
      <c r="D75" s="60">
        <f t="shared" si="13"/>
        <v>308.4105009699345</v>
      </c>
      <c r="E75" s="40">
        <f t="shared" si="14"/>
        <v>0.14755750908807874</v>
      </c>
    </row>
    <row r="76" spans="2:5">
      <c r="B76" s="1" t="s">
        <v>17</v>
      </c>
      <c r="C76" s="49">
        <f t="shared" si="12"/>
        <v>35586.798626191201</v>
      </c>
      <c r="D76" s="60">
        <f t="shared" si="13"/>
        <v>5251.0993616998367</v>
      </c>
      <c r="E76" s="40">
        <f t="shared" si="14"/>
        <v>0.14755750908807874</v>
      </c>
    </row>
    <row r="77" spans="2:5">
      <c r="B77" s="1" t="s">
        <v>117</v>
      </c>
      <c r="C77" s="49">
        <f t="shared" si="12"/>
        <v>66952.119976175396</v>
      </c>
      <c r="D77" s="60">
        <f t="shared" si="13"/>
        <v>10782.124035923227</v>
      </c>
      <c r="E77" s="40">
        <f t="shared" si="14"/>
        <v>0.16104230963500479</v>
      </c>
    </row>
    <row r="78" spans="2:5">
      <c r="B78" s="1" t="s">
        <v>26</v>
      </c>
      <c r="C78" s="49">
        <f t="shared" si="12"/>
        <v>15952.100435095899</v>
      </c>
      <c r="D78" s="60">
        <f t="shared" si="13"/>
        <v>4569.4550617745008</v>
      </c>
      <c r="E78" s="40">
        <f t="shared" si="14"/>
        <v>0.28644848873452011</v>
      </c>
    </row>
    <row r="79" spans="2:5">
      <c r="B79" s="1" t="s">
        <v>28</v>
      </c>
      <c r="C79" s="49">
        <f t="shared" si="12"/>
        <v>18448.2479312836</v>
      </c>
      <c r="D79" s="60">
        <f t="shared" si="13"/>
        <v>3874.9459278110367</v>
      </c>
      <c r="E79" s="40">
        <f t="shared" si="14"/>
        <v>0.21004411596399356</v>
      </c>
    </row>
    <row r="80" spans="2:5">
      <c r="B80" s="1" t="s">
        <v>29</v>
      </c>
      <c r="C80" s="49">
        <f t="shared" si="12"/>
        <v>12405.9321562926</v>
      </c>
      <c r="D80" s="60">
        <f t="shared" si="13"/>
        <v>2479.8562718881981</v>
      </c>
      <c r="E80" s="40">
        <f t="shared" si="14"/>
        <v>0.19989278037687419</v>
      </c>
    </row>
    <row r="81" spans="2:5">
      <c r="B81" s="1" t="s">
        <v>173</v>
      </c>
      <c r="C81" s="49">
        <f t="shared" si="12"/>
        <v>1294.86822366611</v>
      </c>
      <c r="D81" s="60">
        <f t="shared" si="13"/>
        <v>337.735389332171</v>
      </c>
      <c r="E81" s="40">
        <f t="shared" si="14"/>
        <v>0.26082606952540233</v>
      </c>
    </row>
    <row r="82" spans="2:5">
      <c r="B82" s="1" t="s">
        <v>27</v>
      </c>
      <c r="C82" s="49">
        <f t="shared" si="12"/>
        <v>9273.9550540013606</v>
      </c>
      <c r="D82" s="60">
        <f t="shared" si="13"/>
        <v>1947.9396908075259</v>
      </c>
      <c r="E82" s="40">
        <f t="shared" si="14"/>
        <v>0.21004411596399356</v>
      </c>
    </row>
    <row r="83" spans="2:5">
      <c r="B83" s="1" t="s">
        <v>165</v>
      </c>
      <c r="C83" s="49">
        <f t="shared" si="12"/>
        <v>1294.0593215629301</v>
      </c>
      <c r="D83" s="60">
        <f t="shared" si="13"/>
        <v>258.67311575982558</v>
      </c>
      <c r="E83" s="40">
        <f t="shared" si="14"/>
        <v>0.19989278037687419</v>
      </c>
    </row>
    <row r="84" spans="2:5">
      <c r="B84" s="1" t="s">
        <v>30</v>
      </c>
      <c r="C84" s="49">
        <f t="shared" si="12"/>
        <v>2089.8846274071998</v>
      </c>
      <c r="D84" s="60">
        <f t="shared" si="13"/>
        <v>417.75284883931295</v>
      </c>
      <c r="E84" s="40">
        <f t="shared" si="14"/>
        <v>0.19989278037687419</v>
      </c>
    </row>
    <row r="85" spans="2:5">
      <c r="B85" s="1" t="s">
        <v>131</v>
      </c>
      <c r="C85" s="49">
        <f t="shared" si="12"/>
        <v>6493.9136621784201</v>
      </c>
      <c r="D85" s="60">
        <f t="shared" si="13"/>
        <v>1889.6715962898345</v>
      </c>
      <c r="E85" s="40">
        <f t="shared" si="14"/>
        <v>0.29099117952484965</v>
      </c>
    </row>
    <row r="86" spans="2:5">
      <c r="B86" s="1" t="s">
        <v>31</v>
      </c>
      <c r="C86" s="49">
        <f t="shared" si="12"/>
        <v>983.28540562343801</v>
      </c>
      <c r="D86" s="60">
        <f t="shared" si="13"/>
        <v>256.46646757045227</v>
      </c>
      <c r="E86" s="40">
        <f t="shared" si="14"/>
        <v>0.26082606952540233</v>
      </c>
    </row>
    <row r="87" spans="2:5">
      <c r="B87" s="1" t="s">
        <v>32</v>
      </c>
      <c r="C87" s="49">
        <f t="shared" si="12"/>
        <v>2069.7874082230001</v>
      </c>
      <c r="D87" s="60">
        <f t="shared" si="13"/>
        <v>539.85451443997454</v>
      </c>
      <c r="E87" s="40">
        <f t="shared" si="14"/>
        <v>0.26082606952540233</v>
      </c>
    </row>
    <row r="88" spans="2:5">
      <c r="B88" s="1" t="s">
        <v>33</v>
      </c>
      <c r="C88" s="49">
        <f t="shared" si="12"/>
        <v>3018.03214227126</v>
      </c>
      <c r="D88" s="60">
        <f t="shared" si="13"/>
        <v>878.22073292342282</v>
      </c>
      <c r="E88" s="40">
        <f t="shared" si="14"/>
        <v>0.29099117952484965</v>
      </c>
    </row>
    <row r="89" spans="2:5">
      <c r="B89" s="1" t="s">
        <v>131</v>
      </c>
      <c r="C89" s="49">
        <f t="shared" si="12"/>
        <v>1297.19718939262</v>
      </c>
      <c r="D89" s="60">
        <f t="shared" si="13"/>
        <v>377.47294021767829</v>
      </c>
      <c r="E89" s="40">
        <f t="shared" si="14"/>
        <v>0.29099117952484965</v>
      </c>
    </row>
    <row r="90" spans="2:5">
      <c r="B90" s="1" t="s">
        <v>14</v>
      </c>
      <c r="C90" s="49">
        <f t="shared" si="12"/>
        <v>3250.5385079377102</v>
      </c>
      <c r="D90" s="60">
        <f t="shared" si="13"/>
        <v>496.29555369068976</v>
      </c>
      <c r="E90" s="40">
        <f t="shared" si="14"/>
        <v>0.15268102576811565</v>
      </c>
    </row>
    <row r="91" spans="2:5">
      <c r="B91" s="1" t="s">
        <v>15</v>
      </c>
      <c r="C91" s="49">
        <f t="shared" si="12"/>
        <v>998.10804898608899</v>
      </c>
      <c r="D91" s="60">
        <f t="shared" si="13"/>
        <v>152.39216074660868</v>
      </c>
      <c r="E91" s="40">
        <f t="shared" si="14"/>
        <v>0.15268102576811565</v>
      </c>
    </row>
    <row r="92" spans="2:5">
      <c r="B92" s="1" t="s">
        <v>16</v>
      </c>
      <c r="C92" s="49">
        <f t="shared" si="12"/>
        <v>6322.5056864701801</v>
      </c>
      <c r="D92" s="60">
        <f t="shared" si="13"/>
        <v>965.32665363501133</v>
      </c>
      <c r="E92" s="40">
        <f t="shared" si="14"/>
        <v>0.15268102576811565</v>
      </c>
    </row>
    <row r="93" spans="2:5">
      <c r="B93" s="1" t="s">
        <v>30</v>
      </c>
      <c r="C93" s="49">
        <f t="shared" si="12"/>
        <v>6.5005439939814096</v>
      </c>
      <c r="D93" s="60">
        <f t="shared" si="13"/>
        <v>1.8620710030282361</v>
      </c>
      <c r="E93" s="40">
        <f t="shared" si="14"/>
        <v>0.28644848873452011</v>
      </c>
    </row>
    <row r="94" spans="2:5">
      <c r="B94" s="1" t="s">
        <v>18</v>
      </c>
      <c r="C94" s="49">
        <f t="shared" si="12"/>
        <v>1405.1939362002499</v>
      </c>
      <c r="D94" s="60">
        <f t="shared" si="13"/>
        <v>214.54645158219023</v>
      </c>
      <c r="E94" s="40">
        <f t="shared" si="14"/>
        <v>0.15268102576811565</v>
      </c>
    </row>
    <row r="95" spans="2:5">
      <c r="B95" s="1" t="s">
        <v>17</v>
      </c>
      <c r="C95" s="49">
        <f t="shared" si="12"/>
        <v>966.848041559492</v>
      </c>
      <c r="D95" s="60">
        <f t="shared" si="13"/>
        <v>247.26958369374691</v>
      </c>
      <c r="E95" s="40">
        <f t="shared" si="14"/>
        <v>0.25574813524461376</v>
      </c>
    </row>
    <row r="96" spans="2:5">
      <c r="B96" s="1" t="s">
        <v>165</v>
      </c>
      <c r="C96" s="49">
        <f t="shared" si="12"/>
        <v>6.5003139428774803</v>
      </c>
      <c r="D96" s="60">
        <f t="shared" si="13"/>
        <v>1.6624431693954784</v>
      </c>
      <c r="E96" s="40">
        <f t="shared" si="14"/>
        <v>0.25574813524461376</v>
      </c>
    </row>
    <row r="97" spans="2:5">
      <c r="B97" s="1" t="s">
        <v>186</v>
      </c>
      <c r="C97" s="49">
        <f t="shared" si="12"/>
        <v>865.49567224110297</v>
      </c>
      <c r="D97" s="60">
        <f t="shared" si="13"/>
        <v>221.3489042379455</v>
      </c>
      <c r="E97" s="40">
        <f t="shared" si="14"/>
        <v>0.25574813524461376</v>
      </c>
    </row>
    <row r="98" spans="2:5">
      <c r="B98" s="1" t="s">
        <v>34</v>
      </c>
      <c r="C98" s="49">
        <f t="shared" si="12"/>
        <v>63677.997717547703</v>
      </c>
      <c r="D98" s="60">
        <f t="shared" si="13"/>
        <v>9396.1667269177033</v>
      </c>
      <c r="E98" s="40">
        <f t="shared" si="14"/>
        <v>0.14755750908807874</v>
      </c>
    </row>
    <row r="99" spans="2:5">
      <c r="B99" s="1" t="s">
        <v>35</v>
      </c>
      <c r="C99" s="49">
        <f t="shared" si="12"/>
        <v>8602.3444178043192</v>
      </c>
      <c r="D99" s="60">
        <f t="shared" si="13"/>
        <v>1269.3405146089442</v>
      </c>
      <c r="E99" s="40">
        <f t="shared" si="14"/>
        <v>0.14755750908807874</v>
      </c>
    </row>
    <row r="100" spans="2:5">
      <c r="B100" s="1" t="s">
        <v>36</v>
      </c>
      <c r="C100" s="49">
        <f t="shared" si="12"/>
        <v>789.19478334194298</v>
      </c>
      <c r="D100" s="60">
        <f t="shared" si="13"/>
        <v>116.45161641524308</v>
      </c>
      <c r="E100" s="40">
        <f t="shared" si="14"/>
        <v>0.14755750908807874</v>
      </c>
    </row>
    <row r="101" spans="2:5">
      <c r="B101" s="1" t="s">
        <v>13</v>
      </c>
      <c r="C101" s="49">
        <f t="shared" si="12"/>
        <v>8726.9093506565405</v>
      </c>
      <c r="D101" s="60">
        <f t="shared" si="13"/>
        <v>1287.7210058203418</v>
      </c>
      <c r="E101" s="40">
        <f t="shared" si="14"/>
        <v>0.14755750908807874</v>
      </c>
    </row>
    <row r="102" spans="2:5">
      <c r="B102" s="1" t="s">
        <v>187</v>
      </c>
      <c r="C102" s="49">
        <f t="shared" si="12"/>
        <v>659.58886509744298</v>
      </c>
      <c r="D102" s="60">
        <f t="shared" si="13"/>
        <v>97.327289956011484</v>
      </c>
      <c r="E102" s="40">
        <f t="shared" si="14"/>
        <v>0.14755750908807874</v>
      </c>
    </row>
    <row r="103" spans="2:5">
      <c r="B103" s="2" t="s">
        <v>173</v>
      </c>
      <c r="C103" s="49">
        <f t="shared" si="12"/>
        <v>5995.2448206867002</v>
      </c>
      <c r="D103" s="60">
        <f t="shared" si="13"/>
        <v>1426.3486477661597</v>
      </c>
      <c r="E103" s="40">
        <f t="shared" si="14"/>
        <v>0.23791332805034385</v>
      </c>
    </row>
    <row r="104" spans="2:5">
      <c r="B104" s="2" t="s">
        <v>174</v>
      </c>
      <c r="C104" s="49">
        <f t="shared" si="12"/>
        <v>5904.00754371529</v>
      </c>
      <c r="D104" s="60">
        <f t="shared" si="13"/>
        <v>1404.6420835596407</v>
      </c>
      <c r="E104" s="40">
        <f t="shared" si="14"/>
        <v>0.23791332805034385</v>
      </c>
    </row>
    <row r="105" spans="2:5">
      <c r="B105" s="2" t="s">
        <v>175</v>
      </c>
      <c r="C105" s="49">
        <f t="shared" si="12"/>
        <v>2855.7028605924602</v>
      </c>
      <c r="D105" s="60">
        <f t="shared" si="13"/>
        <v>679.40977148643935</v>
      </c>
      <c r="E105" s="40">
        <f t="shared" si="14"/>
        <v>0.23791332805034385</v>
      </c>
    </row>
    <row r="106" spans="2:5">
      <c r="B106" s="2" t="s">
        <v>176</v>
      </c>
      <c r="C106" s="49">
        <f t="shared" si="12"/>
        <v>5344.1462236601701</v>
      </c>
      <c r="D106" s="60">
        <f t="shared" si="13"/>
        <v>1271.4436136586683</v>
      </c>
      <c r="E106" s="40">
        <f t="shared" si="14"/>
        <v>0.23791332805034385</v>
      </c>
    </row>
    <row r="107" spans="2:5">
      <c r="B107" s="1" t="s">
        <v>21</v>
      </c>
      <c r="C107" s="49">
        <f t="shared" si="12"/>
        <v>773.27071885837495</v>
      </c>
      <c r="D107" s="60">
        <f t="shared" si="13"/>
        <v>118.06376655174486</v>
      </c>
      <c r="E107" s="40">
        <f t="shared" si="14"/>
        <v>0.15268102576811565</v>
      </c>
    </row>
    <row r="108" spans="2:5">
      <c r="B108" s="1" t="s">
        <v>168</v>
      </c>
      <c r="C108" s="49">
        <f t="shared" si="12"/>
        <v>410.69518948560199</v>
      </c>
      <c r="D108" s="60">
        <f t="shared" si="13"/>
        <v>62.705362808692335</v>
      </c>
      <c r="E108" s="40">
        <f t="shared" si="14"/>
        <v>0.15268102576811565</v>
      </c>
    </row>
    <row r="109" spans="2:5">
      <c r="B109" s="1" t="s">
        <v>22</v>
      </c>
      <c r="C109" s="49">
        <f t="shared" si="12"/>
        <v>200.16542284011999</v>
      </c>
      <c r="D109" s="60">
        <f t="shared" si="13"/>
        <v>30.561462082538124</v>
      </c>
      <c r="E109" s="40">
        <f t="shared" si="14"/>
        <v>0.15268102576811565</v>
      </c>
    </row>
    <row r="110" spans="2:5">
      <c r="B110" s="2" t="s">
        <v>169</v>
      </c>
      <c r="C110" s="49">
        <f t="shared" si="12"/>
        <v>0.28000032422876697</v>
      </c>
      <c r="D110" s="60">
        <f t="shared" si="13"/>
        <v>4.2750736718653107E-2</v>
      </c>
      <c r="E110" s="40">
        <f t="shared" si="14"/>
        <v>0.15268102576811565</v>
      </c>
    </row>
    <row r="111" spans="2:5">
      <c r="B111" s="1" t="s">
        <v>23</v>
      </c>
      <c r="C111" s="49">
        <f t="shared" si="12"/>
        <v>159.86155077611701</v>
      </c>
      <c r="D111" s="60">
        <f t="shared" si="13"/>
        <v>46.518301221013935</v>
      </c>
      <c r="E111" s="40">
        <f t="shared" si="14"/>
        <v>0.29099117952484965</v>
      </c>
    </row>
    <row r="112" spans="2:5">
      <c r="B112" s="1" t="s">
        <v>24</v>
      </c>
      <c r="C112" s="49">
        <f t="shared" si="12"/>
        <v>4485.5630633844803</v>
      </c>
      <c r="D112" s="60">
        <f t="shared" si="13"/>
        <v>1305.2592866473478</v>
      </c>
      <c r="E112" s="40">
        <f t="shared" si="14"/>
        <v>0.29099117952484965</v>
      </c>
    </row>
    <row r="113" spans="2:5">
      <c r="B113" s="1" t="s">
        <v>25</v>
      </c>
      <c r="C113" s="49">
        <f t="shared" si="12"/>
        <v>2368.8489246263998</v>
      </c>
      <c r="D113" s="60">
        <f t="shared" si="13"/>
        <v>689.31414269320771</v>
      </c>
      <c r="E113" s="40">
        <f t="shared" si="14"/>
        <v>0.29099117952484965</v>
      </c>
    </row>
  </sheetData>
  <mergeCells count="3">
    <mergeCell ref="A1:B2"/>
    <mergeCell ref="A5:A7"/>
    <mergeCell ref="C1:I2"/>
  </mergeCells>
  <conditionalFormatting sqref="O14:O61">
    <cfRule type="cellIs" dxfId="24" priority="5" operator="lessThan">
      <formula>0.001</formula>
    </cfRule>
    <cfRule type="cellIs" dxfId="23" priority="6" operator="lessThan">
      <formula>0.01</formula>
    </cfRule>
    <cfRule type="cellIs" dxfId="22" priority="7" operator="lessThan">
      <formula>0.005</formula>
    </cfRule>
    <cfRule type="cellIs" dxfId="21" priority="8" operator="lessThan">
      <formula>0.01</formula>
    </cfRule>
    <cfRule type="cellIs" dxfId="20" priority="9" operator="lessThan">
      <formula>0.01</formula>
    </cfRule>
    <cfRule type="cellIs" dxfId="19" priority="10" operator="lessThan">
      <formula>0.05</formula>
    </cfRule>
  </conditionalFormatting>
  <conditionalFormatting sqref="O15:O61">
    <cfRule type="colorScale" priority="4">
      <colorScale>
        <cfvo type="min"/>
        <cfvo type="percentile" val="50"/>
        <cfvo type="max"/>
        <color rgb="FFF8696B"/>
        <color rgb="FFFFEB84"/>
        <color rgb="FF63BE7B"/>
      </colorScale>
    </cfRule>
  </conditionalFormatting>
  <conditionalFormatting sqref="J14:J61">
    <cfRule type="colorScale" priority="1">
      <colorScale>
        <cfvo type="min"/>
        <cfvo type="percentile" val="50"/>
        <cfvo type="max"/>
        <color rgb="FF63BE7B"/>
        <color rgb="FFFFEB84"/>
        <color rgb="FFF8696B"/>
      </colorScale>
    </cfRule>
    <cfRule type="cellIs" dxfId="18" priority="2" operator="greaterThan">
      <formula>0.15</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3"/>
  <sheetViews>
    <sheetView showGridLines="0" zoomScaleNormal="100" workbookViewId="0">
      <selection activeCell="K4" sqref="K4"/>
    </sheetView>
  </sheetViews>
  <sheetFormatPr defaultRowHeight="14.4"/>
  <cols>
    <col min="3" max="3" width="11.109375" bestFit="1" customWidth="1"/>
    <col min="7" max="7" width="4.21875" customWidth="1"/>
    <col min="8" max="8" width="9.33203125" customWidth="1"/>
    <col min="9" max="9" width="14.33203125" customWidth="1"/>
    <col min="10" max="10" width="15.77734375" bestFit="1" customWidth="1"/>
    <col min="11" max="11" width="12.33203125" bestFit="1" customWidth="1"/>
    <col min="12" max="12" width="3.44140625" customWidth="1"/>
    <col min="14" max="14" width="22.6640625" customWidth="1"/>
    <col min="16" max="16" width="22.44140625" customWidth="1"/>
    <col min="17" max="17" width="12.109375" bestFit="1" customWidth="1"/>
    <col min="19" max="19" width="9.21875" bestFit="1" customWidth="1"/>
  </cols>
  <sheetData>
    <row r="1" spans="1:21" ht="14.4" customHeight="1">
      <c r="A1" s="538" t="s">
        <v>210</v>
      </c>
      <c r="B1" s="539"/>
      <c r="C1" s="539"/>
      <c r="D1" s="539"/>
      <c r="E1" s="539"/>
      <c r="F1" s="539"/>
      <c r="G1" s="539"/>
      <c r="H1" s="239" t="s">
        <v>80</v>
      </c>
      <c r="I1" s="18"/>
      <c r="J1" s="18"/>
    </row>
    <row r="2" spans="1:21">
      <c r="A2" s="538"/>
      <c r="B2" s="539"/>
      <c r="C2" s="539"/>
      <c r="D2" s="539"/>
      <c r="E2" s="539"/>
      <c r="F2" s="539"/>
      <c r="G2" s="539"/>
      <c r="H2" s="240" t="s">
        <v>81</v>
      </c>
      <c r="I2" s="18"/>
      <c r="J2" s="240" t="s">
        <v>82</v>
      </c>
    </row>
    <row r="3" spans="1:21">
      <c r="A3" s="538"/>
      <c r="B3" s="539"/>
      <c r="C3" s="539"/>
      <c r="D3" s="539"/>
      <c r="E3" s="539"/>
      <c r="F3" s="539"/>
      <c r="G3" s="539"/>
      <c r="H3" s="18"/>
      <c r="I3" s="18"/>
      <c r="J3" s="240" t="s">
        <v>83</v>
      </c>
    </row>
    <row r="4" spans="1:21">
      <c r="A4" s="538"/>
      <c r="B4" s="539"/>
      <c r="C4" s="539"/>
      <c r="D4" s="539"/>
      <c r="E4" s="539"/>
      <c r="F4" s="539"/>
      <c r="G4" s="539"/>
      <c r="H4" s="239" t="s">
        <v>574</v>
      </c>
      <c r="I4" s="18"/>
      <c r="J4" s="18"/>
    </row>
    <row r="5" spans="1:21">
      <c r="A5" s="538"/>
      <c r="B5" s="539"/>
      <c r="C5" s="539"/>
      <c r="D5" s="539"/>
      <c r="E5" s="539"/>
      <c r="F5" s="539"/>
      <c r="G5" s="539"/>
      <c r="H5" s="18"/>
      <c r="I5" s="18"/>
      <c r="J5" s="191"/>
    </row>
    <row r="6" spans="1:21">
      <c r="A6" s="213"/>
      <c r="B6" s="213"/>
      <c r="C6" s="213"/>
      <c r="D6" s="213"/>
      <c r="E6" s="213"/>
      <c r="F6" s="213"/>
      <c r="G6" s="213"/>
      <c r="H6" s="18"/>
      <c r="I6" s="18"/>
      <c r="J6" s="191"/>
    </row>
    <row r="7" spans="1:21" ht="14.4" customHeight="1">
      <c r="A7" s="540" t="s">
        <v>208</v>
      </c>
      <c r="B7" s="542" t="s">
        <v>571</v>
      </c>
      <c r="C7" s="542"/>
      <c r="D7" s="542"/>
      <c r="E7" s="542"/>
      <c r="F7" s="543"/>
      <c r="H7" s="540" t="s">
        <v>209</v>
      </c>
      <c r="I7" s="542" t="s">
        <v>579</v>
      </c>
      <c r="J7" s="542"/>
      <c r="K7" s="543"/>
      <c r="L7" s="204"/>
      <c r="M7" s="540" t="s">
        <v>578</v>
      </c>
      <c r="N7" s="542" t="s">
        <v>585</v>
      </c>
      <c r="O7" s="542"/>
      <c r="P7" s="542"/>
      <c r="Q7" s="542"/>
      <c r="R7" s="542"/>
      <c r="S7" s="542"/>
      <c r="T7" s="543"/>
    </row>
    <row r="8" spans="1:21" ht="28.8" customHeight="1">
      <c r="A8" s="541"/>
      <c r="B8" s="544"/>
      <c r="C8" s="544"/>
      <c r="D8" s="544"/>
      <c r="E8" s="544"/>
      <c r="F8" s="545"/>
      <c r="H8" s="541"/>
      <c r="I8" s="544"/>
      <c r="J8" s="544"/>
      <c r="K8" s="545"/>
      <c r="L8" s="238"/>
      <c r="M8" s="541"/>
      <c r="N8" s="544"/>
      <c r="O8" s="544"/>
      <c r="P8" s="544"/>
      <c r="Q8" s="544"/>
      <c r="R8" s="544"/>
      <c r="S8" s="544"/>
      <c r="T8" s="545"/>
    </row>
    <row r="9" spans="1:21" ht="74.400000000000006" customHeight="1">
      <c r="A9" s="216" t="s">
        <v>0</v>
      </c>
      <c r="B9" s="216" t="s">
        <v>1</v>
      </c>
      <c r="C9" s="216" t="s">
        <v>37</v>
      </c>
      <c r="D9" s="216" t="s">
        <v>572</v>
      </c>
      <c r="E9" s="216" t="s">
        <v>575</v>
      </c>
      <c r="F9" s="220" t="s">
        <v>201</v>
      </c>
      <c r="G9" s="223"/>
      <c r="H9" s="216" t="s">
        <v>0</v>
      </c>
      <c r="I9" s="216" t="s">
        <v>1</v>
      </c>
      <c r="J9" s="216" t="s">
        <v>37</v>
      </c>
      <c r="K9" s="216" t="s">
        <v>573</v>
      </c>
      <c r="L9" s="221"/>
      <c r="M9" s="217" t="s">
        <v>0</v>
      </c>
      <c r="N9" s="217" t="s">
        <v>1</v>
      </c>
      <c r="O9" s="217" t="s">
        <v>207</v>
      </c>
      <c r="P9" s="217" t="s">
        <v>202</v>
      </c>
      <c r="Q9" s="218" t="s">
        <v>203</v>
      </c>
      <c r="R9" s="218" t="s">
        <v>79</v>
      </c>
      <c r="S9" s="219" t="s">
        <v>205</v>
      </c>
      <c r="T9" s="218" t="s">
        <v>204</v>
      </c>
    </row>
    <row r="10" spans="1:21" ht="14.4" customHeight="1">
      <c r="A10" s="1" t="s">
        <v>38</v>
      </c>
      <c r="B10" s="1" t="s">
        <v>8</v>
      </c>
      <c r="C10" s="224">
        <v>230000</v>
      </c>
      <c r="D10" s="2"/>
      <c r="E10" s="39">
        <f t="shared" ref="E10:E57" si="0">J10/$J$10</f>
        <v>1</v>
      </c>
      <c r="F10" s="222">
        <f>'A2-2 Uncertainties ELV'!J14</f>
        <v>0.15454316323973277</v>
      </c>
      <c r="G10" s="223"/>
      <c r="H10" s="1" t="s">
        <v>38</v>
      </c>
      <c r="I10" s="1" t="s">
        <v>8</v>
      </c>
      <c r="J10" s="224">
        <v>230000</v>
      </c>
      <c r="K10" s="2"/>
      <c r="L10" s="32"/>
      <c r="M10" s="244" t="s">
        <v>111</v>
      </c>
      <c r="N10" s="56" t="s">
        <v>9</v>
      </c>
      <c r="O10" s="56"/>
      <c r="P10" s="56"/>
      <c r="Q10" s="237">
        <f>Q11+Q12+Q13</f>
        <v>183397.28690858567</v>
      </c>
      <c r="R10" s="57">
        <f>R11+R12+R13</f>
        <v>0.79737950829819848</v>
      </c>
      <c r="S10" s="57">
        <f>S11+S12+S13</f>
        <v>53132.681992820151</v>
      </c>
      <c r="T10" s="58">
        <f>S10/Q10</f>
        <v>0.28971356604257797</v>
      </c>
      <c r="U10" t="s">
        <v>84</v>
      </c>
    </row>
    <row r="11" spans="1:21">
      <c r="A11" s="1" t="s">
        <v>39</v>
      </c>
      <c r="B11" s="1" t="s">
        <v>9</v>
      </c>
      <c r="C11" s="225">
        <v>163000</v>
      </c>
      <c r="D11" s="4">
        <f t="shared" ref="D11:D16" si="1">C11/$C$10</f>
        <v>0.70869565217391306</v>
      </c>
      <c r="E11" s="39">
        <f t="shared" si="0"/>
        <v>0.70999211069535217</v>
      </c>
      <c r="F11" s="222">
        <f>'A2-2 Uncertainties ELV'!J15</f>
        <v>0.14043568741543003</v>
      </c>
      <c r="G11" s="223"/>
      <c r="H11" s="1" t="s">
        <v>39</v>
      </c>
      <c r="I11" s="1" t="s">
        <v>9</v>
      </c>
      <c r="J11" s="225">
        <v>163298.185459931</v>
      </c>
      <c r="K11" s="4">
        <f t="shared" ref="K11:K16" si="2">J11/$J$10</f>
        <v>0.70999211069535217</v>
      </c>
      <c r="L11" s="32"/>
      <c r="M11" s="245"/>
      <c r="N11" s="24" t="s">
        <v>576</v>
      </c>
      <c r="O11" s="1" t="s">
        <v>39</v>
      </c>
      <c r="P11" s="1" t="s">
        <v>9</v>
      </c>
      <c r="Q11" s="51">
        <f t="shared" ref="Q11:R13" si="3">J11</f>
        <v>163298.185459931</v>
      </c>
      <c r="R11" s="3">
        <f t="shared" si="3"/>
        <v>0.70999211069535217</v>
      </c>
      <c r="S11" s="22">
        <f>((J11*(F11/100))^2)</f>
        <v>52591.7578081869</v>
      </c>
      <c r="T11" s="1"/>
      <c r="U11" t="s">
        <v>84</v>
      </c>
    </row>
    <row r="12" spans="1:21">
      <c r="A12" s="1" t="s">
        <v>40</v>
      </c>
      <c r="B12" s="1" t="s">
        <v>159</v>
      </c>
      <c r="C12" s="226">
        <v>8270</v>
      </c>
      <c r="D12" s="4">
        <f t="shared" si="1"/>
        <v>3.5956521739130436E-2</v>
      </c>
      <c r="E12" s="39">
        <f t="shared" si="0"/>
        <v>3.5804305934638951E-2</v>
      </c>
      <c r="F12" s="222">
        <f>'A2-2 Uncertainties ELV'!J16</f>
        <v>0.16104230963500479</v>
      </c>
      <c r="G12" s="223"/>
      <c r="H12" s="1" t="s">
        <v>40</v>
      </c>
      <c r="I12" s="1" t="s">
        <v>159</v>
      </c>
      <c r="J12" s="226">
        <v>8234.9903649669595</v>
      </c>
      <c r="K12" s="4">
        <f t="shared" si="2"/>
        <v>3.5804305934638951E-2</v>
      </c>
      <c r="L12" s="32"/>
      <c r="M12" s="245"/>
      <c r="N12" s="24" t="s">
        <v>576</v>
      </c>
      <c r="O12" s="1" t="s">
        <v>40</v>
      </c>
      <c r="P12" s="1" t="s">
        <v>159</v>
      </c>
      <c r="Q12" s="51">
        <f t="shared" si="3"/>
        <v>8234.9903649669595</v>
      </c>
      <c r="R12" s="3">
        <f t="shared" si="3"/>
        <v>3.5804305934638951E-2</v>
      </c>
      <c r="S12" s="22">
        <f>((J12*(F12/100))^2)</f>
        <v>175.87583475326025</v>
      </c>
      <c r="T12" s="1"/>
      <c r="U12" t="s">
        <v>84</v>
      </c>
    </row>
    <row r="13" spans="1:21">
      <c r="A13" s="1" t="s">
        <v>41</v>
      </c>
      <c r="B13" s="1" t="s">
        <v>161</v>
      </c>
      <c r="C13" s="226">
        <v>11900</v>
      </c>
      <c r="D13" s="4">
        <f t="shared" si="1"/>
        <v>5.1739130434782607E-2</v>
      </c>
      <c r="E13" s="39">
        <f t="shared" si="0"/>
        <v>5.158309166820739E-2</v>
      </c>
      <c r="F13" s="222">
        <f>'A2-2 Uncertainties ELV'!J17</f>
        <v>0.16104230963500479</v>
      </c>
      <c r="G13" s="223"/>
      <c r="H13" s="1" t="s">
        <v>41</v>
      </c>
      <c r="I13" s="1" t="s">
        <v>161</v>
      </c>
      <c r="J13" s="226">
        <v>11864.1110836877</v>
      </c>
      <c r="K13" s="4">
        <f t="shared" si="2"/>
        <v>5.158309166820739E-2</v>
      </c>
      <c r="L13" s="32"/>
      <c r="M13" s="245"/>
      <c r="N13" s="24" t="s">
        <v>576</v>
      </c>
      <c r="O13" s="1" t="s">
        <v>41</v>
      </c>
      <c r="P13" s="1" t="s">
        <v>161</v>
      </c>
      <c r="Q13" s="51">
        <f t="shared" si="3"/>
        <v>11864.1110836877</v>
      </c>
      <c r="R13" s="3">
        <f t="shared" si="3"/>
        <v>5.158309166820739E-2</v>
      </c>
      <c r="S13" s="22">
        <f>((J13*(F13/100))^2)</f>
        <v>365.04834987999834</v>
      </c>
      <c r="T13" s="1"/>
      <c r="U13" t="s">
        <v>84</v>
      </c>
    </row>
    <row r="14" spans="1:21">
      <c r="A14" s="1" t="s">
        <v>42</v>
      </c>
      <c r="B14" s="1" t="s">
        <v>10</v>
      </c>
      <c r="C14" s="227">
        <v>1380</v>
      </c>
      <c r="D14" s="4">
        <f t="shared" si="1"/>
        <v>6.0000000000000001E-3</v>
      </c>
      <c r="E14" s="39">
        <f t="shared" si="0"/>
        <v>6.0191797022101307E-3</v>
      </c>
      <c r="F14" s="222">
        <f>'A2-2 Uncertainties ELV'!J18</f>
        <v>0.16104230963500479</v>
      </c>
      <c r="G14" s="223"/>
      <c r="H14" s="1" t="s">
        <v>42</v>
      </c>
      <c r="I14" s="1" t="s">
        <v>10</v>
      </c>
      <c r="J14" s="227">
        <v>1384.41133150833</v>
      </c>
      <c r="K14" s="4">
        <f t="shared" si="2"/>
        <v>6.0191797022101307E-3</v>
      </c>
      <c r="L14" s="32"/>
      <c r="M14" s="245"/>
      <c r="N14" s="1"/>
      <c r="O14" s="1"/>
      <c r="P14" s="1"/>
      <c r="Q14" s="51"/>
      <c r="R14" s="1"/>
      <c r="S14" s="22"/>
      <c r="T14" s="1"/>
      <c r="U14" t="s">
        <v>84</v>
      </c>
    </row>
    <row r="15" spans="1:21">
      <c r="A15" s="1" t="s">
        <v>160</v>
      </c>
      <c r="B15" s="1" t="s">
        <v>11</v>
      </c>
      <c r="C15" s="228">
        <v>7080</v>
      </c>
      <c r="D15" s="4">
        <f t="shared" si="1"/>
        <v>3.0782608695652174E-2</v>
      </c>
      <c r="E15" s="39">
        <f t="shared" si="0"/>
        <v>3.0496841472986955E-2</v>
      </c>
      <c r="F15" s="222">
        <f>'A2-2 Uncertainties ELV'!J19</f>
        <v>0.16104230963500479</v>
      </c>
      <c r="G15" s="223"/>
      <c r="H15" s="1" t="s">
        <v>160</v>
      </c>
      <c r="I15" s="1" t="s">
        <v>11</v>
      </c>
      <c r="J15" s="228">
        <v>7014.2735387869998</v>
      </c>
      <c r="K15" s="4">
        <f t="shared" si="2"/>
        <v>3.0496841472986955E-2</v>
      </c>
      <c r="L15" s="32"/>
      <c r="M15" s="244" t="s">
        <v>112</v>
      </c>
      <c r="N15" s="56" t="s">
        <v>144</v>
      </c>
      <c r="O15" s="1"/>
      <c r="P15" s="1"/>
      <c r="Q15" s="237">
        <f>Q16+Q17+Q18</f>
        <v>46602.713091414531</v>
      </c>
      <c r="R15" s="59">
        <f>R16+R17+R18</f>
        <v>0.20262049170180232</v>
      </c>
      <c r="S15" s="57">
        <f>S16+S17+S18</f>
        <v>3917.8515467573507</v>
      </c>
      <c r="T15" s="58">
        <f>S15/Q15</f>
        <v>8.406917294862655E-2</v>
      </c>
      <c r="U15" t="s">
        <v>84</v>
      </c>
    </row>
    <row r="16" spans="1:21">
      <c r="A16" s="1" t="s">
        <v>162</v>
      </c>
      <c r="B16" s="1" t="s">
        <v>12</v>
      </c>
      <c r="C16" s="51">
        <v>27700</v>
      </c>
      <c r="D16" s="4">
        <f t="shared" si="1"/>
        <v>0.12043478260869565</v>
      </c>
      <c r="E16" s="39">
        <f t="shared" si="0"/>
        <v>0.16610447052660524</v>
      </c>
      <c r="F16" s="222">
        <f>'A2-2 Uncertainties ELV'!J20</f>
        <v>0.16104230963500479</v>
      </c>
      <c r="G16" s="223"/>
      <c r="H16" s="1" t="s">
        <v>162</v>
      </c>
      <c r="I16" s="1" t="s">
        <v>12</v>
      </c>
      <c r="J16" s="51">
        <v>38204.028221119202</v>
      </c>
      <c r="K16" s="4">
        <f t="shared" si="2"/>
        <v>0.16610447052660524</v>
      </c>
      <c r="L16" s="32"/>
      <c r="M16" s="245"/>
      <c r="N16" s="24" t="s">
        <v>576</v>
      </c>
      <c r="O16" s="1" t="s">
        <v>42</v>
      </c>
      <c r="P16" s="1" t="s">
        <v>10</v>
      </c>
      <c r="Q16" s="51">
        <f t="shared" ref="Q16:R18" si="4">J14</f>
        <v>1384.41133150833</v>
      </c>
      <c r="R16" s="3">
        <f t="shared" si="4"/>
        <v>6.0191797022101307E-3</v>
      </c>
      <c r="S16" s="22">
        <f>((J14*(F14/100))^2)</f>
        <v>4.9706166668307246</v>
      </c>
      <c r="T16" s="1"/>
      <c r="U16" t="s">
        <v>84</v>
      </c>
    </row>
    <row r="17" spans="1:21">
      <c r="A17" s="1" t="s">
        <v>43</v>
      </c>
      <c r="B17" s="1" t="s">
        <v>19</v>
      </c>
      <c r="C17" s="229">
        <v>120000</v>
      </c>
      <c r="D17" s="12">
        <f>C17/$C$11</f>
        <v>0.73619631901840488</v>
      </c>
      <c r="E17" s="39">
        <f t="shared" si="0"/>
        <v>0.52426575118749563</v>
      </c>
      <c r="F17" s="222">
        <f>'A2-2 Uncertainties ELV'!J21</f>
        <v>0.19469485729819158</v>
      </c>
      <c r="G17" s="223"/>
      <c r="H17" s="1" t="s">
        <v>43</v>
      </c>
      <c r="I17" s="1" t="s">
        <v>19</v>
      </c>
      <c r="J17" s="229">
        <v>120581.12277312401</v>
      </c>
      <c r="K17" s="12">
        <f>J17/$J$11</f>
        <v>0.73841067145667327</v>
      </c>
      <c r="L17" s="32"/>
      <c r="M17" s="245"/>
      <c r="N17" s="24" t="s">
        <v>576</v>
      </c>
      <c r="O17" s="1" t="s">
        <v>160</v>
      </c>
      <c r="P17" s="1" t="s">
        <v>11</v>
      </c>
      <c r="Q17" s="51">
        <f t="shared" si="4"/>
        <v>7014.2735387869998</v>
      </c>
      <c r="R17" s="3">
        <f t="shared" si="4"/>
        <v>3.0496841472986955E-2</v>
      </c>
      <c r="S17" s="22">
        <f>((J15*(F15/100))^2)</f>
        <v>127.59844372594287</v>
      </c>
      <c r="T17" s="1"/>
      <c r="U17" t="s">
        <v>84</v>
      </c>
    </row>
    <row r="18" spans="1:21">
      <c r="A18" s="1" t="s">
        <v>44</v>
      </c>
      <c r="B18" s="1" t="s">
        <v>20</v>
      </c>
      <c r="C18" s="230">
        <v>43500</v>
      </c>
      <c r="D18" s="12">
        <f>C18/$C$11</f>
        <v>0.26687116564417179</v>
      </c>
      <c r="E18" s="39">
        <f t="shared" si="0"/>
        <v>0.18572635950785479</v>
      </c>
      <c r="F18" s="222">
        <f>'A2-2 Uncertainties ELV'!J22</f>
        <v>0.19469485729819158</v>
      </c>
      <c r="G18" s="223"/>
      <c r="H18" s="1" t="s">
        <v>44</v>
      </c>
      <c r="I18" s="1" t="s">
        <v>20</v>
      </c>
      <c r="J18" s="230">
        <v>42717.062686806603</v>
      </c>
      <c r="K18" s="12">
        <f>J18/$J$11</f>
        <v>0.26158932854332434</v>
      </c>
      <c r="L18" s="32"/>
      <c r="M18" s="245"/>
      <c r="N18" s="24" t="s">
        <v>576</v>
      </c>
      <c r="O18" s="1" t="str">
        <f>H16</f>
        <v>E1.06</v>
      </c>
      <c r="P18" s="1" t="str">
        <f>I16</f>
        <v>Spare parts</v>
      </c>
      <c r="Q18" s="51">
        <f t="shared" si="4"/>
        <v>38204.028221119202</v>
      </c>
      <c r="R18" s="3">
        <f t="shared" si="4"/>
        <v>0.16610447052660524</v>
      </c>
      <c r="S18" s="22">
        <f>((J16*(F16/100))^2)</f>
        <v>3785.2824863645769</v>
      </c>
      <c r="T18" s="3"/>
      <c r="U18" t="s">
        <v>84</v>
      </c>
    </row>
    <row r="19" spans="1:21">
      <c r="A19" s="1" t="s">
        <v>65</v>
      </c>
      <c r="B19" s="1" t="s">
        <v>21</v>
      </c>
      <c r="C19" s="231">
        <v>773</v>
      </c>
      <c r="D19" s="13">
        <f>C19/$C$14</f>
        <v>0.56014492753623191</v>
      </c>
      <c r="E19" s="39">
        <f t="shared" si="0"/>
        <v>3.3620466037320648E-3</v>
      </c>
      <c r="F19" s="222">
        <f>'A2-2 Uncertainties ELV'!J55</f>
        <v>0.15268102576811565</v>
      </c>
      <c r="G19" s="223"/>
      <c r="H19" s="1" t="s">
        <v>65</v>
      </c>
      <c r="I19" s="1" t="s">
        <v>21</v>
      </c>
      <c r="J19" s="231">
        <v>773.27071885837495</v>
      </c>
      <c r="K19" s="13">
        <f>J19/$J$14</f>
        <v>0.55855561223692729</v>
      </c>
      <c r="L19" s="32"/>
      <c r="M19" s="245"/>
      <c r="N19" s="1"/>
      <c r="O19" s="1"/>
      <c r="P19" s="1"/>
      <c r="Q19" s="51"/>
      <c r="R19" s="1"/>
      <c r="S19" s="22"/>
      <c r="T19" s="1"/>
      <c r="U19" t="s">
        <v>84</v>
      </c>
    </row>
    <row r="20" spans="1:21">
      <c r="A20" s="1" t="s">
        <v>66</v>
      </c>
      <c r="B20" s="1" t="s">
        <v>168</v>
      </c>
      <c r="C20" s="51">
        <v>411</v>
      </c>
      <c r="D20" s="13">
        <f>C20/$C$14</f>
        <v>0.29782608695652174</v>
      </c>
      <c r="E20" s="39">
        <f t="shared" si="0"/>
        <v>1.785631258633052E-3</v>
      </c>
      <c r="F20" s="222">
        <f>'A2-2 Uncertainties ELV'!J56</f>
        <v>0.15268102576811565</v>
      </c>
      <c r="G20" s="223"/>
      <c r="H20" s="1" t="s">
        <v>66</v>
      </c>
      <c r="I20" s="1" t="s">
        <v>168</v>
      </c>
      <c r="J20" s="51">
        <v>410.69518948560199</v>
      </c>
      <c r="K20" s="13">
        <f>J20/$J$14</f>
        <v>0.29665691123616089</v>
      </c>
      <c r="L20" s="32"/>
      <c r="M20" s="244" t="s">
        <v>113</v>
      </c>
      <c r="N20" s="56" t="s">
        <v>19</v>
      </c>
      <c r="O20" s="56" t="str">
        <f>H17</f>
        <v>E2.01</v>
      </c>
      <c r="P20" s="56" t="s">
        <v>19</v>
      </c>
      <c r="Q20" s="237">
        <f>J17</f>
        <v>120581.12277312401</v>
      </c>
      <c r="R20" s="59">
        <f>K17</f>
        <v>0.73841067145667327</v>
      </c>
      <c r="S20" s="57"/>
      <c r="T20" s="56"/>
      <c r="U20" t="s">
        <v>84</v>
      </c>
    </row>
    <row r="21" spans="1:21">
      <c r="A21" s="1" t="s">
        <v>166</v>
      </c>
      <c r="B21" s="1" t="s">
        <v>22</v>
      </c>
      <c r="C21" s="51">
        <v>200</v>
      </c>
      <c r="D21" s="13">
        <f>C21/$C$14</f>
        <v>0.14492753623188406</v>
      </c>
      <c r="E21" s="39">
        <f t="shared" si="0"/>
        <v>8.7028444713095642E-4</v>
      </c>
      <c r="F21" s="222">
        <f>'A2-2 Uncertainties ELV'!J57</f>
        <v>0.15268102576811565</v>
      </c>
      <c r="G21" s="223"/>
      <c r="H21" s="1" t="s">
        <v>166</v>
      </c>
      <c r="I21" s="1" t="s">
        <v>22</v>
      </c>
      <c r="J21" s="51">
        <v>200.16542284011999</v>
      </c>
      <c r="K21" s="13">
        <f>J21/$J$14</f>
        <v>0.14458522426426382</v>
      </c>
      <c r="L21" s="32"/>
      <c r="M21" s="244" t="s">
        <v>114</v>
      </c>
      <c r="N21" s="56" t="s">
        <v>20</v>
      </c>
      <c r="O21" s="56" t="str">
        <f>H18</f>
        <v>E2.02</v>
      </c>
      <c r="P21" s="56" t="s">
        <v>20</v>
      </c>
      <c r="Q21" s="237">
        <f>J18</f>
        <v>42717.062686806603</v>
      </c>
      <c r="R21" s="59">
        <f>K18</f>
        <v>0.26158932854332434</v>
      </c>
      <c r="S21" s="57"/>
      <c r="T21" s="56"/>
      <c r="U21" t="s">
        <v>84</v>
      </c>
    </row>
    <row r="22" spans="1:21">
      <c r="A22" s="1" t="s">
        <v>167</v>
      </c>
      <c r="B22" s="2" t="s">
        <v>169</v>
      </c>
      <c r="C22" s="51">
        <v>0.28000000000000003</v>
      </c>
      <c r="D22" s="13">
        <f>C22/$C$14</f>
        <v>2.0289855072463771E-4</v>
      </c>
      <c r="E22" s="39">
        <f t="shared" si="0"/>
        <v>1.2173927140381174E-6</v>
      </c>
      <c r="F22" s="222">
        <f>'A2-2 Uncertainties ELV'!J58</f>
        <v>0.15268102576811565</v>
      </c>
      <c r="G22" s="223"/>
      <c r="H22" s="1" t="s">
        <v>167</v>
      </c>
      <c r="I22" s="2" t="s">
        <v>169</v>
      </c>
      <c r="J22" s="51">
        <v>0.28000032422876697</v>
      </c>
      <c r="K22" s="13">
        <f>J22/$J$14</f>
        <v>2.0225226264487724E-4</v>
      </c>
      <c r="L22" s="32"/>
      <c r="M22" s="245"/>
      <c r="N22" s="1"/>
      <c r="O22" s="1"/>
      <c r="P22" s="1"/>
      <c r="Q22" s="51"/>
      <c r="R22" s="3"/>
      <c r="S22" s="22"/>
      <c r="T22" s="1"/>
      <c r="U22" t="s">
        <v>84</v>
      </c>
    </row>
    <row r="23" spans="1:21">
      <c r="A23" s="1" t="s">
        <v>62</v>
      </c>
      <c r="B23" s="2" t="s">
        <v>173</v>
      </c>
      <c r="C23" s="232">
        <v>6010</v>
      </c>
      <c r="D23" s="41">
        <f>C23/($C$12+$C$13)</f>
        <v>0.29796727813584534</v>
      </c>
      <c r="E23" s="39">
        <f t="shared" si="0"/>
        <v>2.6066281829072609E-2</v>
      </c>
      <c r="F23" s="222">
        <f>'A2-2 Uncertainties ELV'!J51</f>
        <v>0.23791332805034385</v>
      </c>
      <c r="G23" s="223"/>
      <c r="H23" s="1" t="s">
        <v>62</v>
      </c>
      <c r="I23" s="2" t="s">
        <v>173</v>
      </c>
      <c r="J23" s="232">
        <v>5995.2448206867002</v>
      </c>
      <c r="K23" s="41">
        <f>J23/($J$12+$J$13)</f>
        <v>0.29828422111317787</v>
      </c>
      <c r="L23" s="32"/>
      <c r="M23" s="244" t="s">
        <v>115</v>
      </c>
      <c r="N23" s="56" t="s">
        <v>26</v>
      </c>
      <c r="O23" s="1"/>
      <c r="P23" s="1"/>
      <c r="Q23" s="237">
        <f>Q24+Q25</f>
        <v>18042.204170757639</v>
      </c>
      <c r="R23" s="59">
        <f>R24+R25</f>
        <v>0.14962710377730049</v>
      </c>
      <c r="S23" s="57">
        <f>S24+S25</f>
        <v>2097.5036598685138</v>
      </c>
      <c r="T23" s="58">
        <f>S23/Q23</f>
        <v>0.1162553998401202</v>
      </c>
      <c r="U23" t="s">
        <v>84</v>
      </c>
    </row>
    <row r="24" spans="1:21">
      <c r="A24" s="1" t="s">
        <v>63</v>
      </c>
      <c r="B24" s="2" t="s">
        <v>174</v>
      </c>
      <c r="C24" s="51">
        <v>5990</v>
      </c>
      <c r="D24" s="41">
        <f>C24/($C$12+$C$13)</f>
        <v>0.29697570649479427</v>
      </c>
      <c r="E24" s="39">
        <f t="shared" si="0"/>
        <v>2.5669598016153435E-2</v>
      </c>
      <c r="F24" s="222">
        <f>'A2-2 Uncertainties ELV'!J52</f>
        <v>0.23791332805034385</v>
      </c>
      <c r="G24" s="223"/>
      <c r="H24" s="1" t="s">
        <v>63</v>
      </c>
      <c r="I24" s="2" t="s">
        <v>174</v>
      </c>
      <c r="J24" s="51">
        <v>5904.00754371529</v>
      </c>
      <c r="K24" s="41">
        <f>J24/($J$12+$J$13)</f>
        <v>0.29374485017639818</v>
      </c>
      <c r="L24" s="32"/>
      <c r="M24" s="245"/>
      <c r="N24" s="24" t="s">
        <v>576</v>
      </c>
      <c r="O24" s="1" t="str">
        <f>H30</f>
        <v>E3.01</v>
      </c>
      <c r="P24" s="1" t="str">
        <f>I30</f>
        <v>Exported Al fraction</v>
      </c>
      <c r="Q24" s="51">
        <f>J30</f>
        <v>2090.1037356617398</v>
      </c>
      <c r="R24" s="3">
        <f>K30</f>
        <v>1.733358993176996E-2</v>
      </c>
      <c r="S24" s="22">
        <f>((J30*(F30/100))^2)</f>
        <v>9.5117037108525988</v>
      </c>
      <c r="T24" s="58"/>
      <c r="U24" t="s">
        <v>84</v>
      </c>
    </row>
    <row r="25" spans="1:21">
      <c r="A25" s="1" t="s">
        <v>64</v>
      </c>
      <c r="B25" s="2" t="s">
        <v>175</v>
      </c>
      <c r="C25" s="51">
        <v>2870</v>
      </c>
      <c r="D25" s="41">
        <f>C25/($C$12+$C$13)</f>
        <v>0.14229053049082796</v>
      </c>
      <c r="E25" s="39">
        <f t="shared" si="0"/>
        <v>1.2416099393880262E-2</v>
      </c>
      <c r="F25" s="222">
        <f>'A2-2 Uncertainties ELV'!J53</f>
        <v>0.23791332805034385</v>
      </c>
      <c r="G25" s="223"/>
      <c r="H25" s="1" t="s">
        <v>64</v>
      </c>
      <c r="I25" s="2" t="s">
        <v>175</v>
      </c>
      <c r="J25" s="51">
        <v>2855.7028605924602</v>
      </c>
      <c r="K25" s="41">
        <f>J25/($J$12+$J$13)</f>
        <v>0.14208112078481039</v>
      </c>
      <c r="L25" s="32"/>
      <c r="M25" s="245"/>
      <c r="N25" s="24" t="s">
        <v>576</v>
      </c>
      <c r="O25" s="1" t="str">
        <f>H33</f>
        <v>E3.04</v>
      </c>
      <c r="P25" s="1" t="str">
        <f>I33</f>
        <v>Non Fe fraction</v>
      </c>
      <c r="Q25" s="51">
        <f>J33</f>
        <v>15952.100435095899</v>
      </c>
      <c r="R25" s="3">
        <f>K33</f>
        <v>0.13229351384553054</v>
      </c>
      <c r="S25" s="22">
        <f>((J33*(F33/100))^2)</f>
        <v>2087.9919561576612</v>
      </c>
      <c r="T25" s="58"/>
      <c r="U25" t="s">
        <v>84</v>
      </c>
    </row>
    <row r="26" spans="1:21">
      <c r="A26" s="1" t="s">
        <v>188</v>
      </c>
      <c r="B26" s="2" t="s">
        <v>176</v>
      </c>
      <c r="C26" s="231">
        <v>5350</v>
      </c>
      <c r="D26" s="41">
        <f>C26/($C$12+$C$13)</f>
        <v>0.26524541398116014</v>
      </c>
      <c r="E26" s="39">
        <f t="shared" si="0"/>
        <v>2.3235418363739869E-2</v>
      </c>
      <c r="F26" s="222">
        <f>'A2-2 Uncertainties ELV'!J54</f>
        <v>0.23791332805034385</v>
      </c>
      <c r="G26" s="223"/>
      <c r="H26" s="1" t="s">
        <v>188</v>
      </c>
      <c r="I26" s="2" t="s">
        <v>176</v>
      </c>
      <c r="J26" s="231">
        <v>5344.1462236601701</v>
      </c>
      <c r="K26" s="41">
        <f>J26/($J$12+$J$13)</f>
        <v>0.26588980792561162</v>
      </c>
      <c r="L26" s="32"/>
      <c r="M26" s="244" t="s">
        <v>136</v>
      </c>
      <c r="N26" s="56" t="s">
        <v>175</v>
      </c>
      <c r="O26" s="56" t="str">
        <f t="shared" ref="O26:R27" si="5">H31</f>
        <v>E3.02</v>
      </c>
      <c r="P26" s="56" t="str">
        <f t="shared" si="5"/>
        <v>Exported Fe fraction</v>
      </c>
      <c r="Q26" s="237">
        <f t="shared" si="5"/>
        <v>35586.798626191201</v>
      </c>
      <c r="R26" s="59">
        <f t="shared" si="5"/>
        <v>0.29512744455986312</v>
      </c>
      <c r="S26" s="57">
        <f>((J31*(F31/100))^2)</f>
        <v>2757.4044506444429</v>
      </c>
      <c r="T26" s="58">
        <f>S26/Q26</f>
        <v>7.748391417864281E-2</v>
      </c>
      <c r="U26" t="s">
        <v>84</v>
      </c>
    </row>
    <row r="27" spans="1:21">
      <c r="A27" s="1" t="s">
        <v>170</v>
      </c>
      <c r="B27" s="1" t="s">
        <v>23</v>
      </c>
      <c r="C27" s="51">
        <v>160</v>
      </c>
      <c r="D27" s="5">
        <f>C27/$C$15</f>
        <v>2.2598870056497175E-2</v>
      </c>
      <c r="E27" s="39">
        <f t="shared" si="0"/>
        <v>6.9505022076572613E-4</v>
      </c>
      <c r="F27" s="222">
        <f>'A2-2 Uncertainties ELV'!J59</f>
        <v>0.29099117952484965</v>
      </c>
      <c r="G27" s="223"/>
      <c r="H27" s="1" t="s">
        <v>170</v>
      </c>
      <c r="I27" s="1" t="s">
        <v>23</v>
      </c>
      <c r="J27" s="51">
        <v>159.86155077611701</v>
      </c>
      <c r="K27" s="5">
        <f>J27/$J$15</f>
        <v>2.279089201356729E-2</v>
      </c>
      <c r="L27" s="32"/>
      <c r="M27" s="244" t="s">
        <v>116</v>
      </c>
      <c r="N27" s="56" t="s">
        <v>117</v>
      </c>
      <c r="O27" s="56" t="str">
        <f t="shared" si="5"/>
        <v>E3.03</v>
      </c>
      <c r="P27" s="56" t="str">
        <f t="shared" si="5"/>
        <v>Domestic Fe</v>
      </c>
      <c r="Q27" s="237">
        <f t="shared" si="5"/>
        <v>66952.119976175396</v>
      </c>
      <c r="R27" s="59">
        <f t="shared" si="5"/>
        <v>0.55524545166283834</v>
      </c>
      <c r="S27" s="57">
        <f>((J32*(F32/100))^2)</f>
        <v>11625.419872603339</v>
      </c>
      <c r="T27" s="58">
        <f>S27/Q27</f>
        <v>0.1736378157516176</v>
      </c>
      <c r="U27" t="s">
        <v>84</v>
      </c>
    </row>
    <row r="28" spans="1:21">
      <c r="A28" s="1" t="s">
        <v>171</v>
      </c>
      <c r="B28" s="1" t="s">
        <v>24</v>
      </c>
      <c r="C28" s="51">
        <v>4540</v>
      </c>
      <c r="D28" s="5">
        <f>C28/$C$15</f>
        <v>0.64124293785310738</v>
      </c>
      <c r="E28" s="39">
        <f t="shared" si="0"/>
        <v>1.9502448101671652E-2</v>
      </c>
      <c r="F28" s="222">
        <f>'A2-2 Uncertainties ELV'!J60</f>
        <v>0.29099117952484965</v>
      </c>
      <c r="G28" s="223"/>
      <c r="H28" s="1" t="s">
        <v>171</v>
      </c>
      <c r="I28" s="1" t="s">
        <v>24</v>
      </c>
      <c r="J28" s="51">
        <v>4485.5630633844803</v>
      </c>
      <c r="K28" s="5">
        <f>J28/$J$15</f>
        <v>0.63949075247501441</v>
      </c>
      <c r="L28" s="32"/>
      <c r="M28" s="245"/>
      <c r="N28" s="1"/>
      <c r="O28" s="1"/>
      <c r="P28" s="1"/>
      <c r="Q28" s="51"/>
      <c r="R28" s="1"/>
      <c r="S28" s="22"/>
      <c r="T28" s="1"/>
      <c r="U28" t="s">
        <v>84</v>
      </c>
    </row>
    <row r="29" spans="1:21">
      <c r="A29" s="1" t="s">
        <v>172</v>
      </c>
      <c r="B29" s="1" t="s">
        <v>25</v>
      </c>
      <c r="C29" s="51">
        <v>2380</v>
      </c>
      <c r="D29" s="5">
        <f>C29/$C$15</f>
        <v>0.33615819209039549</v>
      </c>
      <c r="E29" s="39">
        <f t="shared" si="0"/>
        <v>1.0299343150549565E-2</v>
      </c>
      <c r="F29" s="222">
        <f>'A2-2 Uncertainties ELV'!J61</f>
        <v>0.29099117952484965</v>
      </c>
      <c r="G29" s="223"/>
      <c r="H29" s="1" t="s">
        <v>172</v>
      </c>
      <c r="I29" s="1" t="s">
        <v>25</v>
      </c>
      <c r="J29" s="51">
        <v>2368.8489246263998</v>
      </c>
      <c r="K29" s="5">
        <f>J29/$J$15</f>
        <v>0.33771835551141799</v>
      </c>
      <c r="L29" s="32"/>
      <c r="M29" s="244" t="s">
        <v>120</v>
      </c>
      <c r="N29" s="56" t="s">
        <v>583</v>
      </c>
      <c r="O29" s="56"/>
      <c r="P29" s="56" t="s">
        <v>121</v>
      </c>
      <c r="Q29" s="237">
        <f>Q30+Q31</f>
        <v>2588.9275452290403</v>
      </c>
      <c r="R29" s="59">
        <f>R30+R31</f>
        <v>6.0606403680200711E-2</v>
      </c>
      <c r="S29" s="59">
        <f>S30+S31</f>
        <v>18.097697402424927</v>
      </c>
      <c r="T29" s="58">
        <f>S29/Q29</f>
        <v>6.9904225152132788E-3</v>
      </c>
      <c r="U29" t="s">
        <v>84</v>
      </c>
    </row>
    <row r="30" spans="1:21">
      <c r="A30" s="1" t="s">
        <v>45</v>
      </c>
      <c r="B30" s="1" t="s">
        <v>165</v>
      </c>
      <c r="C30" s="51">
        <v>2090</v>
      </c>
      <c r="D30" s="6">
        <f>C30/$C$17</f>
        <v>1.7416666666666667E-2</v>
      </c>
      <c r="E30" s="39">
        <f t="shared" si="0"/>
        <v>9.0874075463553902E-3</v>
      </c>
      <c r="F30" s="222">
        <f>'A2-2 Uncertainties ELV'!J23</f>
        <v>0.14755750908807874</v>
      </c>
      <c r="G30" s="223"/>
      <c r="H30" s="1" t="s">
        <v>45</v>
      </c>
      <c r="I30" s="1" t="s">
        <v>165</v>
      </c>
      <c r="J30" s="51">
        <v>2090.1037356617398</v>
      </c>
      <c r="K30" s="6">
        <f>J30/$J$17</f>
        <v>1.733358993176996E-2</v>
      </c>
      <c r="L30" s="32"/>
      <c r="M30" s="245"/>
      <c r="N30" s="24" t="s">
        <v>576</v>
      </c>
      <c r="O30" s="1" t="str">
        <f>H36</f>
        <v>E4.03</v>
      </c>
      <c r="P30" s="1" t="str">
        <f>I36</f>
        <v>Domestic Al</v>
      </c>
      <c r="Q30" s="51">
        <f>J36</f>
        <v>1294.86822366611</v>
      </c>
      <c r="R30" s="3">
        <f>K36</f>
        <v>3.0312669978266954E-2</v>
      </c>
      <c r="S30" s="22">
        <f>((J36*(F36/100))^2)</f>
        <v>11.406519320735313</v>
      </c>
      <c r="T30" s="58"/>
      <c r="U30" t="s">
        <v>84</v>
      </c>
    </row>
    <row r="31" spans="1:21">
      <c r="A31" s="1" t="s">
        <v>46</v>
      </c>
      <c r="B31" s="1" t="s">
        <v>17</v>
      </c>
      <c r="C31" s="51">
        <v>35000</v>
      </c>
      <c r="D31" s="6">
        <f>C31/$C$17</f>
        <v>0.29166666666666669</v>
      </c>
      <c r="E31" s="39">
        <f t="shared" si="0"/>
        <v>0.15472521141822262</v>
      </c>
      <c r="F31" s="222">
        <f>'A2-2 Uncertainties ELV'!J24</f>
        <v>0.14755750908807874</v>
      </c>
      <c r="G31" s="223"/>
      <c r="H31" s="1" t="s">
        <v>46</v>
      </c>
      <c r="I31" s="1" t="s">
        <v>17</v>
      </c>
      <c r="J31" s="51">
        <v>35586.798626191201</v>
      </c>
      <c r="K31" s="6">
        <f>J31/$J$17</f>
        <v>0.29512744455986312</v>
      </c>
      <c r="L31" s="32"/>
      <c r="M31" s="244"/>
      <c r="N31" s="24" t="s">
        <v>576</v>
      </c>
      <c r="O31" s="1" t="str">
        <f>H38</f>
        <v>E4.05</v>
      </c>
      <c r="P31" s="1" t="str">
        <f>I38</f>
        <v>Exported Al fraction</v>
      </c>
      <c r="Q31" s="51">
        <f>J38</f>
        <v>1294.0593215629301</v>
      </c>
      <c r="R31" s="3">
        <f>K38</f>
        <v>3.0293733701933757E-2</v>
      </c>
      <c r="S31" s="22">
        <f>((J38*(F38/100))^2)</f>
        <v>6.691178081689614</v>
      </c>
      <c r="T31" s="58"/>
      <c r="U31" t="s">
        <v>84</v>
      </c>
    </row>
    <row r="32" spans="1:21">
      <c r="A32" s="1" t="s">
        <v>163</v>
      </c>
      <c r="B32" s="1" t="s">
        <v>117</v>
      </c>
      <c r="C32" s="231">
        <v>66500</v>
      </c>
      <c r="D32" s="6">
        <f>C32/$C$17</f>
        <v>0.5541666666666667</v>
      </c>
      <c r="E32" s="39">
        <f t="shared" si="0"/>
        <v>0.29109617380945824</v>
      </c>
      <c r="F32" s="222">
        <f>'A2-2 Uncertainties ELV'!J25</f>
        <v>0.16104230963500479</v>
      </c>
      <c r="G32" s="223"/>
      <c r="H32" s="1" t="s">
        <v>163</v>
      </c>
      <c r="I32" s="1" t="s">
        <v>117</v>
      </c>
      <c r="J32" s="231">
        <v>66952.119976175396</v>
      </c>
      <c r="K32" s="6">
        <f>J32/$J$17</f>
        <v>0.55524545166283834</v>
      </c>
      <c r="L32" s="32"/>
      <c r="M32" s="244" t="s">
        <v>128</v>
      </c>
      <c r="N32" s="56" t="s">
        <v>580</v>
      </c>
      <c r="O32" s="56" t="str">
        <f>H34</f>
        <v>E4.01</v>
      </c>
      <c r="P32" s="56" t="str">
        <f>I34</f>
        <v>Shredder fluff 1</v>
      </c>
      <c r="Q32" s="237">
        <f>J34+Q34</f>
        <v>27722.202985284959</v>
      </c>
      <c r="R32" s="59">
        <f>K34+R34</f>
        <v>0.64897259412565167</v>
      </c>
      <c r="S32" s="57">
        <f>((J34*(F34/100))^2)+S34</f>
        <v>1880.9674982482654</v>
      </c>
      <c r="T32" s="58">
        <f>S32/Q32</f>
        <v>6.7850578081644145E-2</v>
      </c>
      <c r="U32" t="s">
        <v>84</v>
      </c>
    </row>
    <row r="33" spans="1:21">
      <c r="A33" s="1" t="s">
        <v>164</v>
      </c>
      <c r="B33" s="1" t="s">
        <v>26</v>
      </c>
      <c r="C33" s="233">
        <v>16300</v>
      </c>
      <c r="D33" s="6">
        <f>C33/$C$17</f>
        <v>0.13583333333333333</v>
      </c>
      <c r="E33" s="39">
        <f t="shared" si="0"/>
        <v>6.9356958413460429E-2</v>
      </c>
      <c r="F33" s="222">
        <f>'A2-2 Uncertainties ELV'!J26</f>
        <v>0.28644848873452011</v>
      </c>
      <c r="G33" s="223"/>
      <c r="H33" s="1" t="s">
        <v>164</v>
      </c>
      <c r="I33" s="1" t="s">
        <v>26</v>
      </c>
      <c r="J33" s="233">
        <v>15952.100435095899</v>
      </c>
      <c r="K33" s="6">
        <f>J33/$J$17</f>
        <v>0.13229351384553054</v>
      </c>
      <c r="L33" s="32"/>
      <c r="M33" s="244" t="s">
        <v>133</v>
      </c>
      <c r="N33" s="56" t="s">
        <v>584</v>
      </c>
      <c r="O33" s="56" t="str">
        <f>H35</f>
        <v>E4.02</v>
      </c>
      <c r="P33" s="56" t="str">
        <f>I35</f>
        <v>Fines (LFP)</v>
      </c>
      <c r="Q33" s="237">
        <f>J35</f>
        <v>12405.9321562926</v>
      </c>
      <c r="R33" s="59">
        <f>K35</f>
        <v>0.29042100219414757</v>
      </c>
      <c r="S33" s="57">
        <f>((J35*(F35/100))^2)</f>
        <v>614.96871292232311</v>
      </c>
      <c r="T33" s="58">
        <f>S33/Q33</f>
        <v>4.957053651227615E-2</v>
      </c>
      <c r="U33" t="s">
        <v>84</v>
      </c>
    </row>
    <row r="34" spans="1:21">
      <c r="A34" s="1" t="s">
        <v>47</v>
      </c>
      <c r="B34" s="1" t="s">
        <v>28</v>
      </c>
      <c r="C34" s="234">
        <v>19000</v>
      </c>
      <c r="D34" s="45">
        <f>C34/$C$18</f>
        <v>0.43678160919540232</v>
      </c>
      <c r="E34" s="39">
        <f t="shared" si="0"/>
        <v>8.0209773614276517E-2</v>
      </c>
      <c r="F34" s="222">
        <f>'A2-2 Uncertainties ELV'!J27</f>
        <v>0.21004411596399356</v>
      </c>
      <c r="G34" s="223"/>
      <c r="H34" s="1" t="s">
        <v>47</v>
      </c>
      <c r="I34" s="1" t="s">
        <v>28</v>
      </c>
      <c r="J34" s="234">
        <v>18448.2479312836</v>
      </c>
      <c r="K34" s="45">
        <f>J34/$J$18</f>
        <v>0.43187070390449489</v>
      </c>
      <c r="L34" s="32"/>
      <c r="M34" s="245" t="s">
        <v>124</v>
      </c>
      <c r="N34" s="24" t="s">
        <v>576</v>
      </c>
      <c r="O34" s="1" t="str">
        <f>H37</f>
        <v>E4.04</v>
      </c>
      <c r="P34" s="1" t="str">
        <f>I37</f>
        <v>Shredder fluff 2</v>
      </c>
      <c r="Q34" s="241">
        <f>J37</f>
        <v>9273.9550540013606</v>
      </c>
      <c r="R34" s="161">
        <f>K37</f>
        <v>0.21710189022115681</v>
      </c>
      <c r="S34" s="242">
        <f>((J37*(F37/100))^2)</f>
        <v>379.44690390233194</v>
      </c>
      <c r="T34" s="58">
        <f t="shared" ref="T34:T40" si="6">S34/Q34</f>
        <v>4.0915327030684172E-2</v>
      </c>
      <c r="U34" t="s">
        <v>84</v>
      </c>
    </row>
    <row r="35" spans="1:21">
      <c r="A35" s="1" t="s">
        <v>48</v>
      </c>
      <c r="B35" s="1" t="s">
        <v>29</v>
      </c>
      <c r="C35" s="51">
        <v>12600</v>
      </c>
      <c r="D35" s="45">
        <f>C35/$C$18</f>
        <v>0.28965517241379313</v>
      </c>
      <c r="E35" s="39">
        <f t="shared" si="0"/>
        <v>5.3938835462141739E-2</v>
      </c>
      <c r="F35" s="222">
        <f>'A2-2 Uncertainties ELV'!J28</f>
        <v>0.19989278037687419</v>
      </c>
      <c r="G35" s="223"/>
      <c r="H35" s="1" t="s">
        <v>48</v>
      </c>
      <c r="I35" s="1" t="s">
        <v>29</v>
      </c>
      <c r="J35" s="51">
        <v>12405.9321562926</v>
      </c>
      <c r="K35" s="45">
        <f>J35/$J$18</f>
        <v>0.29042100219414757</v>
      </c>
      <c r="L35" s="32"/>
      <c r="M35" s="245"/>
      <c r="N35" s="1"/>
      <c r="O35" s="1"/>
      <c r="P35" s="1"/>
      <c r="Q35" s="51"/>
      <c r="R35" s="2"/>
      <c r="S35" s="242"/>
      <c r="T35" s="58"/>
      <c r="U35" t="s">
        <v>84</v>
      </c>
    </row>
    <row r="36" spans="1:21">
      <c r="A36" s="1" t="s">
        <v>49</v>
      </c>
      <c r="B36" s="1" t="s">
        <v>173</v>
      </c>
      <c r="C36" s="232">
        <v>1300</v>
      </c>
      <c r="D36" s="45">
        <f>C36/$C$18</f>
        <v>2.9885057471264367E-2</v>
      </c>
      <c r="E36" s="39">
        <f t="shared" si="0"/>
        <v>5.6298618420265656E-3</v>
      </c>
      <c r="F36" s="222">
        <f>'A2-2 Uncertainties ELV'!J29</f>
        <v>0.26082606952540233</v>
      </c>
      <c r="G36" s="223"/>
      <c r="H36" s="1" t="s">
        <v>49</v>
      </c>
      <c r="I36" s="1" t="s">
        <v>173</v>
      </c>
      <c r="J36" s="232">
        <v>1294.86822366611</v>
      </c>
      <c r="K36" s="45">
        <f>J36/$J$18</f>
        <v>3.0312669978266954E-2</v>
      </c>
      <c r="L36" s="32"/>
      <c r="M36" s="244" t="s">
        <v>122</v>
      </c>
      <c r="N36" s="244" t="s">
        <v>582</v>
      </c>
      <c r="O36" s="244" t="str">
        <f>H44</f>
        <v>E5.01</v>
      </c>
      <c r="P36" s="244" t="str">
        <f>I44</f>
        <v>Domestic Al fractions</v>
      </c>
      <c r="Q36" s="246">
        <f>J44</f>
        <v>2089.8846274071998</v>
      </c>
      <c r="R36" s="247">
        <f>K44</f>
        <v>0.13100999682833528</v>
      </c>
      <c r="S36" s="57">
        <f>((J44*(F44/100))^2)</f>
        <v>17.451744271336182</v>
      </c>
      <c r="T36" s="58">
        <f>S36/Q36</f>
        <v>8.3505778464850293E-3</v>
      </c>
      <c r="U36" t="s">
        <v>84</v>
      </c>
    </row>
    <row r="37" spans="1:21">
      <c r="A37" s="1" t="s">
        <v>177</v>
      </c>
      <c r="B37" s="1" t="s">
        <v>27</v>
      </c>
      <c r="C37" s="235">
        <v>9260</v>
      </c>
      <c r="D37" s="45">
        <f>C37/$C$18</f>
        <v>0.21287356321839079</v>
      </c>
      <c r="E37" s="39">
        <f t="shared" si="0"/>
        <v>4.0321543713049392E-2</v>
      </c>
      <c r="F37" s="222">
        <f>'A2-2 Uncertainties ELV'!J30</f>
        <v>0.21004411596399356</v>
      </c>
      <c r="G37" s="223"/>
      <c r="H37" s="1" t="s">
        <v>177</v>
      </c>
      <c r="I37" s="1" t="s">
        <v>27</v>
      </c>
      <c r="J37" s="235">
        <v>9273.9550540013606</v>
      </c>
      <c r="K37" s="45">
        <f>J37/$J$18</f>
        <v>0.21710189022115681</v>
      </c>
      <c r="L37" s="32"/>
      <c r="M37" s="244" t="s">
        <v>127</v>
      </c>
      <c r="N37" s="244" t="s">
        <v>145</v>
      </c>
      <c r="O37" s="244" t="str">
        <f t="shared" ref="O37:P41" si="7">H45</f>
        <v>E5.02</v>
      </c>
      <c r="P37" s="244" t="str">
        <f t="shared" si="7"/>
        <v>Residues</v>
      </c>
      <c r="Q37" s="246">
        <f>J45+Q41</f>
        <v>7791.1108515710403</v>
      </c>
      <c r="R37" s="247">
        <f>K45+R41</f>
        <v>0.48840658214701133</v>
      </c>
      <c r="S37" s="57">
        <f>((J45*(F45/100))^2)</f>
        <v>357.08587418245713</v>
      </c>
      <c r="T37" s="58">
        <f t="shared" si="6"/>
        <v>4.5832472542789257E-2</v>
      </c>
      <c r="U37" t="s">
        <v>84</v>
      </c>
    </row>
    <row r="38" spans="1:21">
      <c r="A38" s="1" t="s">
        <v>178</v>
      </c>
      <c r="B38" s="1" t="s">
        <v>165</v>
      </c>
      <c r="C38" s="51">
        <v>1300</v>
      </c>
      <c r="D38" s="45">
        <f>C38/$C$18</f>
        <v>2.9885057471264367E-2</v>
      </c>
      <c r="E38" s="39">
        <f t="shared" si="0"/>
        <v>5.6263448763605658E-3</v>
      </c>
      <c r="F38" s="222">
        <f>'A2-2 Uncertainties ELV'!J31</f>
        <v>0.19989278037687419</v>
      </c>
      <c r="G38" s="223"/>
      <c r="H38" s="1" t="s">
        <v>178</v>
      </c>
      <c r="I38" s="1" t="s">
        <v>165</v>
      </c>
      <c r="J38" s="51">
        <v>1294.0593215629301</v>
      </c>
      <c r="K38" s="45">
        <f>J38/$J$18</f>
        <v>3.0293733701933757E-2</v>
      </c>
      <c r="L38" s="32"/>
      <c r="M38" s="244" t="s">
        <v>132</v>
      </c>
      <c r="N38" s="244" t="s">
        <v>31</v>
      </c>
      <c r="O38" s="244" t="str">
        <f t="shared" si="7"/>
        <v>E5.03</v>
      </c>
      <c r="P38" s="244" t="str">
        <f t="shared" si="7"/>
        <v>Exported Fe fraction</v>
      </c>
      <c r="Q38" s="246">
        <f t="shared" ref="Q38:R41" si="8">J46</f>
        <v>983.28540562343801</v>
      </c>
      <c r="R38" s="247">
        <f t="shared" si="8"/>
        <v>6.1639870537683633E-2</v>
      </c>
      <c r="S38" s="57">
        <f>((J46*(F46/100))^2)</f>
        <v>6.5775048988065867</v>
      </c>
      <c r="T38" s="58">
        <f t="shared" si="6"/>
        <v>6.6893140701465145E-3</v>
      </c>
      <c r="U38" t="s">
        <v>84</v>
      </c>
    </row>
    <row r="39" spans="1:21">
      <c r="A39" s="1" t="s">
        <v>57</v>
      </c>
      <c r="B39" s="1" t="s">
        <v>34</v>
      </c>
      <c r="C39" s="51">
        <v>63200</v>
      </c>
      <c r="D39" s="7">
        <f>C39/($C$32+$C$26+$C$19)</f>
        <v>0.87024771766520248</v>
      </c>
      <c r="E39" s="39">
        <f t="shared" si="0"/>
        <v>0.27686085964151175</v>
      </c>
      <c r="F39" s="222">
        <f>'A2-2 Uncertainties ELV'!J46</f>
        <v>0.14755750908807874</v>
      </c>
      <c r="G39" s="223"/>
      <c r="H39" s="1" t="s">
        <v>57</v>
      </c>
      <c r="I39" s="1" t="s">
        <v>34</v>
      </c>
      <c r="J39" s="51">
        <v>63677.997717547703</v>
      </c>
      <c r="K39" s="7">
        <f>J39/($J$32+$J$26+$J$19)</f>
        <v>0.87147120951927748</v>
      </c>
      <c r="L39" s="32"/>
      <c r="M39" s="244" t="s">
        <v>133</v>
      </c>
      <c r="N39" s="244" t="s">
        <v>32</v>
      </c>
      <c r="O39" s="244" t="str">
        <f t="shared" si="7"/>
        <v>E5.04</v>
      </c>
      <c r="P39" s="244" t="str">
        <f t="shared" si="7"/>
        <v>Exported Al fraction</v>
      </c>
      <c r="Q39" s="246">
        <f t="shared" si="8"/>
        <v>2069.7874082230001</v>
      </c>
      <c r="R39" s="247">
        <f t="shared" si="8"/>
        <v>0.12975014899412882</v>
      </c>
      <c r="S39" s="57">
        <f>((J47*(F47/100))^2)</f>
        <v>29.144289676122064</v>
      </c>
      <c r="T39" s="58">
        <f t="shared" si="6"/>
        <v>1.4080813111692311E-2</v>
      </c>
      <c r="U39" t="s">
        <v>84</v>
      </c>
    </row>
    <row r="40" spans="1:21">
      <c r="A40" s="1" t="s">
        <v>58</v>
      </c>
      <c r="B40" s="1" t="s">
        <v>35</v>
      </c>
      <c r="C40" s="51">
        <v>8600</v>
      </c>
      <c r="D40" s="7">
        <f>C40/($C$32+$C$26+$C$19)</f>
        <v>0.11841978436583452</v>
      </c>
      <c r="E40" s="39">
        <f t="shared" si="0"/>
        <v>3.7401497468714434E-2</v>
      </c>
      <c r="F40" s="222">
        <f>'A2-2 Uncertainties ELV'!J47</f>
        <v>0.14755750908807874</v>
      </c>
      <c r="G40" s="223"/>
      <c r="H40" s="1" t="s">
        <v>58</v>
      </c>
      <c r="I40" s="1" t="s">
        <v>35</v>
      </c>
      <c r="J40" s="51">
        <v>8602.3444178043192</v>
      </c>
      <c r="K40" s="7">
        <f>J40/($J$32+$J$26+$J$19)</f>
        <v>0.11772819126219912</v>
      </c>
      <c r="L40" s="32"/>
      <c r="M40" s="244" t="s">
        <v>134</v>
      </c>
      <c r="N40" s="244" t="s">
        <v>597</v>
      </c>
      <c r="O40" s="244" t="str">
        <f t="shared" si="7"/>
        <v>E5.05</v>
      </c>
      <c r="P40" s="244" t="str">
        <f t="shared" si="7"/>
        <v>Exported mixed fraction</v>
      </c>
      <c r="Q40" s="246">
        <f t="shared" si="8"/>
        <v>3018.03214227126</v>
      </c>
      <c r="R40" s="247">
        <f t="shared" si="8"/>
        <v>0.18919340149284339</v>
      </c>
      <c r="S40" s="57">
        <f>((J48*(F48/100))^2)</f>
        <v>77.127165573655404</v>
      </c>
      <c r="T40" s="58">
        <f t="shared" si="6"/>
        <v>2.5555448695656482E-2</v>
      </c>
      <c r="U40" t="s">
        <v>84</v>
      </c>
    </row>
    <row r="41" spans="1:21">
      <c r="A41" s="1" t="s">
        <v>59</v>
      </c>
      <c r="B41" s="1" t="s">
        <v>570</v>
      </c>
      <c r="C41" s="51">
        <v>789</v>
      </c>
      <c r="D41" s="7">
        <f>C41/($C$32+$C$26+$C$19)</f>
        <v>1.0864326728446911E-2</v>
      </c>
      <c r="E41" s="39">
        <f t="shared" si="0"/>
        <v>3.4312816667040999E-3</v>
      </c>
      <c r="F41" s="222">
        <f>'A2-2 Uncertainties ELV'!J48</f>
        <v>0.14755750908807874</v>
      </c>
      <c r="G41" s="223"/>
      <c r="H41" s="1" t="s">
        <v>59</v>
      </c>
      <c r="I41" s="1" t="s">
        <v>570</v>
      </c>
      <c r="J41" s="51">
        <v>789.19478334194298</v>
      </c>
      <c r="K41" s="7">
        <f>J41/($J$32+$J$26+$J$19)</f>
        <v>1.0800599218523818E-2</v>
      </c>
      <c r="L41" s="32"/>
      <c r="M41" s="250" t="s">
        <v>123</v>
      </c>
      <c r="N41" s="250" t="s">
        <v>586</v>
      </c>
      <c r="O41" s="250" t="str">
        <f t="shared" si="7"/>
        <v>E5.06</v>
      </c>
      <c r="P41" s="250" t="str">
        <f t="shared" si="7"/>
        <v>Residues to energy recovery</v>
      </c>
      <c r="Q41" s="258">
        <f t="shared" si="8"/>
        <v>1297.19718939262</v>
      </c>
      <c r="R41" s="261">
        <f t="shared" si="8"/>
        <v>8.1318268692609427E-2</v>
      </c>
      <c r="S41" s="260"/>
      <c r="T41" s="262"/>
      <c r="U41" t="s">
        <v>84</v>
      </c>
    </row>
    <row r="42" spans="1:21">
      <c r="A42" s="1" t="s">
        <v>60</v>
      </c>
      <c r="B42" s="1" t="s">
        <v>13</v>
      </c>
      <c r="C42" s="51">
        <v>8740</v>
      </c>
      <c r="D42" s="8">
        <f>C42/($C$23+$C$36+$C$44)</f>
        <v>0.92978723404255315</v>
      </c>
      <c r="E42" s="39">
        <f t="shared" si="0"/>
        <v>3.7943084133289305E-2</v>
      </c>
      <c r="F42" s="222">
        <f>'A2-2 Uncertainties ELV'!J49</f>
        <v>0.14755750908807874</v>
      </c>
      <c r="G42" s="223"/>
      <c r="H42" s="1" t="s">
        <v>60</v>
      </c>
      <c r="I42" s="1" t="s">
        <v>13</v>
      </c>
      <c r="J42" s="51">
        <v>8726.9093506565405</v>
      </c>
      <c r="K42" s="8">
        <f>J42/($J$23+$J$36+$J$44)</f>
        <v>0.93037436213127256</v>
      </c>
      <c r="L42" s="32"/>
      <c r="M42" s="245"/>
      <c r="N42" s="245"/>
      <c r="O42" s="245"/>
      <c r="P42" s="245"/>
      <c r="Q42" s="248"/>
      <c r="R42" s="245"/>
      <c r="S42" s="242"/>
      <c r="T42" s="58"/>
      <c r="U42" t="s">
        <v>84</v>
      </c>
    </row>
    <row r="43" spans="1:21">
      <c r="A43" s="1" t="s">
        <v>61</v>
      </c>
      <c r="B43" s="1" t="s">
        <v>187</v>
      </c>
      <c r="C43" s="51">
        <v>660</v>
      </c>
      <c r="D43" s="8">
        <f>C43/($C$23+$C$36+$C$44)</f>
        <v>7.0212765957446813E-2</v>
      </c>
      <c r="E43" s="39">
        <f t="shared" si="0"/>
        <v>2.8677776743367086E-3</v>
      </c>
      <c r="F43" s="222">
        <f>'A2-2 Uncertainties ELV'!J50</f>
        <v>0.14755750908807874</v>
      </c>
      <c r="G43" s="223"/>
      <c r="H43" s="1" t="s">
        <v>61</v>
      </c>
      <c r="I43" s="1" t="s">
        <v>187</v>
      </c>
      <c r="J43" s="51">
        <v>659.58886509744298</v>
      </c>
      <c r="K43" s="8">
        <f>J43/($J$23+$J$36+$J$44)</f>
        <v>7.0318659788503074E-2</v>
      </c>
      <c r="L43" s="32"/>
      <c r="M43" s="245" t="s">
        <v>125</v>
      </c>
      <c r="N43" s="250" t="s">
        <v>206</v>
      </c>
      <c r="O43" s="245" t="str">
        <f t="shared" ref="O43:Q45" si="9">H50</f>
        <v>E6.01</v>
      </c>
      <c r="P43" s="245" t="str">
        <f t="shared" si="9"/>
        <v>Slags</v>
      </c>
      <c r="Q43" s="248">
        <f t="shared" si="9"/>
        <v>3250.5385079377102</v>
      </c>
      <c r="R43" s="62"/>
      <c r="S43" s="242"/>
      <c r="T43" s="58"/>
      <c r="U43" t="s">
        <v>84</v>
      </c>
    </row>
    <row r="44" spans="1:21">
      <c r="A44" s="1" t="s">
        <v>179</v>
      </c>
      <c r="B44" s="1" t="s">
        <v>30</v>
      </c>
      <c r="C44" s="232">
        <v>2090</v>
      </c>
      <c r="D44" s="9">
        <f t="shared" ref="D44:D49" si="10">C44/($C$33)</f>
        <v>0.12822085889570553</v>
      </c>
      <c r="E44" s="39">
        <f t="shared" si="0"/>
        <v>9.0864549017704334E-3</v>
      </c>
      <c r="F44" s="222">
        <f>'A2-2 Uncertainties ELV'!J32</f>
        <v>0.19989278037687419</v>
      </c>
      <c r="G44" s="223"/>
      <c r="H44" s="1" t="s">
        <v>179</v>
      </c>
      <c r="I44" s="1" t="s">
        <v>30</v>
      </c>
      <c r="J44" s="232">
        <v>2089.8846274071998</v>
      </c>
      <c r="K44" s="9">
        <f t="shared" ref="K44:K49" si="11">J44/($J$33)</f>
        <v>0.13100999682833528</v>
      </c>
      <c r="L44" s="32"/>
      <c r="M44" s="245" t="s">
        <v>129</v>
      </c>
      <c r="N44" s="250" t="s">
        <v>206</v>
      </c>
      <c r="O44" s="245" t="str">
        <f t="shared" si="9"/>
        <v>E6.02</v>
      </c>
      <c r="P44" s="245" t="str">
        <f t="shared" si="9"/>
        <v>Flue gas residues</v>
      </c>
      <c r="Q44" s="248">
        <f t="shared" si="9"/>
        <v>998.10804898608899</v>
      </c>
      <c r="R44" s="62"/>
      <c r="S44" s="242"/>
      <c r="T44" s="58"/>
      <c r="U44" t="s">
        <v>84</v>
      </c>
    </row>
    <row r="45" spans="1:21">
      <c r="A45" s="1" t="s">
        <v>180</v>
      </c>
      <c r="B45" s="1" t="s">
        <v>131</v>
      </c>
      <c r="C45" s="51">
        <v>6730</v>
      </c>
      <c r="D45" s="9">
        <f t="shared" si="10"/>
        <v>0.41288343558282209</v>
      </c>
      <c r="E45" s="39">
        <f t="shared" si="0"/>
        <v>2.8234407226862695E-2</v>
      </c>
      <c r="F45" s="222">
        <f>'A2-2 Uncertainties ELV'!J33</f>
        <v>0.29099117952484965</v>
      </c>
      <c r="G45" s="223"/>
      <c r="H45" s="1" t="s">
        <v>180</v>
      </c>
      <c r="I45" s="1" t="s">
        <v>131</v>
      </c>
      <c r="J45" s="51">
        <v>6493.9136621784201</v>
      </c>
      <c r="K45" s="9">
        <f t="shared" si="11"/>
        <v>0.40708831345440188</v>
      </c>
      <c r="L45" s="32"/>
      <c r="M45" s="245" t="s">
        <v>141</v>
      </c>
      <c r="N45" s="250" t="s">
        <v>206</v>
      </c>
      <c r="O45" s="245" t="str">
        <f t="shared" si="9"/>
        <v>E6.03</v>
      </c>
      <c r="P45" s="245" t="str">
        <f t="shared" si="9"/>
        <v>To flue gas</v>
      </c>
      <c r="Q45" s="248">
        <f t="shared" si="9"/>
        <v>6322.5056864701801</v>
      </c>
      <c r="R45" s="62"/>
      <c r="S45" s="242"/>
      <c r="T45" s="58"/>
      <c r="U45" t="s">
        <v>84</v>
      </c>
    </row>
    <row r="46" spans="1:21">
      <c r="A46" s="1" t="s">
        <v>181</v>
      </c>
      <c r="B46" s="1" t="s">
        <v>31</v>
      </c>
      <c r="C46" s="51">
        <v>986</v>
      </c>
      <c r="D46" s="9">
        <f t="shared" si="10"/>
        <v>6.0490797546012269E-2</v>
      </c>
      <c r="E46" s="39">
        <f t="shared" si="0"/>
        <v>4.2751539374932084E-3</v>
      </c>
      <c r="F46" s="222">
        <f>'A2-2 Uncertainties ELV'!J34</f>
        <v>0.26082606952540233</v>
      </c>
      <c r="G46" s="223"/>
      <c r="H46" s="1" t="s">
        <v>181</v>
      </c>
      <c r="I46" s="1" t="s">
        <v>17</v>
      </c>
      <c r="J46" s="51">
        <v>983.28540562343801</v>
      </c>
      <c r="K46" s="9">
        <f t="shared" si="11"/>
        <v>6.1639870537683633E-2</v>
      </c>
      <c r="L46" s="32"/>
      <c r="M46" s="245"/>
      <c r="N46" s="245"/>
      <c r="O46" s="245"/>
      <c r="P46" s="245"/>
      <c r="Q46" s="248"/>
      <c r="R46" s="62"/>
      <c r="S46" s="242"/>
      <c r="T46" s="58"/>
      <c r="U46" t="s">
        <v>84</v>
      </c>
    </row>
    <row r="47" spans="1:21">
      <c r="A47" s="1" t="s">
        <v>182</v>
      </c>
      <c r="B47" s="1" t="s">
        <v>32</v>
      </c>
      <c r="C47" s="51">
        <v>2080</v>
      </c>
      <c r="D47" s="9">
        <f t="shared" si="10"/>
        <v>0.1276073619631902</v>
      </c>
      <c r="E47" s="39">
        <f t="shared" si="0"/>
        <v>8.9990756879260864E-3</v>
      </c>
      <c r="F47" s="222">
        <f>'A2-2 Uncertainties ELV'!J35</f>
        <v>0.26082606952540233</v>
      </c>
      <c r="G47" s="223"/>
      <c r="H47" s="1" t="s">
        <v>182</v>
      </c>
      <c r="I47" s="1" t="s">
        <v>165</v>
      </c>
      <c r="J47" s="51">
        <v>2069.7874082230001</v>
      </c>
      <c r="K47" s="9">
        <f t="shared" si="11"/>
        <v>0.12975014899412882</v>
      </c>
      <c r="L47" s="32"/>
      <c r="M47" s="245" t="s">
        <v>130</v>
      </c>
      <c r="N47" s="250" t="s">
        <v>206</v>
      </c>
      <c r="O47" s="245" t="str">
        <f t="shared" ref="O47:Q48" si="12">H54</f>
        <v>E7.02</v>
      </c>
      <c r="P47" s="245" t="str">
        <f t="shared" si="12"/>
        <v>Bottom ash</v>
      </c>
      <c r="Q47" s="248">
        <f t="shared" si="12"/>
        <v>1405.1939362002499</v>
      </c>
      <c r="R47" s="251"/>
      <c r="S47" s="242"/>
      <c r="T47" s="58"/>
      <c r="U47" t="s">
        <v>84</v>
      </c>
    </row>
    <row r="48" spans="1:21">
      <c r="A48" s="1" t="s">
        <v>183</v>
      </c>
      <c r="B48" s="1" t="s">
        <v>33</v>
      </c>
      <c r="C48" s="51">
        <v>3070</v>
      </c>
      <c r="D48" s="9">
        <f t="shared" si="10"/>
        <v>0.18834355828220858</v>
      </c>
      <c r="E48" s="39">
        <f t="shared" si="0"/>
        <v>1.312187887944026E-2</v>
      </c>
      <c r="F48" s="222">
        <f>'A2-2 Uncertainties ELV'!J36</f>
        <v>0.29099117952484965</v>
      </c>
      <c r="G48" s="223"/>
      <c r="H48" s="1" t="s">
        <v>183</v>
      </c>
      <c r="I48" s="1" t="s">
        <v>597</v>
      </c>
      <c r="J48" s="51">
        <v>3018.03214227126</v>
      </c>
      <c r="K48" s="9">
        <f t="shared" si="11"/>
        <v>0.18919340149284339</v>
      </c>
      <c r="L48" s="32"/>
      <c r="M48" s="245" t="s">
        <v>136</v>
      </c>
      <c r="N48" s="250" t="s">
        <v>206</v>
      </c>
      <c r="O48" s="245" t="str">
        <f t="shared" si="12"/>
        <v>E7.03</v>
      </c>
      <c r="P48" s="245" t="str">
        <f t="shared" si="12"/>
        <v>Exported Fe fraction</v>
      </c>
      <c r="Q48" s="248">
        <f t="shared" si="12"/>
        <v>966.848041559492</v>
      </c>
      <c r="R48" s="251"/>
      <c r="S48" s="242"/>
      <c r="T48" s="58"/>
      <c r="U48" t="s">
        <v>84</v>
      </c>
    </row>
    <row r="49" spans="1:21">
      <c r="A49" s="1" t="s">
        <v>184</v>
      </c>
      <c r="B49" s="1" t="s">
        <v>211</v>
      </c>
      <c r="C49" s="235">
        <v>1300</v>
      </c>
      <c r="D49" s="9">
        <f t="shared" si="10"/>
        <v>7.9754601226993863E-2</v>
      </c>
      <c r="E49" s="39">
        <f t="shared" si="0"/>
        <v>5.6399877799679131E-3</v>
      </c>
      <c r="F49" s="222">
        <f>'A2-2 Uncertainties ELV'!J37</f>
        <v>0.29099117952484965</v>
      </c>
      <c r="G49" s="223"/>
      <c r="H49" s="1" t="s">
        <v>184</v>
      </c>
      <c r="I49" s="1" t="s">
        <v>211</v>
      </c>
      <c r="J49" s="235">
        <v>1297.19718939262</v>
      </c>
      <c r="K49" s="9">
        <f t="shared" si="11"/>
        <v>8.1318268692609427E-2</v>
      </c>
      <c r="L49" s="32"/>
      <c r="M49" s="245"/>
      <c r="N49" s="250" t="s">
        <v>206</v>
      </c>
      <c r="O49" s="252" t="str">
        <f>H53</f>
        <v>E7.01</v>
      </c>
      <c r="P49" s="252" t="str">
        <f>I53</f>
        <v>Domestic Al fractions</v>
      </c>
      <c r="Q49" s="248">
        <f>J53</f>
        <v>6.5005439939814096</v>
      </c>
      <c r="R49" s="245"/>
      <c r="S49" s="242"/>
      <c r="T49" s="58"/>
      <c r="U49" t="s">
        <v>84</v>
      </c>
    </row>
    <row r="50" spans="1:21">
      <c r="A50" s="1" t="s">
        <v>50</v>
      </c>
      <c r="B50" s="1" t="s">
        <v>14</v>
      </c>
      <c r="C50" s="236">
        <v>3240</v>
      </c>
      <c r="D50" s="42">
        <f>C50/($C$49+$C$37)</f>
        <v>0.30681818181818182</v>
      </c>
      <c r="E50" s="39">
        <f t="shared" si="0"/>
        <v>1.4132776121468306E-2</v>
      </c>
      <c r="F50" s="222">
        <f>'A2-2 Uncertainties ELV'!J38</f>
        <v>0.15268102576811565</v>
      </c>
      <c r="G50" s="223"/>
      <c r="H50" s="1" t="s">
        <v>50</v>
      </c>
      <c r="I50" s="1" t="s">
        <v>14</v>
      </c>
      <c r="J50" s="236">
        <v>3250.5385079377102</v>
      </c>
      <c r="K50" s="42">
        <f>J50/($J$49+$J$37)</f>
        <v>0.30749140993300939</v>
      </c>
      <c r="L50" s="32"/>
      <c r="M50" s="245"/>
      <c r="N50" s="250" t="s">
        <v>206</v>
      </c>
      <c r="O50" s="252" t="str">
        <f t="shared" ref="O50:Q51" si="13">H56</f>
        <v>E7.04</v>
      </c>
      <c r="P50" s="252" t="str">
        <f t="shared" si="13"/>
        <v>Exported Al fraction</v>
      </c>
      <c r="Q50" s="248">
        <f t="shared" si="13"/>
        <v>6.5003139428774803</v>
      </c>
      <c r="R50" s="245"/>
      <c r="S50" s="242"/>
      <c r="T50" s="58"/>
      <c r="U50" t="s">
        <v>84</v>
      </c>
    </row>
    <row r="51" spans="1:21">
      <c r="A51" s="1" t="s">
        <v>51</v>
      </c>
      <c r="B51" s="1" t="s">
        <v>15</v>
      </c>
      <c r="C51" s="51">
        <v>998</v>
      </c>
      <c r="D51" s="42">
        <f>C51/($C$49+$C$37)</f>
        <v>9.4507575757575762E-2</v>
      </c>
      <c r="E51" s="39">
        <f t="shared" si="0"/>
        <v>4.3396002129829957E-3</v>
      </c>
      <c r="F51" s="222">
        <f>'A2-2 Uncertainties ELV'!J39</f>
        <v>0.15268102576811565</v>
      </c>
      <c r="G51" s="223"/>
      <c r="H51" s="1" t="s">
        <v>51</v>
      </c>
      <c r="I51" s="1" t="s">
        <v>15</v>
      </c>
      <c r="J51" s="51">
        <v>998.10804898608899</v>
      </c>
      <c r="K51" s="42">
        <f>J51/($J$49+$J$37)</f>
        <v>9.4418094263074945E-2</v>
      </c>
      <c r="L51" s="32"/>
      <c r="M51" s="245"/>
      <c r="N51" s="250" t="s">
        <v>206</v>
      </c>
      <c r="O51" s="252" t="str">
        <f t="shared" si="13"/>
        <v>E7.05</v>
      </c>
      <c r="P51" s="252" t="str">
        <f t="shared" si="13"/>
        <v>Evaporated water</v>
      </c>
      <c r="Q51" s="248">
        <f t="shared" si="13"/>
        <v>865.49567224110297</v>
      </c>
      <c r="R51" s="245"/>
      <c r="S51" s="242"/>
      <c r="T51" s="58"/>
      <c r="U51" t="s">
        <v>84</v>
      </c>
    </row>
    <row r="52" spans="1:21">
      <c r="A52" s="1" t="s">
        <v>52</v>
      </c>
      <c r="B52" s="1" t="s">
        <v>16</v>
      </c>
      <c r="C52" s="51">
        <v>6320</v>
      </c>
      <c r="D52" s="42">
        <f>C52/($C$49+$C$37)</f>
        <v>0.59848484848484851</v>
      </c>
      <c r="E52" s="39">
        <f t="shared" si="0"/>
        <v>2.7489155158566002E-2</v>
      </c>
      <c r="F52" s="222">
        <f>'A2-2 Uncertainties ELV'!J40</f>
        <v>0.15268102576811565</v>
      </c>
      <c r="G52" s="223"/>
      <c r="H52" s="1" t="s">
        <v>52</v>
      </c>
      <c r="I52" s="1" t="s">
        <v>16</v>
      </c>
      <c r="J52" s="51">
        <v>6322.5056864701801</v>
      </c>
      <c r="K52" s="42">
        <f>J52/($J$49+$J$37)</f>
        <v>0.59809049580391549</v>
      </c>
      <c r="L52" s="32"/>
      <c r="M52" s="245"/>
      <c r="N52" s="245"/>
      <c r="O52" s="245"/>
      <c r="P52" s="245"/>
      <c r="Q52" s="248"/>
      <c r="R52" s="245"/>
      <c r="S52" s="242"/>
      <c r="T52" s="58"/>
      <c r="U52" t="s">
        <v>84</v>
      </c>
    </row>
    <row r="53" spans="1:21">
      <c r="A53" s="1" t="s">
        <v>53</v>
      </c>
      <c r="B53" s="1" t="s">
        <v>30</v>
      </c>
      <c r="C53" s="51">
        <v>6.5</v>
      </c>
      <c r="D53" s="44">
        <f>C53/$C$50</f>
        <v>2.006172839506173E-3</v>
      </c>
      <c r="E53" s="39">
        <f t="shared" si="0"/>
        <v>2.826323475644091E-5</v>
      </c>
      <c r="F53" s="222">
        <f>'A2-2 Uncertainties ELV'!J41</f>
        <v>0.28644848873452011</v>
      </c>
      <c r="G53" s="223"/>
      <c r="H53" s="1" t="s">
        <v>53</v>
      </c>
      <c r="I53" s="1" t="s">
        <v>30</v>
      </c>
      <c r="J53" s="51">
        <v>6.5005439939814096</v>
      </c>
      <c r="K53" s="44">
        <f>J53/$J$50</f>
        <v>1.9998360204339346E-3</v>
      </c>
      <c r="L53" s="32"/>
      <c r="M53" s="244" t="s">
        <v>138</v>
      </c>
      <c r="N53" s="244" t="s">
        <v>142</v>
      </c>
      <c r="O53" s="244" t="str">
        <f>H39</f>
        <v>E8.01</v>
      </c>
      <c r="P53" s="244" t="str">
        <f>I39</f>
        <v>Crude steel (domestic steel production)</v>
      </c>
      <c r="Q53" s="246">
        <f>J39*0.75</f>
        <v>47758.498288160779</v>
      </c>
      <c r="R53" s="247">
        <f>Q53/($Q$53+$Q$54+$Q$55)</f>
        <v>0.65360340713945786</v>
      </c>
      <c r="S53" s="57">
        <f>((J39*(F39/100))^2)*0.75</f>
        <v>6621.5961870026495</v>
      </c>
      <c r="T53" s="58">
        <f>S53/Q53</f>
        <v>0.13864749572002619</v>
      </c>
      <c r="U53" t="s">
        <v>84</v>
      </c>
    </row>
    <row r="54" spans="1:21">
      <c r="A54" s="1" t="s">
        <v>54</v>
      </c>
      <c r="B54" s="1" t="s">
        <v>18</v>
      </c>
      <c r="C54" s="51">
        <v>1410</v>
      </c>
      <c r="D54" s="44">
        <f>C54/$C$50</f>
        <v>0.43518518518518517</v>
      </c>
      <c r="E54" s="39">
        <f t="shared" si="0"/>
        <v>6.109538853044565E-3</v>
      </c>
      <c r="F54" s="222">
        <f>'A2-2 Uncertainties ELV'!J42</f>
        <v>0.15268102576811565</v>
      </c>
      <c r="G54" s="223"/>
      <c r="H54" s="1" t="s">
        <v>54</v>
      </c>
      <c r="I54" s="1" t="s">
        <v>18</v>
      </c>
      <c r="J54" s="51">
        <v>1405.1939362002499</v>
      </c>
      <c r="K54" s="44">
        <f>J54/$J$50</f>
        <v>0.43229573585078646</v>
      </c>
      <c r="L54" s="32"/>
      <c r="M54" s="244" t="s">
        <v>100</v>
      </c>
      <c r="N54" s="244" t="s">
        <v>581</v>
      </c>
      <c r="O54" s="244" t="str">
        <f t="shared" ref="O54:P56" si="14">H39</f>
        <v>E8.01</v>
      </c>
      <c r="P54" s="244" t="str">
        <f t="shared" si="14"/>
        <v>Crude steel (domestic steel production)</v>
      </c>
      <c r="Q54" s="246">
        <f>J39*0.25</f>
        <v>15919.499429386926</v>
      </c>
      <c r="R54" s="247">
        <f>Q54/($Q$53+$Q$54+$Q$55)</f>
        <v>0.21786780237981929</v>
      </c>
      <c r="S54" s="57">
        <f>((J39*(F39/100))^2)*0.25</f>
        <v>2207.1987290008833</v>
      </c>
      <c r="T54" s="58">
        <f>S54/Q54</f>
        <v>0.13864749572002619</v>
      </c>
      <c r="U54" t="s">
        <v>84</v>
      </c>
    </row>
    <row r="55" spans="1:21">
      <c r="A55" s="1" t="s">
        <v>55</v>
      </c>
      <c r="B55" s="1" t="s">
        <v>17</v>
      </c>
      <c r="C55" s="51">
        <v>963</v>
      </c>
      <c r="D55" s="44">
        <f>C55/$C$50</f>
        <v>0.29722222222222222</v>
      </c>
      <c r="E55" s="39">
        <f t="shared" si="0"/>
        <v>4.203687137215183E-3</v>
      </c>
      <c r="F55" s="222">
        <f>'A2-2 Uncertainties ELV'!J43</f>
        <v>0.25574813524461376</v>
      </c>
      <c r="G55" s="223"/>
      <c r="H55" s="1" t="s">
        <v>55</v>
      </c>
      <c r="I55" s="1" t="s">
        <v>17</v>
      </c>
      <c r="J55" s="51">
        <v>966.848041559492</v>
      </c>
      <c r="K55" s="44">
        <f>J55/$J$50</f>
        <v>0.29744242044771357</v>
      </c>
      <c r="L55" s="32"/>
      <c r="M55" s="244" t="s">
        <v>587</v>
      </c>
      <c r="N55" s="244" t="s">
        <v>588</v>
      </c>
      <c r="O55" s="244" t="str">
        <f t="shared" si="14"/>
        <v>E8.02</v>
      </c>
      <c r="P55" s="244" t="str">
        <f t="shared" si="14"/>
        <v>Slags (domestic steel production)</v>
      </c>
      <c r="Q55" s="246">
        <f>J40+Q56</f>
        <v>9391.5392011462627</v>
      </c>
      <c r="R55" s="247">
        <f>Q55/($Q$53+$Q$54+$Q$55)</f>
        <v>0.12852879048072288</v>
      </c>
      <c r="S55" s="57">
        <f>((J40*(F40/100))^2)</f>
        <v>161.12253420276994</v>
      </c>
      <c r="T55" s="58">
        <f>S55/Q55</f>
        <v>1.7156137109357379E-2</v>
      </c>
      <c r="U55" t="s">
        <v>84</v>
      </c>
    </row>
    <row r="56" spans="1:21">
      <c r="A56" s="1" t="s">
        <v>56</v>
      </c>
      <c r="B56" s="1" t="s">
        <v>165</v>
      </c>
      <c r="C56" s="51">
        <v>6.5</v>
      </c>
      <c r="D56" s="44">
        <f>C56/$C$50</f>
        <v>2.006172839506173E-3</v>
      </c>
      <c r="E56" s="39">
        <f t="shared" si="0"/>
        <v>2.8262234534249916E-5</v>
      </c>
      <c r="F56" s="222">
        <f>'A2-2 Uncertainties ELV'!J44</f>
        <v>0.25574813524461376</v>
      </c>
      <c r="G56" s="223"/>
      <c r="H56" s="1" t="s">
        <v>56</v>
      </c>
      <c r="I56" s="1" t="s">
        <v>165</v>
      </c>
      <c r="J56" s="51">
        <v>6.5003139428774803</v>
      </c>
      <c r="K56" s="44">
        <f>J56/$J$50</f>
        <v>1.9997652472056315E-3</v>
      </c>
      <c r="L56" s="32"/>
      <c r="M56" s="1" t="s">
        <v>127</v>
      </c>
      <c r="N56" s="250" t="s">
        <v>592</v>
      </c>
      <c r="O56" s="245" t="str">
        <f t="shared" si="14"/>
        <v>E8.03</v>
      </c>
      <c r="P56" s="245" t="str">
        <f t="shared" si="14"/>
        <v>Dusts/Sludge (domestic steel production)</v>
      </c>
      <c r="Q56" s="248">
        <f>J41</f>
        <v>789.19478334194298</v>
      </c>
      <c r="R56" s="62"/>
      <c r="S56" s="242"/>
      <c r="T56" s="58"/>
      <c r="U56" t="s">
        <v>84</v>
      </c>
    </row>
    <row r="57" spans="1:21">
      <c r="A57" s="1" t="s">
        <v>185</v>
      </c>
      <c r="B57" s="1" t="s">
        <v>186</v>
      </c>
      <c r="C57" s="51">
        <v>862</v>
      </c>
      <c r="D57" s="44">
        <f>C57/$C$50</f>
        <v>0.26604938271604939</v>
      </c>
      <c r="E57" s="39">
        <f t="shared" si="0"/>
        <v>3.7630246619178389E-3</v>
      </c>
      <c r="F57" s="222">
        <f>'A2-2 Uncertainties ELV'!J45</f>
        <v>0.25574813524461376</v>
      </c>
      <c r="G57" s="223"/>
      <c r="H57" s="1" t="s">
        <v>185</v>
      </c>
      <c r="I57" s="1" t="s">
        <v>186</v>
      </c>
      <c r="J57" s="51">
        <v>865.49567224110297</v>
      </c>
      <c r="K57" s="44">
        <f>J57/$J$50</f>
        <v>0.26626224243385843</v>
      </c>
      <c r="L57" s="32"/>
      <c r="M57" s="1"/>
      <c r="N57" s="245"/>
      <c r="O57" s="245"/>
      <c r="P57" s="245"/>
      <c r="Q57" s="248"/>
      <c r="R57" s="245"/>
      <c r="S57" s="242"/>
      <c r="T57" s="55"/>
      <c r="U57" t="s">
        <v>84</v>
      </c>
    </row>
    <row r="58" spans="1:21">
      <c r="H58" s="18"/>
      <c r="I58" s="18"/>
      <c r="J58" s="18"/>
      <c r="K58" s="18"/>
      <c r="M58" s="56" t="s">
        <v>139</v>
      </c>
      <c r="N58" s="244" t="s">
        <v>174</v>
      </c>
      <c r="O58" s="244" t="str">
        <f>H42</f>
        <v>E9.01</v>
      </c>
      <c r="P58" s="244" t="str">
        <f>I42</f>
        <v>Cast Al</v>
      </c>
      <c r="Q58" s="246">
        <f>J42*0.3</f>
        <v>2618.0728051969622</v>
      </c>
      <c r="R58" s="247">
        <f>Q58/($Q$58+$Q$59+$Q$60)</f>
        <v>0.27891901165046584</v>
      </c>
      <c r="S58" s="57">
        <f>((J42*(F42/100))^2)*0.7</f>
        <v>116.07577721816669</v>
      </c>
      <c r="T58" s="257">
        <f>S58/Q58</f>
        <v>4.4336344271157159E-2</v>
      </c>
      <c r="U58" t="s">
        <v>84</v>
      </c>
    </row>
    <row r="59" spans="1:21">
      <c r="M59" s="56" t="s">
        <v>101</v>
      </c>
      <c r="N59" s="244" t="s">
        <v>589</v>
      </c>
      <c r="O59" s="244" t="str">
        <f>H43</f>
        <v>E9.02</v>
      </c>
      <c r="P59" s="244" t="s">
        <v>13</v>
      </c>
      <c r="Q59" s="246">
        <f>J42*0.7</f>
        <v>6108.8365454595778</v>
      </c>
      <c r="R59" s="247">
        <f>Q59/($Q$58+$Q$59+$Q$60)</f>
        <v>0.65081102718442019</v>
      </c>
      <c r="S59" s="56">
        <f>((J42*(F42/100))^2)*0.3</f>
        <v>49.746761664928584</v>
      </c>
      <c r="T59" s="257">
        <f>S59/Q59</f>
        <v>8.1434101722533576E-3</v>
      </c>
      <c r="U59" t="s">
        <v>84</v>
      </c>
    </row>
    <row r="60" spans="1:21">
      <c r="M60" s="56" t="s">
        <v>126</v>
      </c>
      <c r="N60" s="244" t="s">
        <v>590</v>
      </c>
      <c r="O60" s="244" t="str">
        <f>H43</f>
        <v>E9.02</v>
      </c>
      <c r="P60" s="244" t="str">
        <f>I43</f>
        <v>Slags (domestic aluminum production)</v>
      </c>
      <c r="Q60" s="246">
        <f>J43</f>
        <v>659.58886509744298</v>
      </c>
      <c r="R60" s="247">
        <f>Q60/($Q$58+$Q$59+$Q$60)</f>
        <v>7.0269961165113859E-2</v>
      </c>
      <c r="S60" s="244">
        <f>((J43*(F43/100))^2)</f>
        <v>0.94726013701815348</v>
      </c>
      <c r="T60" s="257">
        <f>F43</f>
        <v>0.14755750908807874</v>
      </c>
      <c r="U60" t="s">
        <v>84</v>
      </c>
    </row>
    <row r="61" spans="1:21">
      <c r="M61" s="1"/>
      <c r="N61" s="245"/>
      <c r="O61" s="245"/>
      <c r="P61" s="245"/>
      <c r="Q61" s="248"/>
      <c r="R61" s="245"/>
      <c r="S61" s="245"/>
      <c r="T61" s="55"/>
      <c r="U61" t="s">
        <v>84</v>
      </c>
    </row>
    <row r="62" spans="1:21">
      <c r="M62" s="1"/>
      <c r="N62" s="250" t="s">
        <v>577</v>
      </c>
      <c r="O62" s="245" t="str">
        <f t="shared" ref="O62:Q65" si="15">H23</f>
        <v>E11.01</v>
      </c>
      <c r="P62" s="245" t="str">
        <f t="shared" si="15"/>
        <v>Domestic Al</v>
      </c>
      <c r="Q62" s="248">
        <f t="shared" si="15"/>
        <v>5995.2448206867002</v>
      </c>
      <c r="R62" s="62"/>
      <c r="S62" s="245"/>
      <c r="T62" s="55"/>
      <c r="U62" t="s">
        <v>84</v>
      </c>
    </row>
    <row r="63" spans="1:21">
      <c r="M63" s="1"/>
      <c r="N63" s="250" t="s">
        <v>577</v>
      </c>
      <c r="O63" s="245" t="str">
        <f t="shared" si="15"/>
        <v>E11.02</v>
      </c>
      <c r="P63" s="245" t="str">
        <f t="shared" si="15"/>
        <v>Exported Al</v>
      </c>
      <c r="Q63" s="248">
        <f t="shared" si="15"/>
        <v>5904.00754371529</v>
      </c>
      <c r="R63" s="245"/>
      <c r="S63" s="245"/>
      <c r="T63" s="55"/>
    </row>
    <row r="64" spans="1:21">
      <c r="M64" s="1"/>
      <c r="N64" s="250" t="s">
        <v>577</v>
      </c>
      <c r="O64" s="245" t="str">
        <f t="shared" si="15"/>
        <v>E11.03</v>
      </c>
      <c r="P64" s="245" t="str">
        <f t="shared" si="15"/>
        <v>Exported Fe</v>
      </c>
      <c r="Q64" s="248">
        <f t="shared" si="15"/>
        <v>2855.7028605924602</v>
      </c>
      <c r="R64" s="245"/>
      <c r="S64" s="245"/>
      <c r="T64" s="55"/>
    </row>
    <row r="65" spans="13:20">
      <c r="M65" s="1"/>
      <c r="N65" s="250" t="s">
        <v>577</v>
      </c>
      <c r="O65" s="245" t="str">
        <f t="shared" si="15"/>
        <v>E11.04</v>
      </c>
      <c r="P65" s="245" t="str">
        <f t="shared" si="15"/>
        <v>Domestic iron</v>
      </c>
      <c r="Q65" s="248">
        <f t="shared" si="15"/>
        <v>5344.1462236601701</v>
      </c>
      <c r="R65" s="245"/>
      <c r="S65" s="245"/>
      <c r="T65" s="55"/>
    </row>
    <row r="66" spans="13:20">
      <c r="M66" s="1"/>
      <c r="N66" s="245"/>
      <c r="O66" s="245"/>
      <c r="P66" s="245"/>
      <c r="Q66" s="248"/>
      <c r="R66" s="245"/>
      <c r="S66" s="245"/>
      <c r="T66" s="55"/>
    </row>
    <row r="67" spans="13:20">
      <c r="M67" s="56" t="s">
        <v>118</v>
      </c>
      <c r="N67" s="244" t="s">
        <v>119</v>
      </c>
      <c r="O67" s="244"/>
      <c r="P67" s="244"/>
      <c r="Q67" s="246">
        <f>Q68+Q69</f>
        <v>1183.9659083439769</v>
      </c>
      <c r="R67" s="247">
        <f>(Q67/(Q67+Q75+Q76))</f>
        <v>0.14441709295991753</v>
      </c>
      <c r="S67" s="259">
        <f>S68+S69</f>
        <v>1.7871015497354645</v>
      </c>
      <c r="T67" s="257">
        <f>T68+T69</f>
        <v>0.3053620515362313</v>
      </c>
    </row>
    <row r="68" spans="13:20">
      <c r="M68" s="1"/>
      <c r="N68" s="250" t="s">
        <v>593</v>
      </c>
      <c r="O68" s="245" t="str">
        <f t="shared" ref="O68:R69" si="16">H19</f>
        <v>E12.01</v>
      </c>
      <c r="P68" s="245" t="str">
        <f t="shared" si="16"/>
        <v>Domestic steel from decannning</v>
      </c>
      <c r="Q68" s="248">
        <f t="shared" si="16"/>
        <v>773.27071885837495</v>
      </c>
      <c r="R68" s="62">
        <f t="shared" si="16"/>
        <v>0.55855561223692729</v>
      </c>
      <c r="S68" s="249">
        <f>((J19*(F19/100))^2)</f>
        <v>1.3939052972384909</v>
      </c>
      <c r="T68" s="55">
        <f>F19</f>
        <v>0.15268102576811565</v>
      </c>
    </row>
    <row r="69" spans="13:20">
      <c r="M69" s="1"/>
      <c r="N69" s="250" t="s">
        <v>593</v>
      </c>
      <c r="O69" s="245" t="str">
        <f t="shared" si="16"/>
        <v>E12.02</v>
      </c>
      <c r="P69" s="245" t="str">
        <f t="shared" si="16"/>
        <v>Exported steel from decanning</v>
      </c>
      <c r="Q69" s="248">
        <f t="shared" si="16"/>
        <v>410.69518948560199</v>
      </c>
      <c r="R69" s="245">
        <f t="shared" si="16"/>
        <v>0.29665691123616089</v>
      </c>
      <c r="S69" s="249">
        <f>((J20*(F20/100))^2)</f>
        <v>0.39319625249697354</v>
      </c>
      <c r="T69" s="55">
        <f>F20</f>
        <v>0.15268102576811565</v>
      </c>
    </row>
    <row r="70" spans="13:20">
      <c r="M70" s="1"/>
      <c r="N70" s="245"/>
      <c r="O70" s="245"/>
      <c r="P70" s="245"/>
      <c r="Q70" s="248"/>
      <c r="R70" s="245"/>
      <c r="S70" s="249"/>
      <c r="T70" s="55"/>
    </row>
    <row r="71" spans="13:20">
      <c r="M71" s="25" t="s">
        <v>139</v>
      </c>
      <c r="N71" s="250" t="s">
        <v>140</v>
      </c>
      <c r="O71" s="253"/>
      <c r="P71" s="250"/>
      <c r="Q71" s="254">
        <f>Q72+Q73</f>
        <v>200.44542316434877</v>
      </c>
      <c r="R71" s="255">
        <f>R72+R73</f>
        <v>0.14478747652690868</v>
      </c>
      <c r="S71" s="256">
        <f>S72+S73</f>
        <v>9.3400479224790556E-2</v>
      </c>
      <c r="T71" s="243">
        <f>S71/Q71</f>
        <v>4.6596463890427592E-4</v>
      </c>
    </row>
    <row r="72" spans="13:20">
      <c r="M72" s="1"/>
      <c r="N72" s="250" t="s">
        <v>206</v>
      </c>
      <c r="O72" s="245" t="str">
        <f t="shared" ref="O72:R73" si="17">H21</f>
        <v>E12.03</v>
      </c>
      <c r="P72" s="245" t="str">
        <f t="shared" si="17"/>
        <v>EAF and PGM refining slags</v>
      </c>
      <c r="Q72" s="248">
        <f t="shared" si="17"/>
        <v>200.16542284011999</v>
      </c>
      <c r="R72" s="62">
        <f t="shared" si="17"/>
        <v>0.14458522426426382</v>
      </c>
      <c r="S72" s="249">
        <f>((J21*(F21/100))^2)</f>
        <v>9.3400296462241558E-2</v>
      </c>
      <c r="T72" s="55">
        <f>F21</f>
        <v>0.15268102576811565</v>
      </c>
    </row>
    <row r="73" spans="13:20">
      <c r="M73" s="1"/>
      <c r="N73" s="250" t="s">
        <v>206</v>
      </c>
      <c r="O73" s="245" t="str">
        <f t="shared" si="17"/>
        <v>E12.04</v>
      </c>
      <c r="P73" s="245" t="str">
        <f t="shared" si="17"/>
        <v>Pd and Pt</v>
      </c>
      <c r="Q73" s="248">
        <f t="shared" si="17"/>
        <v>0.28000032422876697</v>
      </c>
      <c r="R73" s="245">
        <f t="shared" si="17"/>
        <v>2.0225226264487724E-4</v>
      </c>
      <c r="S73" s="249">
        <f>((J22*(F22/100))^2)</f>
        <v>1.8276254899875948E-7</v>
      </c>
      <c r="T73" s="55">
        <f>F22</f>
        <v>0.15268102576811565</v>
      </c>
    </row>
    <row r="74" spans="13:20">
      <c r="M74" s="1"/>
      <c r="N74" s="245"/>
      <c r="O74" s="245"/>
      <c r="P74" s="245"/>
      <c r="Q74" s="248"/>
      <c r="R74" s="245"/>
      <c r="S74" s="249"/>
      <c r="T74" s="55"/>
    </row>
    <row r="75" spans="13:20">
      <c r="M75" s="56" t="s">
        <v>130</v>
      </c>
      <c r="N75" s="244" t="s">
        <v>212</v>
      </c>
      <c r="O75" s="244" t="str">
        <f>H27</f>
        <v>E13.01</v>
      </c>
      <c r="P75" s="244" t="str">
        <f>I27</f>
        <v>Slags (regulated components)</v>
      </c>
      <c r="Q75" s="246">
        <f>J27</f>
        <v>159.86155077611701</v>
      </c>
      <c r="R75" s="247">
        <f>(Q75/(Q67+Q75+Q76))</f>
        <v>1.9499497643004508E-2</v>
      </c>
      <c r="S75" s="249">
        <f>((J27*(F27/100))^2)</f>
        <v>0.21639523484889867</v>
      </c>
      <c r="T75" s="257">
        <f>S75/Q75</f>
        <v>1.3536415341795099E-3</v>
      </c>
    </row>
    <row r="76" spans="13:20">
      <c r="M76" s="56" t="s">
        <v>135</v>
      </c>
      <c r="N76" s="244" t="s">
        <v>24</v>
      </c>
      <c r="O76" s="244" t="str">
        <f>H28</f>
        <v>E13.02</v>
      </c>
      <c r="P76" s="244" t="str">
        <f>I28</f>
        <v>Recycled materials</v>
      </c>
      <c r="Q76" s="246">
        <f>J28+Q77</f>
        <v>6854.4119880108801</v>
      </c>
      <c r="R76" s="247">
        <f>(Q76/(Q67+Q75+Q76))</f>
        <v>0.83608340939707793</v>
      </c>
      <c r="S76" s="249">
        <f>((J28*(F28/100))^2)</f>
        <v>170.37018053791434</v>
      </c>
      <c r="T76" s="257">
        <f>S76/Q76</f>
        <v>2.485555009472884E-2</v>
      </c>
    </row>
    <row r="77" spans="13:20">
      <c r="M77" s="1" t="s">
        <v>137</v>
      </c>
      <c r="N77" s="250" t="s">
        <v>591</v>
      </c>
      <c r="O77" s="245" t="str">
        <f>H29</f>
        <v>E13.03</v>
      </c>
      <c r="P77" s="245" t="str">
        <f>I29</f>
        <v>Output from energy recovery</v>
      </c>
      <c r="Q77" s="248">
        <f>J29</f>
        <v>2368.8489246263998</v>
      </c>
      <c r="R77" s="245">
        <f>K29</f>
        <v>0.33771835551141799</v>
      </c>
      <c r="S77" s="249"/>
      <c r="T77" s="55"/>
    </row>
    <row r="78" spans="13:20">
      <c r="M78" s="1"/>
      <c r="N78" s="1"/>
      <c r="O78" s="1"/>
      <c r="P78" s="1"/>
      <c r="Q78" s="1"/>
      <c r="R78" s="1"/>
      <c r="S78" s="1"/>
      <c r="T78" s="1"/>
    </row>
    <row r="79" spans="13:20">
      <c r="M79" s="1"/>
      <c r="N79" s="245"/>
      <c r="O79" s="245"/>
      <c r="P79" s="245"/>
      <c r="Q79" s="248"/>
      <c r="R79" s="245"/>
      <c r="S79" s="249"/>
      <c r="T79" s="1"/>
    </row>
    <row r="80" spans="13:20">
      <c r="M80" s="1"/>
      <c r="N80" s="1"/>
      <c r="O80" s="1"/>
      <c r="P80" s="1"/>
      <c r="Q80" s="1"/>
      <c r="R80" s="1"/>
      <c r="S80" s="1"/>
      <c r="T80" s="1"/>
    </row>
    <row r="81" spans="14:14">
      <c r="N81" s="11"/>
    </row>
    <row r="83" spans="14:14">
      <c r="N83" s="10"/>
    </row>
  </sheetData>
  <mergeCells count="7">
    <mergeCell ref="A1:G5"/>
    <mergeCell ref="M7:M8"/>
    <mergeCell ref="N7:T8"/>
    <mergeCell ref="A7:A8"/>
    <mergeCell ref="H7:H8"/>
    <mergeCell ref="B7:F8"/>
    <mergeCell ref="I7:K8"/>
  </mergeCells>
  <conditionalFormatting sqref="E10:E57">
    <cfRule type="cellIs" dxfId="17" priority="3" operator="lessThan">
      <formula>0.01</formula>
    </cfRule>
    <cfRule type="cellIs" dxfId="16" priority="4" operator="lessThan">
      <formula>0.01</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66A4F-D41B-4238-A4E7-3CCA3D88338B}">
  <dimension ref="A1:AF188"/>
  <sheetViews>
    <sheetView showGridLines="0" topLeftCell="A100" zoomScale="85" zoomScaleNormal="85" workbookViewId="0">
      <selection activeCell="G3" sqref="G3"/>
    </sheetView>
  </sheetViews>
  <sheetFormatPr defaultRowHeight="14.4"/>
  <cols>
    <col min="1" max="1" width="28.33203125" customWidth="1"/>
    <col min="2" max="2" width="23.77734375" bestFit="1" customWidth="1"/>
    <col min="3" max="18" width="9.33203125" customWidth="1"/>
    <col min="19" max="19" width="10" customWidth="1"/>
    <col min="20" max="20" width="14.33203125" customWidth="1"/>
    <col min="21" max="21" width="10" bestFit="1" customWidth="1"/>
    <col min="23" max="23" width="9.33203125" customWidth="1"/>
    <col min="24" max="24" width="10.5546875" customWidth="1"/>
    <col min="25" max="25" width="9.33203125" customWidth="1"/>
    <col min="28" max="28" width="9.77734375" customWidth="1"/>
  </cols>
  <sheetData>
    <row r="1" spans="1:26">
      <c r="A1" s="546" t="s">
        <v>815</v>
      </c>
      <c r="B1" s="546"/>
      <c r="C1" s="546"/>
      <c r="D1" s="546"/>
    </row>
    <row r="2" spans="1:26">
      <c r="A2" s="546"/>
      <c r="B2" s="546"/>
      <c r="C2" s="546"/>
      <c r="D2" s="546"/>
    </row>
    <row r="3" spans="1:26">
      <c r="A3" s="546"/>
      <c r="B3" s="546"/>
      <c r="C3" s="546"/>
      <c r="D3" s="546"/>
    </row>
    <row r="4" spans="1:26">
      <c r="A4" s="546"/>
      <c r="B4" s="546"/>
      <c r="C4" s="546"/>
      <c r="D4" s="546"/>
    </row>
    <row r="5" spans="1:26" ht="15" thickBot="1"/>
    <row r="6" spans="1:26">
      <c r="A6" s="1" t="s">
        <v>599</v>
      </c>
      <c r="B6" s="1" t="s">
        <v>598</v>
      </c>
      <c r="C6" s="315" t="s">
        <v>595</v>
      </c>
      <c r="D6" s="347" t="s">
        <v>90</v>
      </c>
      <c r="E6" s="303" t="s">
        <v>86</v>
      </c>
      <c r="F6" s="303" t="s">
        <v>93</v>
      </c>
      <c r="G6" s="303" t="s">
        <v>88</v>
      </c>
      <c r="H6" s="303" t="s">
        <v>89</v>
      </c>
      <c r="I6" s="303" t="s">
        <v>213</v>
      </c>
      <c r="J6" s="303" t="s">
        <v>501</v>
      </c>
      <c r="K6" s="303" t="s">
        <v>91</v>
      </c>
      <c r="L6" s="303" t="s">
        <v>94</v>
      </c>
      <c r="M6" s="303" t="s">
        <v>95</v>
      </c>
      <c r="N6" s="348" t="s">
        <v>92</v>
      </c>
      <c r="O6" s="347" t="s">
        <v>99</v>
      </c>
      <c r="P6" s="303" t="s">
        <v>97</v>
      </c>
      <c r="Q6" s="303" t="s">
        <v>96</v>
      </c>
      <c r="R6" s="303" t="s">
        <v>706</v>
      </c>
      <c r="S6" s="348" t="s">
        <v>98</v>
      </c>
      <c r="T6" s="356"/>
    </row>
    <row r="7" spans="1:26">
      <c r="A7" s="548" t="s">
        <v>9</v>
      </c>
      <c r="B7" s="397" t="s">
        <v>496</v>
      </c>
      <c r="C7" s="316">
        <f>'A2-3 Generic MFA'!R20</f>
        <v>0.73841067145667327</v>
      </c>
      <c r="D7" s="308">
        <f>1-D8</f>
        <v>0.96777296374010613</v>
      </c>
      <c r="E7" s="1">
        <f t="shared" ref="E7:S7" si="0">1-E8</f>
        <v>0.96777296374010613</v>
      </c>
      <c r="F7" s="1">
        <f t="shared" si="0"/>
        <v>0.13300610062639795</v>
      </c>
      <c r="G7" s="1">
        <f t="shared" si="0"/>
        <v>0.5</v>
      </c>
      <c r="H7" s="1">
        <f t="shared" si="0"/>
        <v>0.5</v>
      </c>
      <c r="I7" s="1">
        <f t="shared" si="0"/>
        <v>0.67084134643691384</v>
      </c>
      <c r="J7" s="1">
        <f t="shared" si="0"/>
        <v>0.67084134643691384</v>
      </c>
      <c r="K7" s="1">
        <f t="shared" si="0"/>
        <v>0.13300610062639795</v>
      </c>
      <c r="L7" s="1">
        <f t="shared" si="0"/>
        <v>5.0000000000000044E-2</v>
      </c>
      <c r="M7" s="1">
        <f t="shared" si="0"/>
        <v>5.0000000000000044E-2</v>
      </c>
      <c r="N7" s="304">
        <f>1-N8</f>
        <v>0.95</v>
      </c>
      <c r="O7" s="308">
        <f t="shared" si="0"/>
        <v>0.13300610062639795</v>
      </c>
      <c r="P7" s="1">
        <f t="shared" si="0"/>
        <v>0.67084134643691384</v>
      </c>
      <c r="Q7" s="1">
        <f t="shared" si="0"/>
        <v>0.96777296374010613</v>
      </c>
      <c r="R7" s="1">
        <f t="shared" si="0"/>
        <v>0.67084134643691384</v>
      </c>
      <c r="S7" s="304">
        <f t="shared" si="0"/>
        <v>0.67084134643691384</v>
      </c>
      <c r="T7" s="356"/>
      <c r="Z7" s="37"/>
    </row>
    <row r="8" spans="1:26">
      <c r="A8" s="548"/>
      <c r="B8" s="397" t="s">
        <v>497</v>
      </c>
      <c r="C8" s="316">
        <f>'A2-3 Generic MFA'!R21</f>
        <v>0.26158932854332434</v>
      </c>
      <c r="D8" s="308">
        <f>N48/D48</f>
        <v>3.2227036259893878E-2</v>
      </c>
      <c r="E8" s="1">
        <f>N49/D49</f>
        <v>3.2227036259893885E-2</v>
      </c>
      <c r="F8" s="1">
        <f>N50/D50</f>
        <v>0.86699389937360205</v>
      </c>
      <c r="G8" s="1">
        <f>N51/D51</f>
        <v>0.5</v>
      </c>
      <c r="H8" s="1">
        <f>N52/D52</f>
        <v>0.5</v>
      </c>
      <c r="I8" s="1">
        <f>N53/D53</f>
        <v>0.32915865356308616</v>
      </c>
      <c r="J8" s="1">
        <f>N54/D54</f>
        <v>0.32915865356308621</v>
      </c>
      <c r="K8" s="1">
        <f>N55/D55</f>
        <v>0.86699389937360205</v>
      </c>
      <c r="L8" s="1">
        <f>N56/D56</f>
        <v>0.95</v>
      </c>
      <c r="M8" s="1">
        <f>N57/D57</f>
        <v>0.95</v>
      </c>
      <c r="N8" s="304">
        <v>0.05</v>
      </c>
      <c r="O8" s="308">
        <f>F8</f>
        <v>0.86699389937360205</v>
      </c>
      <c r="P8" s="1">
        <f>I8</f>
        <v>0.32915865356308616</v>
      </c>
      <c r="Q8" s="1">
        <f>D8</f>
        <v>3.2227036259893878E-2</v>
      </c>
      <c r="R8" s="1">
        <f>I8</f>
        <v>0.32915865356308616</v>
      </c>
      <c r="S8" s="304">
        <f>I8</f>
        <v>0.32915865356308616</v>
      </c>
      <c r="T8" s="356"/>
    </row>
    <row r="9" spans="1:26">
      <c r="A9" s="286"/>
      <c r="B9" s="396"/>
      <c r="C9" s="316"/>
      <c r="D9" s="308"/>
      <c r="E9" s="1"/>
      <c r="F9" s="1"/>
      <c r="G9" s="1"/>
      <c r="H9" s="1"/>
      <c r="I9" s="1"/>
      <c r="J9" s="1"/>
      <c r="K9" s="1"/>
      <c r="L9" s="1"/>
      <c r="M9" s="1"/>
      <c r="N9" s="304"/>
      <c r="O9" s="308"/>
      <c r="P9" s="1"/>
      <c r="Q9" s="1"/>
      <c r="R9" s="1"/>
      <c r="S9" s="304"/>
      <c r="T9" s="356"/>
    </row>
    <row r="10" spans="1:26">
      <c r="A10" s="547" t="s">
        <v>19</v>
      </c>
      <c r="B10" s="397" t="s">
        <v>507</v>
      </c>
      <c r="C10" s="316">
        <f>E71*(1-C12)</f>
        <v>0.15299516093097276</v>
      </c>
      <c r="D10" s="308">
        <f>P63/S63</f>
        <v>0.17089652330548616</v>
      </c>
      <c r="E10" s="1">
        <f>P64/S64</f>
        <v>0.17089652330548616</v>
      </c>
      <c r="F10" s="1">
        <f>P65/S65</f>
        <v>0</v>
      </c>
      <c r="G10" s="1">
        <f>P66/S66</f>
        <v>5.5871158110802559E-2</v>
      </c>
      <c r="H10" s="1">
        <f>P67/S67</f>
        <v>0</v>
      </c>
      <c r="I10" s="1">
        <f>P68/S68</f>
        <v>9.63859743998573E-4</v>
      </c>
      <c r="J10" s="1">
        <f>P69/S69</f>
        <v>9.6385974399857321E-4</v>
      </c>
      <c r="K10" s="1">
        <f>P70/S70</f>
        <v>1.7232135944878844E-2</v>
      </c>
      <c r="L10" s="1">
        <f>P71/S71</f>
        <v>0</v>
      </c>
      <c r="M10" s="1">
        <f>P72/S72</f>
        <v>0</v>
      </c>
      <c r="N10" s="304">
        <v>0</v>
      </c>
      <c r="O10" s="308">
        <v>0</v>
      </c>
      <c r="P10" s="1">
        <v>0</v>
      </c>
      <c r="Q10" s="22">
        <f>E10</f>
        <v>0.17089652330548616</v>
      </c>
      <c r="R10" s="22">
        <f>I10</f>
        <v>9.63859743998573E-4</v>
      </c>
      <c r="S10" s="312">
        <f>I10</f>
        <v>9.63859743998573E-4</v>
      </c>
      <c r="T10" s="356"/>
    </row>
    <row r="11" spans="1:26">
      <c r="A11" s="547"/>
      <c r="B11" s="397" t="s">
        <v>508</v>
      </c>
      <c r="C11" s="316">
        <f>F71*(1-C12)</f>
        <v>0.73485276123239007</v>
      </c>
      <c r="D11" s="308">
        <f>Q63/S63</f>
        <v>0.82083499420424133</v>
      </c>
      <c r="E11" s="1">
        <f>Q64/S64</f>
        <v>0.82083499420424133</v>
      </c>
      <c r="F11" s="1">
        <f>Q65/S65</f>
        <v>0</v>
      </c>
      <c r="G11" s="1">
        <f>Q66/S66</f>
        <v>0.26835538170712819</v>
      </c>
      <c r="H11" s="1">
        <f>Q67/S67</f>
        <v>0</v>
      </c>
      <c r="I11" s="1">
        <f>Q68/S68</f>
        <v>4.6295254700092084E-3</v>
      </c>
      <c r="J11" s="1">
        <f>Q69/S69</f>
        <v>4.6295254700092076E-3</v>
      </c>
      <c r="K11" s="1">
        <f>Q70/S70</f>
        <v>8.2767864055121168E-2</v>
      </c>
      <c r="L11" s="1">
        <f>Q71/S71</f>
        <v>0</v>
      </c>
      <c r="M11" s="1">
        <f>Q72/S72</f>
        <v>0</v>
      </c>
      <c r="N11" s="304">
        <v>0</v>
      </c>
      <c r="O11" s="308">
        <v>0</v>
      </c>
      <c r="P11" s="1">
        <v>0</v>
      </c>
      <c r="Q11" s="22">
        <f>E11</f>
        <v>0.82083499420424133</v>
      </c>
      <c r="R11" s="22">
        <f>I11</f>
        <v>4.6295254700092084E-3</v>
      </c>
      <c r="S11" s="312">
        <f>I11</f>
        <v>4.6295254700092084E-3</v>
      </c>
      <c r="T11" s="356"/>
    </row>
    <row r="12" spans="1:26">
      <c r="A12" s="547"/>
      <c r="B12" s="397" t="s">
        <v>509</v>
      </c>
      <c r="C12" s="316">
        <f>F105/D105</f>
        <v>0.11215207783663703</v>
      </c>
      <c r="D12" s="308">
        <f>1-D10-D11</f>
        <v>8.2684824902724552E-3</v>
      </c>
      <c r="E12" s="1">
        <f t="shared" ref="E12:P12" si="1">1-E10-E11</f>
        <v>8.2684824902724552E-3</v>
      </c>
      <c r="F12" s="1">
        <f t="shared" si="1"/>
        <v>1</v>
      </c>
      <c r="G12" s="1">
        <f t="shared" si="1"/>
        <v>0.6757734601820693</v>
      </c>
      <c r="H12" s="1">
        <f t="shared" si="1"/>
        <v>1</v>
      </c>
      <c r="I12" s="1">
        <f t="shared" si="1"/>
        <v>0.99440661478599224</v>
      </c>
      <c r="J12" s="1">
        <f t="shared" si="1"/>
        <v>0.99440661478599224</v>
      </c>
      <c r="K12" s="1">
        <f t="shared" si="1"/>
        <v>0.9</v>
      </c>
      <c r="L12" s="1">
        <f t="shared" si="1"/>
        <v>1</v>
      </c>
      <c r="M12" s="1">
        <f t="shared" si="1"/>
        <v>1</v>
      </c>
      <c r="N12" s="304">
        <f t="shared" si="1"/>
        <v>1</v>
      </c>
      <c r="O12" s="308">
        <f t="shared" si="1"/>
        <v>1</v>
      </c>
      <c r="P12" s="1">
        <f t="shared" si="1"/>
        <v>1</v>
      </c>
      <c r="Q12" s="22">
        <f>E12</f>
        <v>8.2684824902724552E-3</v>
      </c>
      <c r="R12" s="22">
        <f>I12</f>
        <v>0.99440661478599224</v>
      </c>
      <c r="S12" s="312">
        <f>I12</f>
        <v>0.99440661478599224</v>
      </c>
      <c r="T12" s="356"/>
    </row>
    <row r="13" spans="1:26">
      <c r="A13" s="287"/>
      <c r="B13" s="396"/>
      <c r="C13" s="316"/>
      <c r="D13" s="308"/>
      <c r="E13" s="1"/>
      <c r="F13" s="1"/>
      <c r="G13" s="1"/>
      <c r="H13" s="1"/>
      <c r="I13" s="1"/>
      <c r="J13" s="1"/>
      <c r="K13" s="1"/>
      <c r="L13" s="1"/>
      <c r="M13" s="1"/>
      <c r="N13" s="304"/>
      <c r="O13" s="308"/>
      <c r="P13" s="1"/>
      <c r="Q13" s="1"/>
      <c r="R13" s="1"/>
      <c r="S13" s="304"/>
      <c r="T13" s="356"/>
      <c r="Z13" s="37"/>
    </row>
    <row r="14" spans="1:26">
      <c r="A14" s="547" t="s">
        <v>20</v>
      </c>
      <c r="B14" s="397" t="s">
        <v>584</v>
      </c>
      <c r="C14" s="316">
        <f>'A2-3 Generic MFA'!R33</f>
        <v>0.29042100219414757</v>
      </c>
      <c r="D14" s="311">
        <f>N79</f>
        <v>0.86445375655789092</v>
      </c>
      <c r="E14" s="22">
        <f>N80</f>
        <v>0.86445375655789092</v>
      </c>
      <c r="F14" s="22">
        <f>N81</f>
        <v>0.67757695168781029</v>
      </c>
      <c r="G14" s="22">
        <f>N82</f>
        <v>0.28910079914042036</v>
      </c>
      <c r="H14" s="22">
        <f>N83</f>
        <v>0.15650586412923209</v>
      </c>
      <c r="I14" s="22">
        <f>N84</f>
        <v>0</v>
      </c>
      <c r="J14" s="22">
        <f>N85</f>
        <v>0</v>
      </c>
      <c r="K14" s="22">
        <f>N86</f>
        <v>0.6775769516878104</v>
      </c>
      <c r="L14" s="22">
        <f>N87</f>
        <v>0.22520438287725678</v>
      </c>
      <c r="M14" s="22">
        <f>N88</f>
        <v>0.2252043828772568</v>
      </c>
      <c r="N14" s="304">
        <v>0.05</v>
      </c>
      <c r="O14" s="311">
        <f>F14</f>
        <v>0.67757695168781029</v>
      </c>
      <c r="P14" s="22">
        <f t="shared" ref="P14:Q16" si="2">1/3</f>
        <v>0.33333333333333331</v>
      </c>
      <c r="Q14" s="22">
        <f t="shared" si="2"/>
        <v>0.33333333333333331</v>
      </c>
      <c r="R14" s="22">
        <f t="shared" ref="R14:S16" si="3">1/3</f>
        <v>0.33333333333333331</v>
      </c>
      <c r="S14" s="312">
        <f t="shared" si="3"/>
        <v>0.33333333333333331</v>
      </c>
      <c r="T14" s="356"/>
    </row>
    <row r="15" spans="1:26">
      <c r="A15" s="547"/>
      <c r="B15" s="397" t="s">
        <v>596</v>
      </c>
      <c r="C15" s="316">
        <f>'A2-3 Generic MFA'!R32</f>
        <v>0.64897259412565167</v>
      </c>
      <c r="D15" s="311">
        <f>O79</f>
        <v>0.13554624344210911</v>
      </c>
      <c r="E15" s="22">
        <f>O80</f>
        <v>0.13554624344210911</v>
      </c>
      <c r="F15" s="22">
        <f>O81</f>
        <v>0.32242304831218965</v>
      </c>
      <c r="G15" s="22">
        <f>O82</f>
        <v>0.71089920085957958</v>
      </c>
      <c r="H15" s="22">
        <f>O83</f>
        <v>0.84349413587076782</v>
      </c>
      <c r="I15" s="22">
        <f>O84</f>
        <v>0</v>
      </c>
      <c r="J15" s="22">
        <f>O85</f>
        <v>0</v>
      </c>
      <c r="K15" s="22">
        <f>O86</f>
        <v>0.32242304831218965</v>
      </c>
      <c r="L15" s="22">
        <f>O87</f>
        <v>0.77479561712274325</v>
      </c>
      <c r="M15" s="22">
        <f>O88</f>
        <v>0.77479561712274325</v>
      </c>
      <c r="N15" s="304">
        <v>0.95</v>
      </c>
      <c r="O15" s="311">
        <f>F15</f>
        <v>0.32242304831218965</v>
      </c>
      <c r="P15" s="22">
        <f t="shared" si="2"/>
        <v>0.33333333333333331</v>
      </c>
      <c r="Q15" s="22">
        <f t="shared" si="2"/>
        <v>0.33333333333333331</v>
      </c>
      <c r="R15" s="22">
        <f t="shared" si="3"/>
        <v>0.33333333333333331</v>
      </c>
      <c r="S15" s="312">
        <f t="shared" si="3"/>
        <v>0.33333333333333331</v>
      </c>
      <c r="T15" s="356"/>
    </row>
    <row r="16" spans="1:26">
      <c r="A16" s="547"/>
      <c r="B16" s="397" t="s">
        <v>583</v>
      </c>
      <c r="C16" s="316">
        <f>'A2-3 Generic MFA'!R29</f>
        <v>6.0606403680200711E-2</v>
      </c>
      <c r="D16" s="308">
        <v>0</v>
      </c>
      <c r="E16" s="1">
        <v>0</v>
      </c>
      <c r="F16" s="1">
        <v>0</v>
      </c>
      <c r="G16" s="1">
        <v>0</v>
      </c>
      <c r="H16" s="1">
        <v>0</v>
      </c>
      <c r="I16" s="1">
        <v>1</v>
      </c>
      <c r="J16" s="1">
        <v>1</v>
      </c>
      <c r="K16" s="1">
        <v>0</v>
      </c>
      <c r="L16" s="1">
        <v>0</v>
      </c>
      <c r="M16" s="1">
        <v>0</v>
      </c>
      <c r="N16" s="304">
        <v>0</v>
      </c>
      <c r="O16" s="308">
        <v>0</v>
      </c>
      <c r="P16" s="22">
        <f t="shared" si="2"/>
        <v>0.33333333333333331</v>
      </c>
      <c r="Q16" s="22">
        <f t="shared" si="2"/>
        <v>0.33333333333333331</v>
      </c>
      <c r="R16" s="22">
        <f t="shared" si="3"/>
        <v>0.33333333333333331</v>
      </c>
      <c r="S16" s="312">
        <f t="shared" si="3"/>
        <v>0.33333333333333331</v>
      </c>
      <c r="T16" s="356"/>
    </row>
    <row r="17" spans="1:22">
      <c r="A17" s="287"/>
      <c r="B17" s="396"/>
      <c r="C17" s="316"/>
      <c r="D17" s="308"/>
      <c r="E17" s="1"/>
      <c r="F17" s="1"/>
      <c r="G17" s="1"/>
      <c r="H17" s="1"/>
      <c r="I17" s="1"/>
      <c r="J17" s="1"/>
      <c r="K17" s="1"/>
      <c r="L17" s="1"/>
      <c r="M17" s="1"/>
      <c r="N17" s="304"/>
      <c r="O17" s="308"/>
      <c r="P17" s="1"/>
      <c r="Q17" s="1"/>
      <c r="R17" s="1"/>
      <c r="S17" s="304"/>
      <c r="T17" s="356"/>
    </row>
    <row r="18" spans="1:22">
      <c r="A18" s="547" t="s">
        <v>512</v>
      </c>
      <c r="B18" s="397" t="s">
        <v>522</v>
      </c>
      <c r="C18" s="316">
        <f>'A2-3 Generic MFA'!R40</f>
        <v>0.18919340149284339</v>
      </c>
      <c r="D18" s="311">
        <f>T95</f>
        <v>0.01</v>
      </c>
      <c r="E18" s="22">
        <f>T96</f>
        <v>0.01</v>
      </c>
      <c r="F18" s="22">
        <f>T97</f>
        <v>0.1062</v>
      </c>
      <c r="G18" s="22">
        <f>T98</f>
        <v>0.1447</v>
      </c>
      <c r="H18" s="22">
        <f>T99</f>
        <v>0.5</v>
      </c>
      <c r="I18" s="22">
        <f>T100</f>
        <v>1.3664844375991759E-3</v>
      </c>
      <c r="J18" s="22">
        <f>T101</f>
        <v>1.901796315641224E-3</v>
      </c>
      <c r="K18" s="22">
        <f>T102</f>
        <v>0.35</v>
      </c>
      <c r="L18" s="22">
        <f>T103</f>
        <v>0.1062</v>
      </c>
      <c r="M18" s="22">
        <f>T104</f>
        <v>0.10000000000000002</v>
      </c>
      <c r="N18" s="304">
        <v>0.95</v>
      </c>
      <c r="O18" s="311">
        <f>F18</f>
        <v>0.1062</v>
      </c>
      <c r="P18" s="1">
        <v>0.5</v>
      </c>
      <c r="Q18" s="22">
        <f>E18</f>
        <v>0.01</v>
      </c>
      <c r="R18" s="22">
        <f>I18</f>
        <v>1.3664844375991759E-3</v>
      </c>
      <c r="S18" s="312">
        <f>I18</f>
        <v>1.3664844375991759E-3</v>
      </c>
      <c r="T18" s="356"/>
      <c r="U18" t="s">
        <v>611</v>
      </c>
      <c r="V18" t="s">
        <v>712</v>
      </c>
    </row>
    <row r="19" spans="1:22">
      <c r="A19" s="547"/>
      <c r="B19" s="397" t="s">
        <v>523</v>
      </c>
      <c r="C19" s="316">
        <f>'A2-3 Generic MFA'!R39</f>
        <v>0.12975014899412882</v>
      </c>
      <c r="D19" s="311">
        <f>U95</f>
        <v>0.01</v>
      </c>
      <c r="E19" s="22">
        <f>U96</f>
        <v>0.01</v>
      </c>
      <c r="F19" s="22">
        <f>U97</f>
        <v>0</v>
      </c>
      <c r="G19" s="22">
        <f>U98</f>
        <v>0.01</v>
      </c>
      <c r="H19" s="22">
        <f>U99</f>
        <v>0</v>
      </c>
      <c r="I19" s="22">
        <f>U100</f>
        <v>0.25000000000000006</v>
      </c>
      <c r="J19" s="22">
        <f>U101</f>
        <v>0.24999999999999992</v>
      </c>
      <c r="K19" s="22">
        <f>U102</f>
        <v>0.1</v>
      </c>
      <c r="L19" s="22">
        <f>U103</f>
        <v>0</v>
      </c>
      <c r="M19" s="22">
        <f>U104</f>
        <v>0</v>
      </c>
      <c r="N19" s="304">
        <v>0</v>
      </c>
      <c r="O19" s="311">
        <f>F19</f>
        <v>0</v>
      </c>
      <c r="P19" s="1">
        <v>0</v>
      </c>
      <c r="Q19" s="22">
        <f>E19</f>
        <v>0.01</v>
      </c>
      <c r="R19" s="22">
        <f>I19</f>
        <v>0.25000000000000006</v>
      </c>
      <c r="S19" s="312">
        <f>I19</f>
        <v>0.25000000000000006</v>
      </c>
      <c r="U19" t="s">
        <v>614</v>
      </c>
      <c r="V19" t="s">
        <v>710</v>
      </c>
    </row>
    <row r="20" spans="1:22">
      <c r="A20" s="547"/>
      <c r="B20" s="397" t="s">
        <v>524</v>
      </c>
      <c r="C20" s="316">
        <f>'A2-3 Generic MFA'!R38</f>
        <v>6.1639870537683633E-2</v>
      </c>
      <c r="D20" s="311">
        <f>V95</f>
        <v>0.96</v>
      </c>
      <c r="E20" s="22">
        <f>V96</f>
        <v>0.96000000000000008</v>
      </c>
      <c r="F20" s="22">
        <f>V97</f>
        <v>0</v>
      </c>
      <c r="G20" s="22">
        <f>V98</f>
        <v>0.01</v>
      </c>
      <c r="H20" s="22">
        <f>V99</f>
        <v>0</v>
      </c>
      <c r="I20" s="22">
        <f>V100</f>
        <v>0</v>
      </c>
      <c r="J20" s="22">
        <f>V101</f>
        <v>0</v>
      </c>
      <c r="K20" s="22">
        <f>V102</f>
        <v>0.1</v>
      </c>
      <c r="L20" s="22">
        <f>V103</f>
        <v>0</v>
      </c>
      <c r="M20" s="22">
        <f>V104</f>
        <v>0</v>
      </c>
      <c r="N20" s="304">
        <v>0</v>
      </c>
      <c r="O20" s="311">
        <f>F20</f>
        <v>0</v>
      </c>
      <c r="P20" s="1">
        <v>0</v>
      </c>
      <c r="Q20" s="22">
        <f>E20</f>
        <v>0.96000000000000008</v>
      </c>
      <c r="R20" s="22">
        <f>I20</f>
        <v>0</v>
      </c>
      <c r="S20" s="312">
        <f>I20</f>
        <v>0</v>
      </c>
      <c r="U20" t="s">
        <v>635</v>
      </c>
      <c r="V20" t="s">
        <v>711</v>
      </c>
    </row>
    <row r="21" spans="1:22">
      <c r="A21" s="547"/>
      <c r="B21" s="397" t="s">
        <v>131</v>
      </c>
      <c r="C21" s="316">
        <f>'A2-3 Generic MFA'!R37</f>
        <v>0.48840658214701133</v>
      </c>
      <c r="D21" s="311">
        <f>W95</f>
        <v>0.01</v>
      </c>
      <c r="E21" s="22">
        <f>W96</f>
        <v>0.01</v>
      </c>
      <c r="F21" s="22">
        <f>W97</f>
        <v>0.89380000000000004</v>
      </c>
      <c r="G21" s="22">
        <f>W98</f>
        <v>0.82530000000000003</v>
      </c>
      <c r="H21" s="22">
        <f>W99</f>
        <v>0.5</v>
      </c>
      <c r="I21" s="22">
        <f>W100</f>
        <v>1.9017963156412246E-3</v>
      </c>
      <c r="J21" s="22">
        <f>W101</f>
        <v>1.901796315641224E-3</v>
      </c>
      <c r="K21" s="22">
        <f>W102</f>
        <v>0.35</v>
      </c>
      <c r="L21" s="22">
        <f>W103</f>
        <v>0.89380000000000004</v>
      </c>
      <c r="M21" s="22">
        <f>W104</f>
        <v>0.9</v>
      </c>
      <c r="N21" s="304">
        <v>0.05</v>
      </c>
      <c r="O21" s="311">
        <f>F21</f>
        <v>0.89380000000000004</v>
      </c>
      <c r="P21" s="1">
        <v>0.5</v>
      </c>
      <c r="Q21" s="22">
        <f>E21</f>
        <v>0.01</v>
      </c>
      <c r="R21" s="22">
        <f>I21</f>
        <v>1.9017963156412246E-3</v>
      </c>
      <c r="S21" s="312">
        <f>I21</f>
        <v>1.9017963156412246E-3</v>
      </c>
      <c r="U21" t="s">
        <v>642</v>
      </c>
      <c r="V21" t="s">
        <v>714</v>
      </c>
    </row>
    <row r="22" spans="1:22">
      <c r="A22" s="547"/>
      <c r="B22" s="397" t="s">
        <v>526</v>
      </c>
      <c r="C22" s="316">
        <f>'A2-3 Generic MFA'!R36</f>
        <v>0.13100999682833528</v>
      </c>
      <c r="D22" s="311">
        <f>X95</f>
        <v>0.01</v>
      </c>
      <c r="E22" s="22">
        <f>X96</f>
        <v>0.01</v>
      </c>
      <c r="F22" s="22">
        <f>X97</f>
        <v>0</v>
      </c>
      <c r="G22" s="22">
        <f>X98</f>
        <v>0.01</v>
      </c>
      <c r="H22" s="22">
        <f>X99</f>
        <v>0</v>
      </c>
      <c r="I22" s="22">
        <f>X100</f>
        <v>0.74673171924675963</v>
      </c>
      <c r="J22" s="22">
        <f>X101</f>
        <v>0.74619640736871751</v>
      </c>
      <c r="K22" s="22">
        <f>X102</f>
        <v>0.1</v>
      </c>
      <c r="L22" s="22">
        <f>X103</f>
        <v>0</v>
      </c>
      <c r="M22" s="22">
        <f>X104</f>
        <v>0</v>
      </c>
      <c r="N22" s="304">
        <v>0</v>
      </c>
      <c r="O22" s="311">
        <f>F22</f>
        <v>0</v>
      </c>
      <c r="P22" s="1">
        <v>0</v>
      </c>
      <c r="Q22" s="22">
        <f>E22</f>
        <v>0.01</v>
      </c>
      <c r="R22" s="22">
        <f>I22</f>
        <v>0.74673171924675963</v>
      </c>
      <c r="S22" s="312">
        <f>I22</f>
        <v>0.74673171924675963</v>
      </c>
      <c r="U22" t="s">
        <v>643</v>
      </c>
      <c r="V22" t="s">
        <v>636</v>
      </c>
    </row>
    <row r="23" spans="1:22">
      <c r="A23" s="287"/>
      <c r="B23" s="396"/>
      <c r="C23" s="316"/>
      <c r="D23" s="308"/>
      <c r="E23" s="1"/>
      <c r="F23" s="1"/>
      <c r="G23" s="1"/>
      <c r="H23" s="1"/>
      <c r="I23" s="1"/>
      <c r="J23" s="1"/>
      <c r="K23" s="1"/>
      <c r="L23" s="1"/>
      <c r="M23" s="1"/>
      <c r="N23" s="304"/>
      <c r="O23" s="308"/>
      <c r="P23" s="1"/>
      <c r="Q23" s="1"/>
      <c r="R23" s="1"/>
      <c r="S23" s="304"/>
      <c r="U23" t="s">
        <v>652</v>
      </c>
      <c r="V23" t="s">
        <v>641</v>
      </c>
    </row>
    <row r="24" spans="1:22">
      <c r="A24" s="548" t="s">
        <v>594</v>
      </c>
      <c r="B24" s="397" t="s">
        <v>530</v>
      </c>
      <c r="C24" s="316">
        <f>'A2-3 Generic MFA'!R53</f>
        <v>0.65360340713945786</v>
      </c>
      <c r="D24" s="311">
        <f>K127</f>
        <v>0.6667930660888407</v>
      </c>
      <c r="E24" s="22">
        <f>K128</f>
        <v>0.6667930660888407</v>
      </c>
      <c r="F24" s="22">
        <f>K129</f>
        <v>0</v>
      </c>
      <c r="G24" s="22">
        <f>K130</f>
        <v>0.75</v>
      </c>
      <c r="H24" s="22">
        <f>K131</f>
        <v>0</v>
      </c>
      <c r="I24" s="22">
        <f>K132</f>
        <v>0</v>
      </c>
      <c r="J24" s="22">
        <f>K133</f>
        <v>0</v>
      </c>
      <c r="K24" s="22">
        <f>K134</f>
        <v>0</v>
      </c>
      <c r="L24" s="22">
        <f>K135</f>
        <v>0</v>
      </c>
      <c r="M24" s="22">
        <f>K136</f>
        <v>0</v>
      </c>
      <c r="N24" s="312">
        <f>K137</f>
        <v>0.9</v>
      </c>
      <c r="O24" s="378">
        <f>F24</f>
        <v>0</v>
      </c>
      <c r="P24" s="379">
        <v>0</v>
      </c>
      <c r="Q24" s="385">
        <f>E24</f>
        <v>0.6667930660888407</v>
      </c>
      <c r="R24" s="385">
        <f>I24</f>
        <v>0</v>
      </c>
      <c r="S24" s="386">
        <f>I24</f>
        <v>0</v>
      </c>
      <c r="U24" t="s">
        <v>660</v>
      </c>
      <c r="V24" t="s">
        <v>644</v>
      </c>
    </row>
    <row r="25" spans="1:22">
      <c r="A25" s="548"/>
      <c r="B25" s="397" t="s">
        <v>531</v>
      </c>
      <c r="C25" s="316">
        <f>'A2-3 Generic MFA'!R55</f>
        <v>0.12852879048072288</v>
      </c>
      <c r="D25" s="311">
        <f>L127</f>
        <v>0.11094257854821231</v>
      </c>
      <c r="E25" s="22">
        <f>L128</f>
        <v>0.11094257854821232</v>
      </c>
      <c r="F25" s="22">
        <f>L129</f>
        <v>1</v>
      </c>
      <c r="G25" s="22">
        <f>L130</f>
        <v>0</v>
      </c>
      <c r="H25" s="22">
        <f>L131</f>
        <v>1</v>
      </c>
      <c r="I25" s="22">
        <f>L132</f>
        <v>1</v>
      </c>
      <c r="J25" s="22">
        <f>L133</f>
        <v>1</v>
      </c>
      <c r="K25" s="22">
        <f>L134</f>
        <v>1</v>
      </c>
      <c r="L25" s="22">
        <f>L135</f>
        <v>1</v>
      </c>
      <c r="M25" s="22">
        <f>L136</f>
        <v>1</v>
      </c>
      <c r="N25" s="312">
        <f>L137</f>
        <v>0.1</v>
      </c>
      <c r="O25" s="378">
        <f>F25</f>
        <v>1</v>
      </c>
      <c r="P25" s="379">
        <v>1</v>
      </c>
      <c r="Q25" s="385">
        <f>E25</f>
        <v>0.11094257854821232</v>
      </c>
      <c r="R25" s="385">
        <f>I25</f>
        <v>1</v>
      </c>
      <c r="S25" s="386">
        <f>I25</f>
        <v>1</v>
      </c>
      <c r="U25" t="s">
        <v>659</v>
      </c>
      <c r="V25" t="s">
        <v>651</v>
      </c>
    </row>
    <row r="26" spans="1:22">
      <c r="A26" s="548"/>
      <c r="B26" s="397" t="s">
        <v>532</v>
      </c>
      <c r="C26" s="316">
        <f>'A2-3 Generic MFA'!R54</f>
        <v>0.21786780237981929</v>
      </c>
      <c r="D26" s="311">
        <f>M127</f>
        <v>0.22226435536294689</v>
      </c>
      <c r="E26" s="22">
        <f>M128</f>
        <v>0.22226435536294692</v>
      </c>
      <c r="F26" s="22">
        <f>M129</f>
        <v>0</v>
      </c>
      <c r="G26" s="22">
        <f>M130</f>
        <v>0.25</v>
      </c>
      <c r="H26" s="22">
        <f>M131</f>
        <v>0</v>
      </c>
      <c r="I26" s="22">
        <f>M132</f>
        <v>0</v>
      </c>
      <c r="J26" s="22">
        <f>M133</f>
        <v>0</v>
      </c>
      <c r="K26" s="22">
        <f>M134</f>
        <v>0</v>
      </c>
      <c r="L26" s="22">
        <f>M135</f>
        <v>0</v>
      </c>
      <c r="M26" s="22">
        <f>M136</f>
        <v>0</v>
      </c>
      <c r="N26" s="312">
        <f>M137</f>
        <v>0</v>
      </c>
      <c r="O26" s="378">
        <f>F26</f>
        <v>0</v>
      </c>
      <c r="P26" s="379">
        <v>0</v>
      </c>
      <c r="Q26" s="385">
        <f>E26</f>
        <v>0.22226435536294692</v>
      </c>
      <c r="R26" s="385">
        <f>I26</f>
        <v>0</v>
      </c>
      <c r="S26" s="386">
        <f>I26</f>
        <v>0</v>
      </c>
      <c r="U26" t="s">
        <v>662</v>
      </c>
      <c r="V26" t="s">
        <v>658</v>
      </c>
    </row>
    <row r="27" spans="1:22">
      <c r="A27" s="273"/>
      <c r="B27" s="396"/>
      <c r="C27" s="316"/>
      <c r="D27" s="308"/>
      <c r="E27" s="1"/>
      <c r="F27" s="1"/>
      <c r="G27" s="1"/>
      <c r="H27" s="1"/>
      <c r="I27" s="1"/>
      <c r="J27" s="1"/>
      <c r="K27" s="1"/>
      <c r="L27" s="1"/>
      <c r="M27" s="1"/>
      <c r="N27" s="304"/>
      <c r="O27" s="381"/>
      <c r="P27" s="379"/>
      <c r="Q27" s="379"/>
      <c r="R27" s="379"/>
      <c r="S27" s="380"/>
      <c r="U27" t="s">
        <v>665</v>
      </c>
      <c r="V27" t="s">
        <v>713</v>
      </c>
    </row>
    <row r="28" spans="1:22">
      <c r="A28" s="549" t="s">
        <v>536</v>
      </c>
      <c r="B28" s="397" t="s">
        <v>537</v>
      </c>
      <c r="C28" s="316">
        <f>'A2-3 Generic MFA'!R58</f>
        <v>0.27891901165046584</v>
      </c>
      <c r="D28" s="311">
        <f>L143</f>
        <v>0</v>
      </c>
      <c r="E28" s="22">
        <f>L144</f>
        <v>0</v>
      </c>
      <c r="F28" s="22">
        <f>L145</f>
        <v>0</v>
      </c>
      <c r="G28" s="22">
        <f>L146</f>
        <v>0.3</v>
      </c>
      <c r="H28" s="22">
        <f>L147</f>
        <v>0</v>
      </c>
      <c r="I28" s="22">
        <f>L148</f>
        <v>0.52757267785393536</v>
      </c>
      <c r="J28" s="22">
        <f>L149</f>
        <v>0.52757267785393536</v>
      </c>
      <c r="K28" s="22">
        <f>L150</f>
        <v>0</v>
      </c>
      <c r="L28" s="22">
        <f>L151</f>
        <v>0</v>
      </c>
      <c r="M28" s="22">
        <f>L152</f>
        <v>0</v>
      </c>
      <c r="N28" s="312">
        <f>L153</f>
        <v>0</v>
      </c>
      <c r="O28" s="378">
        <f>F28</f>
        <v>0</v>
      </c>
      <c r="P28" s="379">
        <v>0</v>
      </c>
      <c r="Q28" s="379">
        <v>0</v>
      </c>
      <c r="R28" s="385">
        <f>I28</f>
        <v>0.52757267785393536</v>
      </c>
      <c r="S28" s="386">
        <f>I28</f>
        <v>0.52757267785393536</v>
      </c>
      <c r="U28" t="s">
        <v>667</v>
      </c>
      <c r="V28" t="s">
        <v>661</v>
      </c>
    </row>
    <row r="29" spans="1:22">
      <c r="A29" s="549"/>
      <c r="B29" s="397" t="s">
        <v>538</v>
      </c>
      <c r="C29" s="316">
        <f>'A2-3 Generic MFA'!R60</f>
        <v>7.0269961165113859E-2</v>
      </c>
      <c r="D29" s="311">
        <f>M143</f>
        <v>1</v>
      </c>
      <c r="E29" s="22">
        <f>M144</f>
        <v>1</v>
      </c>
      <c r="F29" s="22">
        <f>M145</f>
        <v>1</v>
      </c>
      <c r="G29" s="22">
        <f>M146</f>
        <v>0.4</v>
      </c>
      <c r="H29" s="22">
        <f>M147</f>
        <v>1</v>
      </c>
      <c r="I29" s="22">
        <f>M148</f>
        <v>5.7905932403686987E-2</v>
      </c>
      <c r="J29" s="22">
        <f>M149</f>
        <v>5.7905932403686994E-2</v>
      </c>
      <c r="K29" s="22">
        <f>M150</f>
        <v>1</v>
      </c>
      <c r="L29" s="22">
        <f>M151</f>
        <v>1</v>
      </c>
      <c r="M29" s="22">
        <f>M152</f>
        <v>1</v>
      </c>
      <c r="N29" s="312">
        <f>E29</f>
        <v>1</v>
      </c>
      <c r="O29" s="378">
        <f>F29</f>
        <v>1</v>
      </c>
      <c r="P29" s="379">
        <v>1</v>
      </c>
      <c r="Q29" s="379">
        <v>1</v>
      </c>
      <c r="R29" s="385">
        <f>I29</f>
        <v>5.7905932403686987E-2</v>
      </c>
      <c r="S29" s="386">
        <f>I29</f>
        <v>5.7905932403686987E-2</v>
      </c>
      <c r="U29" t="s">
        <v>703</v>
      </c>
      <c r="V29" t="s">
        <v>664</v>
      </c>
    </row>
    <row r="30" spans="1:22">
      <c r="A30" s="549"/>
      <c r="B30" s="397" t="s">
        <v>539</v>
      </c>
      <c r="C30" s="316">
        <f>'A2-3 Generic MFA'!R59</f>
        <v>0.65081102718442019</v>
      </c>
      <c r="D30" s="311">
        <f>N143</f>
        <v>0</v>
      </c>
      <c r="E30" s="22">
        <f>N144</f>
        <v>0</v>
      </c>
      <c r="F30" s="22">
        <f>N145</f>
        <v>0</v>
      </c>
      <c r="G30" s="22">
        <f>N146</f>
        <v>0.3</v>
      </c>
      <c r="H30" s="22">
        <f>N147</f>
        <v>0</v>
      </c>
      <c r="I30" s="22">
        <f>N148</f>
        <v>0.41452138974237768</v>
      </c>
      <c r="J30" s="22">
        <f>N149</f>
        <v>0.41452138974237768</v>
      </c>
      <c r="K30" s="22">
        <f>N150</f>
        <v>0</v>
      </c>
      <c r="L30" s="22">
        <f>N151</f>
        <v>0</v>
      </c>
      <c r="M30" s="22">
        <f>N152</f>
        <v>0</v>
      </c>
      <c r="N30" s="312">
        <f>N153</f>
        <v>0</v>
      </c>
      <c r="O30" s="378">
        <f>F30</f>
        <v>0</v>
      </c>
      <c r="P30" s="379">
        <v>0</v>
      </c>
      <c r="Q30" s="379">
        <v>0</v>
      </c>
      <c r="R30" s="385">
        <f>I30</f>
        <v>0.41452138974237768</v>
      </c>
      <c r="S30" s="386">
        <f>I30</f>
        <v>0.41452138974237768</v>
      </c>
      <c r="U30" t="s">
        <v>704</v>
      </c>
      <c r="V30" t="s">
        <v>666</v>
      </c>
    </row>
    <row r="31" spans="1:22">
      <c r="A31" s="288"/>
      <c r="B31" s="396"/>
      <c r="C31" s="316"/>
      <c r="D31" s="308"/>
      <c r="E31" s="1"/>
      <c r="F31" s="1"/>
      <c r="G31" s="1"/>
      <c r="H31" s="1"/>
      <c r="I31" s="1"/>
      <c r="J31" s="1"/>
      <c r="K31" s="1"/>
      <c r="L31" s="1"/>
      <c r="M31" s="1"/>
      <c r="N31" s="304"/>
      <c r="O31" s="381"/>
      <c r="P31" s="379"/>
      <c r="Q31" s="379"/>
      <c r="R31" s="379"/>
      <c r="S31" s="380"/>
      <c r="U31" t="s">
        <v>709</v>
      </c>
      <c r="V31" t="s">
        <v>702</v>
      </c>
    </row>
    <row r="32" spans="1:22" ht="15" customHeight="1">
      <c r="A32" s="547" t="s">
        <v>144</v>
      </c>
      <c r="B32" s="397" t="s">
        <v>503</v>
      </c>
      <c r="C32" s="316">
        <f>'A2-3 Generic MFA'!R76</f>
        <v>0.83608340939707793</v>
      </c>
      <c r="D32" s="308">
        <f>F111</f>
        <v>1.4999999999999999E-2</v>
      </c>
      <c r="E32" s="1">
        <f>F112</f>
        <v>1.4999999999999999E-2</v>
      </c>
      <c r="F32" s="22">
        <f>F113</f>
        <v>0.5</v>
      </c>
      <c r="G32" s="22">
        <f>F114</f>
        <v>0.98</v>
      </c>
      <c r="H32" s="22">
        <f>F115</f>
        <v>0.99</v>
      </c>
      <c r="I32" s="22">
        <f>F116</f>
        <v>0.98</v>
      </c>
      <c r="J32" s="22">
        <f>F117</f>
        <v>0.98</v>
      </c>
      <c r="K32" s="22">
        <f>F118</f>
        <v>0.1</v>
      </c>
      <c r="L32" s="22">
        <f>F119</f>
        <v>0.01</v>
      </c>
      <c r="M32" s="22">
        <f>F120</f>
        <v>0.01</v>
      </c>
      <c r="N32" s="312">
        <f>F121</f>
        <v>1</v>
      </c>
      <c r="O32" s="378">
        <f>F32</f>
        <v>0.5</v>
      </c>
      <c r="P32" s="379">
        <f>1-P33-P34</f>
        <v>1</v>
      </c>
      <c r="Q32" s="379">
        <f>E32</f>
        <v>1.4999999999999999E-2</v>
      </c>
      <c r="R32" s="385">
        <f>I32</f>
        <v>0.98</v>
      </c>
      <c r="S32" s="386">
        <f>I32</f>
        <v>0.98</v>
      </c>
      <c r="U32" t="s">
        <v>737</v>
      </c>
      <c r="V32" t="s">
        <v>736</v>
      </c>
    </row>
    <row r="33" spans="1:25">
      <c r="A33" s="547"/>
      <c r="B33" s="397" t="s">
        <v>608</v>
      </c>
      <c r="C33" s="316">
        <f>'A2-3 Generic MFA'!R75</f>
        <v>1.9499497643004508E-2</v>
      </c>
      <c r="D33" s="308">
        <f>G111</f>
        <v>1.4999999999999999E-2</v>
      </c>
      <c r="E33" s="1">
        <f>G112</f>
        <v>1.4999999999999999E-2</v>
      </c>
      <c r="F33" s="22">
        <f>G113</f>
        <v>0.5</v>
      </c>
      <c r="G33" s="22">
        <f>G114</f>
        <v>0.01</v>
      </c>
      <c r="H33" s="22">
        <f>G115</f>
        <v>0.01</v>
      </c>
      <c r="I33" s="22">
        <f>G116</f>
        <v>0.01</v>
      </c>
      <c r="J33" s="22">
        <f>G117</f>
        <v>0.01</v>
      </c>
      <c r="K33" s="22">
        <f>G118</f>
        <v>0.8</v>
      </c>
      <c r="L33" s="22">
        <f>G119</f>
        <v>0.99</v>
      </c>
      <c r="M33" s="22">
        <f>G120</f>
        <v>0.99</v>
      </c>
      <c r="N33" s="312">
        <f>G121</f>
        <v>0</v>
      </c>
      <c r="O33" s="378">
        <f>F33</f>
        <v>0.5</v>
      </c>
      <c r="P33" s="379">
        <v>0</v>
      </c>
      <c r="Q33" s="379">
        <f>E33</f>
        <v>1.4999999999999999E-2</v>
      </c>
      <c r="R33" s="385">
        <f>I33</f>
        <v>0.01</v>
      </c>
      <c r="S33" s="386">
        <f>I33</f>
        <v>0.01</v>
      </c>
      <c r="U33" t="s">
        <v>739</v>
      </c>
      <c r="V33" t="s">
        <v>738</v>
      </c>
    </row>
    <row r="34" spans="1:25" ht="14.4" customHeight="1">
      <c r="A34" s="547"/>
      <c r="B34" s="397" t="s">
        <v>119</v>
      </c>
      <c r="C34" s="316">
        <f>'A2-3 Generic MFA'!R67</f>
        <v>0.14441709295991753</v>
      </c>
      <c r="D34" s="311">
        <f>H111</f>
        <v>0.97</v>
      </c>
      <c r="E34" s="22">
        <f>H112</f>
        <v>0.97</v>
      </c>
      <c r="F34" s="22">
        <f>H113</f>
        <v>0</v>
      </c>
      <c r="G34" s="22">
        <f>H114</f>
        <v>0.01</v>
      </c>
      <c r="H34" s="22">
        <f>H115</f>
        <v>0</v>
      </c>
      <c r="I34" s="22">
        <f>H116</f>
        <v>0.01</v>
      </c>
      <c r="J34" s="22">
        <f>H117</f>
        <v>0.01</v>
      </c>
      <c r="K34" s="22">
        <f>H118</f>
        <v>0.1</v>
      </c>
      <c r="L34" s="22">
        <f>H119</f>
        <v>0</v>
      </c>
      <c r="M34" s="22">
        <f>H120</f>
        <v>0</v>
      </c>
      <c r="N34" s="312">
        <f>H121</f>
        <v>0</v>
      </c>
      <c r="O34" s="378">
        <f>F34</f>
        <v>0</v>
      </c>
      <c r="P34" s="379">
        <v>0</v>
      </c>
      <c r="Q34" s="385">
        <f>E34</f>
        <v>0.97</v>
      </c>
      <c r="R34" s="385">
        <f>I34</f>
        <v>0.01</v>
      </c>
      <c r="S34" s="386">
        <f>I34</f>
        <v>0.01</v>
      </c>
      <c r="U34" t="s">
        <v>741</v>
      </c>
      <c r="V34" t="s">
        <v>740</v>
      </c>
    </row>
    <row r="35" spans="1:25" ht="14.4" customHeight="1">
      <c r="A35" s="346"/>
      <c r="B35" s="396"/>
      <c r="C35" s="190"/>
      <c r="D35" s="17"/>
      <c r="E35" s="18"/>
      <c r="F35" s="18"/>
      <c r="G35" s="18"/>
      <c r="H35" s="18"/>
      <c r="I35" s="18"/>
      <c r="J35" s="18"/>
      <c r="K35" s="18"/>
      <c r="L35" s="18"/>
      <c r="M35" s="18"/>
      <c r="N35" s="19"/>
      <c r="O35" s="382"/>
      <c r="P35" s="383"/>
      <c r="Q35" s="383"/>
      <c r="R35" s="383"/>
      <c r="S35" s="384"/>
    </row>
    <row r="36" spans="1:25" ht="14.4" customHeight="1">
      <c r="A36" s="558" t="s">
        <v>674</v>
      </c>
      <c r="B36" s="397" t="s">
        <v>677</v>
      </c>
      <c r="C36" s="316"/>
      <c r="D36" s="311">
        <f>F159</f>
        <v>0.19</v>
      </c>
      <c r="E36" s="22">
        <f>F160</f>
        <v>0.17071990320629157</v>
      </c>
      <c r="F36" s="22">
        <f>F161</f>
        <v>1</v>
      </c>
      <c r="G36" s="22">
        <f>F162</f>
        <v>0</v>
      </c>
      <c r="H36" s="22">
        <f>F163</f>
        <v>1</v>
      </c>
      <c r="I36" s="22">
        <f>F164</f>
        <v>0.40031217481789805</v>
      </c>
      <c r="J36" s="22">
        <f>F165</f>
        <v>0.40031217481789805</v>
      </c>
      <c r="K36" s="22">
        <v>1</v>
      </c>
      <c r="L36" s="22">
        <f>F167</f>
        <v>1</v>
      </c>
      <c r="M36" s="22">
        <f>F168</f>
        <v>1</v>
      </c>
      <c r="N36" s="312">
        <v>1</v>
      </c>
      <c r="O36" s="378">
        <f>F36</f>
        <v>1</v>
      </c>
      <c r="P36" s="379">
        <v>1</v>
      </c>
      <c r="Q36" s="385">
        <f>F166</f>
        <v>0.17071990320629157</v>
      </c>
      <c r="R36" s="385">
        <f>I36</f>
        <v>0.40031217481789805</v>
      </c>
      <c r="S36" s="386">
        <f>I36</f>
        <v>0.40031217481789805</v>
      </c>
    </row>
    <row r="37" spans="1:25" ht="14.4" customHeight="1">
      <c r="A37" s="559"/>
      <c r="B37" s="397" t="s">
        <v>680</v>
      </c>
      <c r="C37" s="316"/>
      <c r="D37" s="311">
        <f>I159</f>
        <v>0</v>
      </c>
      <c r="E37" s="22">
        <f>I160</f>
        <v>0</v>
      </c>
      <c r="F37" s="22">
        <f>I161</f>
        <v>0</v>
      </c>
      <c r="G37" s="22">
        <f>I162</f>
        <v>0.1873637159683392</v>
      </c>
      <c r="H37" s="22">
        <f>I163</f>
        <v>0</v>
      </c>
      <c r="I37" s="22">
        <f>I164</f>
        <v>0</v>
      </c>
      <c r="J37" s="22">
        <f>I165</f>
        <v>0</v>
      </c>
      <c r="K37" s="22">
        <v>0</v>
      </c>
      <c r="L37" s="22">
        <f>I167</f>
        <v>0</v>
      </c>
      <c r="M37" s="22">
        <f>I168</f>
        <v>0</v>
      </c>
      <c r="N37" s="312">
        <v>0</v>
      </c>
      <c r="O37" s="378">
        <f>F37</f>
        <v>0</v>
      </c>
      <c r="P37" s="379">
        <v>0</v>
      </c>
      <c r="Q37" s="385">
        <f>I166</f>
        <v>0</v>
      </c>
      <c r="R37" s="385">
        <f>I37</f>
        <v>0</v>
      </c>
      <c r="S37" s="386">
        <f>I37</f>
        <v>0</v>
      </c>
    </row>
    <row r="38" spans="1:25" ht="14.4" customHeight="1">
      <c r="A38" s="559"/>
      <c r="B38" s="397" t="s">
        <v>679</v>
      </c>
      <c r="C38" s="316"/>
      <c r="D38" s="311">
        <f>H159</f>
        <v>0</v>
      </c>
      <c r="E38" s="22">
        <f>H160</f>
        <v>0</v>
      </c>
      <c r="F38" s="22">
        <f>H161</f>
        <v>0</v>
      </c>
      <c r="G38" s="22">
        <f>H162</f>
        <v>0.15667298127936727</v>
      </c>
      <c r="H38" s="22">
        <f>H163</f>
        <v>0</v>
      </c>
      <c r="I38" s="22">
        <f>H164</f>
        <v>0</v>
      </c>
      <c r="J38" s="22">
        <f>H165</f>
        <v>0</v>
      </c>
      <c r="K38" s="22">
        <v>0</v>
      </c>
      <c r="L38" s="22">
        <f>H167</f>
        <v>0</v>
      </c>
      <c r="M38" s="22">
        <f>H168</f>
        <v>0</v>
      </c>
      <c r="N38" s="312">
        <v>0</v>
      </c>
      <c r="O38" s="378">
        <f>F38</f>
        <v>0</v>
      </c>
      <c r="P38" s="379">
        <v>0</v>
      </c>
      <c r="Q38" s="385">
        <f>H166</f>
        <v>0</v>
      </c>
      <c r="R38" s="385">
        <f>I38</f>
        <v>0</v>
      </c>
      <c r="S38" s="386">
        <f>I38</f>
        <v>0</v>
      </c>
    </row>
    <row r="39" spans="1:25" ht="14.4" customHeight="1">
      <c r="A39" s="560"/>
      <c r="B39" s="397" t="s">
        <v>678</v>
      </c>
      <c r="C39" s="316"/>
      <c r="D39" s="311">
        <f>G159</f>
        <v>0.81</v>
      </c>
      <c r="E39" s="22">
        <f>G160</f>
        <v>0.8292800967937084</v>
      </c>
      <c r="F39" s="22">
        <f>G161</f>
        <v>0</v>
      </c>
      <c r="G39" s="22">
        <f>G162</f>
        <v>0.65596330275229353</v>
      </c>
      <c r="H39" s="22">
        <f>G163</f>
        <v>0</v>
      </c>
      <c r="I39" s="22">
        <f>G164</f>
        <v>0.59968782518210195</v>
      </c>
      <c r="J39" s="22">
        <f>G165</f>
        <v>0.59968782518210195</v>
      </c>
      <c r="K39" s="22">
        <v>0</v>
      </c>
      <c r="L39" s="22">
        <f>G167</f>
        <v>0</v>
      </c>
      <c r="M39" s="22">
        <f>G168</f>
        <v>0</v>
      </c>
      <c r="N39" s="312">
        <v>0</v>
      </c>
      <c r="O39" s="378">
        <f>F39</f>
        <v>0</v>
      </c>
      <c r="P39" s="379">
        <v>0</v>
      </c>
      <c r="Q39" s="385">
        <f>G166</f>
        <v>0.8292800967937084</v>
      </c>
      <c r="R39" s="385">
        <f>I39</f>
        <v>0.59968782518210195</v>
      </c>
      <c r="S39" s="386">
        <f>I39</f>
        <v>0.59968782518210195</v>
      </c>
    </row>
    <row r="40" spans="1:25" ht="14.4" customHeight="1">
      <c r="A40" s="346"/>
      <c r="B40" s="396"/>
      <c r="D40" s="17"/>
      <c r="E40" s="18"/>
      <c r="F40" s="18"/>
      <c r="G40" s="18"/>
      <c r="H40" s="18"/>
      <c r="I40" s="18"/>
      <c r="J40" s="18"/>
      <c r="K40" s="18"/>
      <c r="L40" s="18"/>
      <c r="M40" s="18"/>
      <c r="N40" s="19"/>
      <c r="O40" s="17"/>
      <c r="P40" s="18"/>
      <c r="Q40" s="18"/>
      <c r="R40" s="18"/>
      <c r="S40" s="19"/>
    </row>
    <row r="41" spans="1:25" ht="14.4" customHeight="1">
      <c r="A41" s="547" t="s">
        <v>673</v>
      </c>
      <c r="B41" s="397" t="s">
        <v>131</v>
      </c>
      <c r="C41" s="316"/>
      <c r="D41" s="311">
        <f>D34</f>
        <v>0.97</v>
      </c>
      <c r="E41" s="22">
        <f>E34</f>
        <v>0.97</v>
      </c>
      <c r="F41" s="22">
        <f>F34</f>
        <v>0</v>
      </c>
      <c r="G41" s="22">
        <f>I175</f>
        <v>0</v>
      </c>
      <c r="H41" s="22">
        <f t="shared" ref="H41:N41" si="4">H34</f>
        <v>0</v>
      </c>
      <c r="I41" s="22">
        <f t="shared" si="4"/>
        <v>0.01</v>
      </c>
      <c r="J41" s="22">
        <f t="shared" si="4"/>
        <v>0.01</v>
      </c>
      <c r="K41" s="22">
        <f t="shared" si="4"/>
        <v>0.1</v>
      </c>
      <c r="L41" s="22">
        <f t="shared" si="4"/>
        <v>0</v>
      </c>
      <c r="M41" s="22">
        <f t="shared" si="4"/>
        <v>0</v>
      </c>
      <c r="N41" s="312">
        <f t="shared" si="4"/>
        <v>0</v>
      </c>
      <c r="O41" s="311">
        <f>I178</f>
        <v>0.1</v>
      </c>
      <c r="P41" s="22">
        <f>I177</f>
        <v>0.1</v>
      </c>
      <c r="Q41" s="1">
        <v>0.4</v>
      </c>
      <c r="R41" s="22">
        <f>I176</f>
        <v>0.1</v>
      </c>
      <c r="S41" s="312">
        <f>I181</f>
        <v>0.1</v>
      </c>
    </row>
    <row r="42" spans="1:25" ht="14.4" customHeight="1">
      <c r="A42" s="547"/>
      <c r="B42" s="397" t="s">
        <v>675</v>
      </c>
      <c r="C42" s="316"/>
      <c r="D42" s="311">
        <f t="shared" ref="D42:F43" si="5">D32</f>
        <v>1.4999999999999999E-2</v>
      </c>
      <c r="E42" s="22">
        <f t="shared" si="5"/>
        <v>1.4999999999999999E-2</v>
      </c>
      <c r="F42" s="22">
        <f t="shared" si="5"/>
        <v>0.5</v>
      </c>
      <c r="G42" s="22">
        <f>G175</f>
        <v>0.6</v>
      </c>
      <c r="H42" s="22">
        <f t="shared" ref="H42:N43" si="6">H32</f>
        <v>0.99</v>
      </c>
      <c r="I42" s="22">
        <f t="shared" si="6"/>
        <v>0.98</v>
      </c>
      <c r="J42" s="22">
        <f t="shared" si="6"/>
        <v>0.98</v>
      </c>
      <c r="K42" s="22">
        <f t="shared" si="6"/>
        <v>0.1</v>
      </c>
      <c r="L42" s="22">
        <f t="shared" si="6"/>
        <v>0.01</v>
      </c>
      <c r="M42" s="22">
        <f t="shared" si="6"/>
        <v>0.01</v>
      </c>
      <c r="N42" s="312">
        <f t="shared" si="6"/>
        <v>1</v>
      </c>
      <c r="O42" s="308">
        <f>G178</f>
        <v>0.5</v>
      </c>
      <c r="P42" s="1">
        <f>G177</f>
        <v>0.5</v>
      </c>
      <c r="Q42" s="1">
        <v>0.3</v>
      </c>
      <c r="R42" s="1">
        <f>G176</f>
        <v>0.5</v>
      </c>
      <c r="S42" s="304">
        <f>G181</f>
        <v>0.5</v>
      </c>
    </row>
    <row r="43" spans="1:25" ht="14.4" customHeight="1" thickBot="1">
      <c r="A43" s="547"/>
      <c r="B43" s="397" t="s">
        <v>676</v>
      </c>
      <c r="C43" s="316"/>
      <c r="D43" s="313">
        <f t="shared" si="5"/>
        <v>1.4999999999999999E-2</v>
      </c>
      <c r="E43" s="325">
        <f t="shared" si="5"/>
        <v>1.4999999999999999E-2</v>
      </c>
      <c r="F43" s="325">
        <f t="shared" si="5"/>
        <v>0.5</v>
      </c>
      <c r="G43" s="325">
        <f>H175</f>
        <v>0.4</v>
      </c>
      <c r="H43" s="325">
        <f t="shared" si="6"/>
        <v>0.01</v>
      </c>
      <c r="I43" s="325">
        <f t="shared" si="6"/>
        <v>0.01</v>
      </c>
      <c r="J43" s="325">
        <f t="shared" si="6"/>
        <v>0.01</v>
      </c>
      <c r="K43" s="325">
        <f t="shared" si="6"/>
        <v>0.8</v>
      </c>
      <c r="L43" s="325">
        <f t="shared" si="6"/>
        <v>0.99</v>
      </c>
      <c r="M43" s="325">
        <f t="shared" si="6"/>
        <v>0.99</v>
      </c>
      <c r="N43" s="314">
        <f t="shared" si="6"/>
        <v>0</v>
      </c>
      <c r="O43" s="308">
        <f>H178</f>
        <v>0.4</v>
      </c>
      <c r="P43" s="1">
        <f>H177</f>
        <v>0.4</v>
      </c>
      <c r="Q43" s="1">
        <v>0.3</v>
      </c>
      <c r="R43" s="1">
        <f>H176</f>
        <v>0.4</v>
      </c>
      <c r="S43" s="304">
        <f>H181</f>
        <v>0.4</v>
      </c>
    </row>
    <row r="44" spans="1:25" ht="15" customHeight="1">
      <c r="A44" s="295" t="s">
        <v>612</v>
      </c>
      <c r="D44" s="577"/>
      <c r="E44" s="578"/>
      <c r="F44" s="18"/>
      <c r="G44" s="355"/>
      <c r="H44" s="18"/>
      <c r="I44" s="577"/>
      <c r="J44" s="578"/>
      <c r="K44" s="18"/>
      <c r="O44" s="568" t="s">
        <v>746</v>
      </c>
      <c r="P44" s="569"/>
      <c r="Q44" s="569"/>
      <c r="R44" s="569"/>
      <c r="S44" s="570"/>
    </row>
    <row r="45" spans="1:25" ht="15" thickBot="1">
      <c r="A45" s="263"/>
      <c r="O45" s="571"/>
      <c r="P45" s="572"/>
      <c r="Q45" s="572"/>
      <c r="R45" s="572"/>
      <c r="S45" s="573"/>
    </row>
    <row r="46" spans="1:25" ht="15" thickBot="1">
      <c r="A46" s="285" t="s">
        <v>609</v>
      </c>
    </row>
    <row r="47" spans="1:25" ht="72" customHeight="1" thickBot="1">
      <c r="A47" s="550" t="s">
        <v>718</v>
      </c>
      <c r="B47" s="565"/>
      <c r="C47" s="374" t="s">
        <v>721</v>
      </c>
      <c r="D47" s="281" t="s">
        <v>722</v>
      </c>
      <c r="E47" s="282" t="s">
        <v>724</v>
      </c>
      <c r="F47" s="283" t="s">
        <v>723</v>
      </c>
      <c r="G47" s="15"/>
      <c r="H47" s="583" t="s">
        <v>725</v>
      </c>
      <c r="I47" s="584"/>
      <c r="J47" s="15"/>
      <c r="K47" s="15"/>
      <c r="L47" s="283" t="s">
        <v>604</v>
      </c>
      <c r="M47" s="282" t="s">
        <v>605</v>
      </c>
      <c r="N47" s="282" t="s">
        <v>606</v>
      </c>
      <c r="O47" s="282" t="s">
        <v>607</v>
      </c>
      <c r="P47" s="282"/>
      <c r="Q47" s="15"/>
      <c r="R47" s="563" t="s">
        <v>717</v>
      </c>
      <c r="S47" s="563"/>
      <c r="T47" s="563"/>
      <c r="U47" s="564" t="s">
        <v>715</v>
      </c>
      <c r="V47" s="564"/>
      <c r="W47" s="564"/>
      <c r="X47" s="564"/>
      <c r="Y47" s="16"/>
    </row>
    <row r="48" spans="1:25">
      <c r="A48" s="552"/>
      <c r="B48" s="566"/>
      <c r="C48" s="308" t="s">
        <v>632</v>
      </c>
      <c r="D48" s="22">
        <v>195.09399999999999</v>
      </c>
      <c r="E48" s="22">
        <f t="shared" ref="E48:E57" si="7">D48/$D$58</f>
        <v>0.14399122593368374</v>
      </c>
      <c r="F48" s="22">
        <f>D48/SUM(D48:D49)</f>
        <v>0.19605427383323515</v>
      </c>
      <c r="G48" s="18"/>
      <c r="H48" s="1" t="s">
        <v>90</v>
      </c>
      <c r="I48" s="278">
        <f t="shared" ref="I48:I53" si="8">V49/100</f>
        <v>9.0481555871258515E-2</v>
      </c>
      <c r="J48" s="18"/>
      <c r="K48" s="1" t="s">
        <v>632</v>
      </c>
      <c r="L48" s="63">
        <f>F48*I48</f>
        <v>1.7739295731640882E-2</v>
      </c>
      <c r="M48" s="22">
        <f t="shared" ref="M48:M57" si="9">L48*$M$59</f>
        <v>6.2873014120877366</v>
      </c>
      <c r="N48" s="22">
        <f t="shared" ref="N48:N54" si="10">IF(M48&lt;D48,M48,D48*0.5)</f>
        <v>6.2873014120877366</v>
      </c>
      <c r="O48" s="63">
        <f t="shared" ref="O48:O57" si="11">N48/$N$58</f>
        <v>2.2819255337925729E-2</v>
      </c>
      <c r="P48" s="43"/>
      <c r="Q48" s="181" t="s">
        <v>84</v>
      </c>
      <c r="R48" s="182" t="s">
        <v>716</v>
      </c>
      <c r="S48" s="14" t="s">
        <v>603</v>
      </c>
      <c r="T48" s="183" t="s">
        <v>543</v>
      </c>
      <c r="U48" s="184" t="s">
        <v>600</v>
      </c>
      <c r="V48" s="265" t="s">
        <v>601</v>
      </c>
      <c r="W48" s="14" t="s">
        <v>602</v>
      </c>
      <c r="X48" s="185" t="s">
        <v>498</v>
      </c>
      <c r="Y48" s="19"/>
    </row>
    <row r="49" spans="1:25">
      <c r="A49" s="552"/>
      <c r="B49" s="566"/>
      <c r="C49" s="308" t="s">
        <v>86</v>
      </c>
      <c r="D49" s="22">
        <v>800.00800000000004</v>
      </c>
      <c r="E49" s="22">
        <f t="shared" si="7"/>
        <v>0.59045451257729331</v>
      </c>
      <c r="F49" s="22">
        <f>D49/SUM(D48:D49)</f>
        <v>0.80394572616676474</v>
      </c>
      <c r="G49" s="18"/>
      <c r="H49" s="1" t="s">
        <v>213</v>
      </c>
      <c r="I49" s="278">
        <f t="shared" si="8"/>
        <v>9.448635673345418E-2</v>
      </c>
      <c r="J49" s="18"/>
      <c r="K49" s="1" t="s">
        <v>86</v>
      </c>
      <c r="L49" s="63">
        <f>F49*I48</f>
        <v>7.2742260139617626E-2</v>
      </c>
      <c r="M49" s="22">
        <f t="shared" si="9"/>
        <v>25.781886824205188</v>
      </c>
      <c r="N49" s="22">
        <f t="shared" si="10"/>
        <v>25.781886824205188</v>
      </c>
      <c r="O49" s="63">
        <f t="shared" si="11"/>
        <v>9.3573286848305376E-2</v>
      </c>
      <c r="P49" s="43"/>
      <c r="Q49" s="186" t="s">
        <v>90</v>
      </c>
      <c r="R49" s="266">
        <v>2.2000000000000002</v>
      </c>
      <c r="S49" s="190">
        <v>7</v>
      </c>
      <c r="T49" s="201">
        <v>12</v>
      </c>
      <c r="U49" s="266">
        <f t="shared" ref="U49:U55" si="12">R49/$R$56*100</f>
        <v>8.0291970802919721</v>
      </c>
      <c r="V49" s="267">
        <f t="shared" ref="V49:V54" si="13">U49+((W49-U49)/2)</f>
        <v>9.0481555871258514</v>
      </c>
      <c r="W49" s="190">
        <f t="shared" ref="W49:W54" si="14">T49/$T$56*100</f>
        <v>10.067114093959731</v>
      </c>
      <c r="X49" s="268">
        <f t="shared" ref="X49:X54" si="15">_xlfn.STDEV.P(U49:W49)</f>
        <v>0.8319761369370835</v>
      </c>
      <c r="Y49" s="19"/>
    </row>
    <row r="50" spans="1:25">
      <c r="A50" s="552"/>
      <c r="B50" s="566"/>
      <c r="C50" s="308" t="s">
        <v>93</v>
      </c>
      <c r="D50" s="22">
        <v>157.69999999999999</v>
      </c>
      <c r="E50" s="22">
        <f t="shared" si="7"/>
        <v>0.11639218186998024</v>
      </c>
      <c r="F50" s="22">
        <f>D50/(D50+D55)</f>
        <v>0.86944536332561473</v>
      </c>
      <c r="G50" s="18"/>
      <c r="H50" s="1" t="s">
        <v>499</v>
      </c>
      <c r="I50" s="278">
        <f t="shared" si="8"/>
        <v>4.6352202028119335E-2</v>
      </c>
      <c r="J50" s="18"/>
      <c r="K50" s="1" t="s">
        <v>93</v>
      </c>
      <c r="L50" s="63">
        <f>I52*F50</f>
        <v>0.38576234045167757</v>
      </c>
      <c r="M50" s="22">
        <f t="shared" si="9"/>
        <v>136.72493793121703</v>
      </c>
      <c r="N50" s="22">
        <f t="shared" si="10"/>
        <v>136.72493793121703</v>
      </c>
      <c r="O50" s="63">
        <f t="shared" si="11"/>
        <v>0.49623217740383246</v>
      </c>
      <c r="P50" s="43"/>
      <c r="Q50" s="186" t="s">
        <v>213</v>
      </c>
      <c r="R50" s="266">
        <v>1.5</v>
      </c>
      <c r="S50" s="190">
        <v>8.8000000000000007</v>
      </c>
      <c r="T50" s="201">
        <v>16</v>
      </c>
      <c r="U50" s="266">
        <f t="shared" si="12"/>
        <v>5.4744525547445262</v>
      </c>
      <c r="V50" s="267">
        <f t="shared" si="13"/>
        <v>9.448635673345418</v>
      </c>
      <c r="W50" s="190">
        <f t="shared" si="14"/>
        <v>13.422818791946309</v>
      </c>
      <c r="X50" s="268">
        <f t="shared" si="15"/>
        <v>3.2449069283183136</v>
      </c>
      <c r="Y50" s="19"/>
    </row>
    <row r="51" spans="1:25">
      <c r="A51" s="552"/>
      <c r="B51" s="566"/>
      <c r="C51" s="308" t="s">
        <v>88</v>
      </c>
      <c r="D51" s="22">
        <v>15.76</v>
      </c>
      <c r="E51" s="22">
        <f t="shared" si="7"/>
        <v>1.1631837579396884E-2</v>
      </c>
      <c r="F51" s="22">
        <v>1</v>
      </c>
      <c r="G51" s="18"/>
      <c r="H51" s="1" t="s">
        <v>94</v>
      </c>
      <c r="I51" s="278">
        <f t="shared" si="8"/>
        <v>0.22421373634448635</v>
      </c>
      <c r="J51" s="214"/>
      <c r="K51" s="1" t="s">
        <v>88</v>
      </c>
      <c r="L51" s="63">
        <f>I50</f>
        <v>4.6352202028119335E-2</v>
      </c>
      <c r="M51" s="22">
        <f t="shared" si="9"/>
        <v>16.428513830171852</v>
      </c>
      <c r="N51" s="22">
        <f t="shared" si="10"/>
        <v>7.88</v>
      </c>
      <c r="O51" s="63">
        <f t="shared" si="11"/>
        <v>2.859982690143462E-2</v>
      </c>
      <c r="P51" s="43"/>
      <c r="Q51" s="186" t="s">
        <v>499</v>
      </c>
      <c r="R51" s="266">
        <v>1</v>
      </c>
      <c r="S51" s="190">
        <v>3.9</v>
      </c>
      <c r="T51" s="201">
        <v>6.7</v>
      </c>
      <c r="U51" s="266">
        <f t="shared" si="12"/>
        <v>3.6496350364963508</v>
      </c>
      <c r="V51" s="267">
        <f t="shared" si="13"/>
        <v>4.6352202028119338</v>
      </c>
      <c r="W51" s="190">
        <f t="shared" si="14"/>
        <v>5.6208053691275168</v>
      </c>
      <c r="X51" s="268">
        <f t="shared" si="15"/>
        <v>0.80472691850975642</v>
      </c>
      <c r="Y51" s="19"/>
    </row>
    <row r="52" spans="1:25">
      <c r="A52" s="552"/>
      <c r="B52" s="566"/>
      <c r="C52" s="308" t="s">
        <v>89</v>
      </c>
      <c r="D52" s="22">
        <v>28.98</v>
      </c>
      <c r="E52" s="22">
        <f t="shared" si="7"/>
        <v>2.138900082810417E-2</v>
      </c>
      <c r="F52" s="22">
        <v>1</v>
      </c>
      <c r="G52" s="18"/>
      <c r="H52" s="1" t="s">
        <v>500</v>
      </c>
      <c r="I52" s="278">
        <f t="shared" si="8"/>
        <v>0.4436878459805027</v>
      </c>
      <c r="J52" s="18"/>
      <c r="K52" s="1" t="s">
        <v>89</v>
      </c>
      <c r="L52" s="63">
        <f>I53</f>
        <v>0.10077830304217901</v>
      </c>
      <c r="M52" s="22">
        <f t="shared" si="9"/>
        <v>35.718642758445512</v>
      </c>
      <c r="N52" s="22">
        <f t="shared" si="10"/>
        <v>14.49</v>
      </c>
      <c r="O52" s="63">
        <f t="shared" si="11"/>
        <v>5.2590290837790314E-2</v>
      </c>
      <c r="P52" s="43"/>
      <c r="Q52" s="186" t="s">
        <v>94</v>
      </c>
      <c r="R52" s="266">
        <v>7</v>
      </c>
      <c r="S52" s="190">
        <v>8</v>
      </c>
      <c r="T52" s="201">
        <v>23</v>
      </c>
      <c r="U52" s="266">
        <f t="shared" si="12"/>
        <v>25.547445255474454</v>
      </c>
      <c r="V52" s="267">
        <f t="shared" si="13"/>
        <v>22.421373634448635</v>
      </c>
      <c r="W52" s="190">
        <f t="shared" si="14"/>
        <v>19.29530201342282</v>
      </c>
      <c r="X52" s="268">
        <f t="shared" si="15"/>
        <v>2.5524267903027584</v>
      </c>
      <c r="Y52" s="19"/>
    </row>
    <row r="53" spans="1:25">
      <c r="A53" s="552"/>
      <c r="B53" s="566"/>
      <c r="C53" s="308" t="s">
        <v>213</v>
      </c>
      <c r="D53" s="22">
        <v>42.537999999999997</v>
      </c>
      <c r="E53" s="22">
        <f t="shared" si="7"/>
        <v>3.1395628613729985E-2</v>
      </c>
      <c r="F53" s="22">
        <f>D53/SUM($D$53:$D$54)</f>
        <v>0.41810497346176528</v>
      </c>
      <c r="G53" s="18"/>
      <c r="H53" s="1" t="s">
        <v>89</v>
      </c>
      <c r="I53" s="278">
        <f t="shared" si="8"/>
        <v>0.10077830304217901</v>
      </c>
      <c r="J53" s="18"/>
      <c r="K53" s="1" t="s">
        <v>213</v>
      </c>
      <c r="L53" s="63">
        <f>F53*I49</f>
        <v>3.9505215674539747E-2</v>
      </c>
      <c r="M53" s="22">
        <f t="shared" si="9"/>
        <v>14.001750805266559</v>
      </c>
      <c r="N53" s="22">
        <f t="shared" si="10"/>
        <v>14.001750805266559</v>
      </c>
      <c r="O53" s="63">
        <f t="shared" si="11"/>
        <v>5.0818229612645482E-2</v>
      </c>
      <c r="P53" s="43"/>
      <c r="Q53" s="186" t="s">
        <v>500</v>
      </c>
      <c r="R53" s="266">
        <v>14.2</v>
      </c>
      <c r="S53" s="190">
        <v>15</v>
      </c>
      <c r="T53" s="201">
        <v>44</v>
      </c>
      <c r="U53" s="266">
        <f t="shared" si="12"/>
        <v>51.824817518248182</v>
      </c>
      <c r="V53" s="267">
        <f t="shared" si="13"/>
        <v>44.368784598050269</v>
      </c>
      <c r="W53" s="190">
        <f t="shared" si="14"/>
        <v>36.912751677852349</v>
      </c>
      <c r="X53" s="268">
        <f t="shared" si="15"/>
        <v>6.0878253866261476</v>
      </c>
      <c r="Y53" s="19"/>
    </row>
    <row r="54" spans="1:25">
      <c r="A54" s="552"/>
      <c r="B54" s="566"/>
      <c r="C54" s="308" t="s">
        <v>13</v>
      </c>
      <c r="D54" s="22">
        <v>59.201999999999998</v>
      </c>
      <c r="E54" s="22">
        <f t="shared" si="7"/>
        <v>4.3694673120269943E-2</v>
      </c>
      <c r="F54" s="22">
        <f>D54/SUM($D$53:$D$54)</f>
        <v>0.58189502653823477</v>
      </c>
      <c r="G54" s="18"/>
      <c r="H54" s="1" t="s">
        <v>490</v>
      </c>
      <c r="I54" s="279">
        <v>100</v>
      </c>
      <c r="J54" s="18"/>
      <c r="K54" s="1" t="s">
        <v>13</v>
      </c>
      <c r="L54" s="63">
        <f>F54*I49</f>
        <v>5.498114105891444E-2</v>
      </c>
      <c r="M54" s="22">
        <f t="shared" si="9"/>
        <v>19.486850608241831</v>
      </c>
      <c r="N54" s="22">
        <f t="shared" si="10"/>
        <v>19.486850608241831</v>
      </c>
      <c r="O54" s="63">
        <f t="shared" si="11"/>
        <v>7.072595866114624E-2</v>
      </c>
      <c r="P54" s="43"/>
      <c r="Q54" s="186" t="s">
        <v>89</v>
      </c>
      <c r="R54" s="266">
        <v>1.5</v>
      </c>
      <c r="S54" s="190">
        <v>8</v>
      </c>
      <c r="T54" s="201">
        <v>17.5</v>
      </c>
      <c r="U54" s="266">
        <f t="shared" si="12"/>
        <v>5.4744525547445262</v>
      </c>
      <c r="V54" s="267">
        <f t="shared" si="13"/>
        <v>10.077830304217901</v>
      </c>
      <c r="W54" s="190">
        <f t="shared" si="14"/>
        <v>14.681208053691275</v>
      </c>
      <c r="X54" s="268">
        <f t="shared" si="15"/>
        <v>3.7586421931637797</v>
      </c>
      <c r="Y54" s="19"/>
    </row>
    <row r="55" spans="1:25">
      <c r="A55" s="552"/>
      <c r="B55" s="566"/>
      <c r="C55" s="308" t="s">
        <v>91</v>
      </c>
      <c r="D55" s="22">
        <v>23.68</v>
      </c>
      <c r="E55" s="22">
        <f t="shared" si="7"/>
        <v>1.7477278799499885E-2</v>
      </c>
      <c r="F55" s="22">
        <f>D55/(D50+D55)</f>
        <v>0.13055463667438527</v>
      </c>
      <c r="G55" s="18"/>
      <c r="H55" s="18"/>
      <c r="I55" s="18"/>
      <c r="J55" s="18"/>
      <c r="K55" s="1" t="s">
        <v>91</v>
      </c>
      <c r="L55" s="63">
        <f>F55*I52</f>
        <v>5.7925505528825146E-2</v>
      </c>
      <c r="M55" s="22">
        <f t="shared" si="9"/>
        <v>20.530415537166895</v>
      </c>
      <c r="N55" s="22">
        <f>IF(M55&lt;D55,M55,D55*0.95)</f>
        <v>20.530415537166895</v>
      </c>
      <c r="O55" s="63">
        <f t="shared" si="11"/>
        <v>7.4513493728108768E-2</v>
      </c>
      <c r="P55" s="43"/>
      <c r="Q55" s="186"/>
      <c r="R55" s="266"/>
      <c r="S55" s="190"/>
      <c r="T55" s="201"/>
      <c r="U55" s="266">
        <f t="shared" si="12"/>
        <v>0</v>
      </c>
      <c r="V55" s="190">
        <f>S55/$S$56*100</f>
        <v>0</v>
      </c>
      <c r="W55" s="190"/>
      <c r="X55" s="201"/>
      <c r="Y55" s="19"/>
    </row>
    <row r="56" spans="1:25" ht="16.8" customHeight="1" thickBot="1">
      <c r="A56" s="552"/>
      <c r="B56" s="566"/>
      <c r="C56" s="308" t="s">
        <v>94</v>
      </c>
      <c r="D56" s="22">
        <v>23.56</v>
      </c>
      <c r="E56" s="22">
        <f t="shared" si="7"/>
        <v>1.7388711508286202E-2</v>
      </c>
      <c r="F56" s="22">
        <f>D56/(D56+D57)</f>
        <v>0.73763306199123357</v>
      </c>
      <c r="G56" s="18"/>
      <c r="H56" s="18"/>
      <c r="I56" s="18"/>
      <c r="J56" s="18"/>
      <c r="K56" s="1" t="s">
        <v>94</v>
      </c>
      <c r="L56" s="63">
        <f>F56*I51</f>
        <v>0.16538746488027861</v>
      </c>
      <c r="M56" s="22">
        <f t="shared" si="9"/>
        <v>58.617932595185479</v>
      </c>
      <c r="N56" s="22">
        <f>IF(M56&lt;D56,M56,D56*0.95)</f>
        <v>22.381999999999998</v>
      </c>
      <c r="O56" s="63">
        <f t="shared" si="11"/>
        <v>8.1233670775115438E-2</v>
      </c>
      <c r="P56" s="43"/>
      <c r="Q56" s="277" t="s">
        <v>490</v>
      </c>
      <c r="R56" s="274">
        <f t="shared" ref="R56:W56" si="16">SUM(R49:R55)</f>
        <v>27.4</v>
      </c>
      <c r="S56" s="275">
        <f t="shared" si="16"/>
        <v>50.7</v>
      </c>
      <c r="T56" s="276">
        <f t="shared" si="16"/>
        <v>119.2</v>
      </c>
      <c r="U56" s="274">
        <f t="shared" si="16"/>
        <v>100.00000000000001</v>
      </c>
      <c r="V56" s="275">
        <f t="shared" si="16"/>
        <v>100</v>
      </c>
      <c r="W56" s="275">
        <f t="shared" si="16"/>
        <v>100</v>
      </c>
      <c r="X56" s="270"/>
      <c r="Y56" s="19"/>
    </row>
    <row r="57" spans="1:25" ht="14.4" customHeight="1">
      <c r="A57" s="552"/>
      <c r="B57" s="566"/>
      <c r="C57" s="308" t="s">
        <v>95</v>
      </c>
      <c r="D57" s="22">
        <v>8.3800000000000008</v>
      </c>
      <c r="E57" s="22">
        <f t="shared" si="7"/>
        <v>6.1849491697554505E-3</v>
      </c>
      <c r="F57" s="22">
        <f>D57/(D56+D57)</f>
        <v>0.26236693800876648</v>
      </c>
      <c r="G57" s="18"/>
      <c r="H57" s="18"/>
      <c r="I57" s="18"/>
      <c r="J57" s="18"/>
      <c r="K57" s="1" t="s">
        <v>95</v>
      </c>
      <c r="L57" s="63">
        <f>F57*I51</f>
        <v>5.8826271464207762E-2</v>
      </c>
      <c r="M57" s="22">
        <f t="shared" si="9"/>
        <v>20.849672120019285</v>
      </c>
      <c r="N57" s="22">
        <f>IF(M57&lt;D57,M57,D57*0.95)</f>
        <v>7.9610000000000003</v>
      </c>
      <c r="O57" s="63">
        <f t="shared" si="11"/>
        <v>2.8893809893695561E-2</v>
      </c>
      <c r="P57" s="43"/>
      <c r="Q57" s="18"/>
      <c r="R57" s="18"/>
      <c r="S57" s="18"/>
      <c r="T57" s="18"/>
      <c r="U57" s="18"/>
      <c r="V57" s="18"/>
      <c r="W57" s="18"/>
      <c r="X57" s="18"/>
      <c r="Y57" s="19"/>
    </row>
    <row r="58" spans="1:25" ht="14.4" customHeight="1">
      <c r="A58" s="552"/>
      <c r="B58" s="566"/>
      <c r="C58" s="17"/>
      <c r="D58" s="190">
        <f>SUM(D48:D57)</f>
        <v>1354.9020000000003</v>
      </c>
      <c r="E58" s="18"/>
      <c r="F58" s="18"/>
      <c r="G58" s="18"/>
      <c r="H58" s="18"/>
      <c r="I58" s="18"/>
      <c r="J58" s="18"/>
      <c r="K58" s="1" t="s">
        <v>490</v>
      </c>
      <c r="L58" s="189">
        <f>SUM(L48:L57)</f>
        <v>1.0000000000000002</v>
      </c>
      <c r="M58" s="22">
        <f>SUM(M48:M57)</f>
        <v>354.42790442200737</v>
      </c>
      <c r="N58" s="22">
        <f>SUM(N48:N57)</f>
        <v>275.52614311818525</v>
      </c>
      <c r="O58" s="63">
        <f>SUM(O48:O57)</f>
        <v>1</v>
      </c>
      <c r="P58" s="18"/>
      <c r="Q58" s="284"/>
      <c r="R58" s="18"/>
      <c r="S58" s="272"/>
      <c r="T58" s="272"/>
      <c r="U58" s="272"/>
      <c r="V58" s="272"/>
      <c r="W58" s="272"/>
      <c r="X58" s="272"/>
      <c r="Y58" s="19"/>
    </row>
    <row r="59" spans="1:25" ht="15" thickBot="1">
      <c r="A59" s="554"/>
      <c r="B59" s="567"/>
      <c r="C59" s="301"/>
      <c r="D59" s="21"/>
      <c r="E59" s="21"/>
      <c r="F59" s="21"/>
      <c r="G59" s="21"/>
      <c r="H59" s="21"/>
      <c r="I59" s="21"/>
      <c r="J59" s="21"/>
      <c r="K59" s="21"/>
      <c r="L59" s="21"/>
      <c r="M59" s="202">
        <f>D58*C8</f>
        <v>354.42790442200732</v>
      </c>
      <c r="N59" s="202">
        <f>N58/D58</f>
        <v>0.20335503462109081</v>
      </c>
      <c r="O59" s="202"/>
      <c r="P59" s="202"/>
      <c r="Q59" s="202"/>
      <c r="R59" s="202"/>
      <c r="S59" s="202"/>
      <c r="T59" s="264"/>
      <c r="U59" s="264"/>
      <c r="V59" s="264"/>
      <c r="W59" s="264"/>
      <c r="X59" s="264"/>
      <c r="Y59" s="28"/>
    </row>
    <row r="60" spans="1:25">
      <c r="A60" s="294"/>
      <c r="B60" s="294"/>
      <c r="C60" s="291"/>
      <c r="D60" s="18"/>
      <c r="E60" s="18"/>
      <c r="F60" s="18"/>
      <c r="G60" s="18"/>
      <c r="H60" s="18"/>
      <c r="I60" s="18"/>
      <c r="J60" s="18"/>
      <c r="K60" s="18"/>
      <c r="L60" s="18"/>
      <c r="M60" s="18"/>
      <c r="N60" s="18"/>
      <c r="O60" s="18"/>
      <c r="P60" s="18"/>
      <c r="Q60" s="18"/>
      <c r="R60" s="18"/>
      <c r="S60" s="18"/>
      <c r="T60" s="272"/>
      <c r="U60" s="272"/>
      <c r="V60" s="272"/>
      <c r="W60" s="272"/>
      <c r="X60" s="272"/>
      <c r="Y60" s="18"/>
    </row>
    <row r="61" spans="1:25" ht="15" thickBot="1">
      <c r="A61" s="285" t="s">
        <v>610</v>
      </c>
      <c r="B61" s="280"/>
      <c r="C61" s="263"/>
      <c r="O61" s="18"/>
      <c r="P61" s="18"/>
      <c r="Q61" s="18"/>
      <c r="R61" s="18"/>
      <c r="S61" s="18"/>
      <c r="T61" s="215"/>
      <c r="U61" s="215"/>
      <c r="V61" s="215"/>
      <c r="W61" s="215"/>
      <c r="X61" s="215"/>
    </row>
    <row r="62" spans="1:25">
      <c r="A62" s="550" t="s">
        <v>719</v>
      </c>
      <c r="B62" s="565"/>
      <c r="C62" s="299"/>
      <c r="D62" s="15"/>
      <c r="E62" s="15"/>
      <c r="F62" s="15"/>
      <c r="G62" s="15"/>
      <c r="H62" s="290"/>
      <c r="I62" s="14" t="s">
        <v>510</v>
      </c>
      <c r="J62" s="14" t="s">
        <v>511</v>
      </c>
      <c r="K62" s="14" t="s">
        <v>618</v>
      </c>
      <c r="L62" s="15" t="s">
        <v>84</v>
      </c>
      <c r="M62" s="15" t="s">
        <v>726</v>
      </c>
      <c r="N62" s="15"/>
      <c r="O62" s="15"/>
      <c r="P62" s="14" t="s">
        <v>727</v>
      </c>
      <c r="Q62" s="14" t="s">
        <v>728</v>
      </c>
      <c r="R62" s="14" t="s">
        <v>729</v>
      </c>
      <c r="S62" s="15" t="s">
        <v>730</v>
      </c>
      <c r="T62" s="15"/>
      <c r="U62" s="15"/>
      <c r="V62" s="289"/>
      <c r="W62" s="289"/>
      <c r="X62" s="289"/>
      <c r="Y62" s="16"/>
    </row>
    <row r="63" spans="1:25">
      <c r="A63" s="552"/>
      <c r="B63" s="566"/>
      <c r="C63" s="300"/>
      <c r="D63" s="1" t="s">
        <v>616</v>
      </c>
      <c r="E63" s="1"/>
      <c r="F63" s="1" t="s">
        <v>695</v>
      </c>
      <c r="G63" s="18" t="s">
        <v>84</v>
      </c>
      <c r="H63" s="18" t="s">
        <v>632</v>
      </c>
      <c r="I63" s="190">
        <v>195.09399999999999</v>
      </c>
      <c r="J63" s="190">
        <f>I63*D7</f>
        <v>188.80669858791225</v>
      </c>
      <c r="K63" s="190">
        <f t="shared" ref="K63:K72" si="17">J63/$J$73</f>
        <v>0.17492210649713047</v>
      </c>
      <c r="L63" s="190"/>
      <c r="M63" s="79">
        <f>F64</f>
        <v>0.99173151750972754</v>
      </c>
      <c r="N63" s="18"/>
      <c r="O63" s="18"/>
      <c r="P63" s="328">
        <f>J63*M63*$E$71</f>
        <v>32.266408365461047</v>
      </c>
      <c r="Q63" s="328">
        <f>J63*M63*$F$71</f>
        <v>154.9791453411309</v>
      </c>
      <c r="R63" s="328">
        <f>J63-Q63-P63</f>
        <v>1.5611448813203026</v>
      </c>
      <c r="S63" s="190">
        <f>P63+Q63+R63</f>
        <v>188.80669858791225</v>
      </c>
      <c r="T63" s="18"/>
      <c r="U63" s="18"/>
      <c r="V63" s="272"/>
      <c r="W63" s="272"/>
      <c r="X63" s="272"/>
      <c r="Y63" s="19"/>
    </row>
    <row r="64" spans="1:25" ht="16.8" customHeight="1">
      <c r="A64" s="552"/>
      <c r="B64" s="566"/>
      <c r="C64" s="300"/>
      <c r="D64" s="1" t="s">
        <v>90</v>
      </c>
      <c r="E64" s="1">
        <v>407.8</v>
      </c>
      <c r="F64" s="39">
        <f>E64/$E$67</f>
        <v>0.99173151750972754</v>
      </c>
      <c r="G64" s="18"/>
      <c r="H64" s="18" t="s">
        <v>86</v>
      </c>
      <c r="I64" s="190">
        <v>800.00800000000004</v>
      </c>
      <c r="J64" s="190">
        <f>I64*E7</f>
        <v>774.22611317579481</v>
      </c>
      <c r="K64" s="190">
        <f t="shared" si="17"/>
        <v>0.71729056031736671</v>
      </c>
      <c r="L64" s="190"/>
      <c r="M64" s="79">
        <f>F64</f>
        <v>0.99173151750972754</v>
      </c>
      <c r="N64" s="18"/>
      <c r="O64" s="18"/>
      <c r="P64" s="328">
        <f>J64*M64*$E$71</f>
        <v>132.31255099406317</v>
      </c>
      <c r="Q64" s="328">
        <f>J64*M64*$F$71</f>
        <v>635.51188712142584</v>
      </c>
      <c r="R64" s="328">
        <f>J64-Q64-P64</f>
        <v>6.4016750603057915</v>
      </c>
      <c r="S64" s="190">
        <f>P64+Q64+R64</f>
        <v>774.22611317579481</v>
      </c>
      <c r="T64" s="18"/>
      <c r="U64" s="18"/>
      <c r="V64" s="272"/>
      <c r="W64" s="18"/>
      <c r="X64" s="18"/>
      <c r="Y64" s="19"/>
    </row>
    <row r="65" spans="1:32">
      <c r="A65" s="552"/>
      <c r="B65" s="566"/>
      <c r="C65" s="300"/>
      <c r="D65" s="1" t="s">
        <v>88</v>
      </c>
      <c r="E65" s="1">
        <v>1.1000000000000001</v>
      </c>
      <c r="F65" s="39">
        <f>E65/$E$67</f>
        <v>2.6750972762645915E-3</v>
      </c>
      <c r="G65" s="18"/>
      <c r="H65" s="18" t="s">
        <v>93</v>
      </c>
      <c r="I65" s="190">
        <v>157.69999999999999</v>
      </c>
      <c r="J65" s="190">
        <f>I65*F7</f>
        <v>20.975062068782954</v>
      </c>
      <c r="K65" s="190">
        <f t="shared" si="17"/>
        <v>1.9432584057769597E-2</v>
      </c>
      <c r="L65" s="190"/>
      <c r="M65" s="79">
        <v>0</v>
      </c>
      <c r="N65" s="18"/>
      <c r="O65" s="18"/>
      <c r="P65" s="328">
        <f>J65*M65*$E$71</f>
        <v>0</v>
      </c>
      <c r="Q65" s="328">
        <f>J65*M65*$F$71</f>
        <v>0</v>
      </c>
      <c r="R65" s="328">
        <f t="shared" ref="R65:R72" si="18">J65-P65-Q65</f>
        <v>20.975062068782954</v>
      </c>
      <c r="S65" s="190">
        <f t="shared" ref="S65:S72" si="19">P65+Q65+R65</f>
        <v>20.975062068782954</v>
      </c>
      <c r="T65" s="18"/>
      <c r="U65" s="18"/>
      <c r="V65" s="272"/>
      <c r="W65" s="18"/>
      <c r="X65" s="18"/>
      <c r="Y65" s="19"/>
    </row>
    <row r="66" spans="1:32">
      <c r="A66" s="552"/>
      <c r="B66" s="566"/>
      <c r="C66" s="300"/>
      <c r="D66" s="1" t="s">
        <v>213</v>
      </c>
      <c r="E66" s="1">
        <v>2.2999999999999998</v>
      </c>
      <c r="F66" s="39">
        <f>E66/$E$67</f>
        <v>5.5933852140077813E-3</v>
      </c>
      <c r="G66" s="18"/>
      <c r="H66" s="18" t="s">
        <v>88</v>
      </c>
      <c r="I66" s="190">
        <v>15.76</v>
      </c>
      <c r="J66" s="190">
        <f>I66*G7</f>
        <v>7.88</v>
      </c>
      <c r="K66" s="190">
        <f t="shared" si="17"/>
        <v>7.3005153392668599E-3</v>
      </c>
      <c r="L66" s="190"/>
      <c r="M66" s="79">
        <f>F65</f>
        <v>2.6750972762645915E-3</v>
      </c>
      <c r="N66" s="18"/>
      <c r="O66" s="18"/>
      <c r="P66" s="328">
        <f>(P63+P64)*F65</f>
        <v>0.44026472591312416</v>
      </c>
      <c r="Q66" s="328">
        <f>(Q63+Q64)*F65</f>
        <v>2.1146404078521703</v>
      </c>
      <c r="R66" s="328">
        <f t="shared" si="18"/>
        <v>5.3250948662347053</v>
      </c>
      <c r="S66" s="190">
        <f>P66+Q66+R66</f>
        <v>7.88</v>
      </c>
      <c r="T66" s="18"/>
      <c r="U66" s="18"/>
      <c r="V66" s="272"/>
      <c r="W66" s="18"/>
      <c r="X66" s="18"/>
      <c r="Y66" s="19"/>
    </row>
    <row r="67" spans="1:32">
      <c r="A67" s="552"/>
      <c r="B67" s="566"/>
      <c r="C67" s="300"/>
      <c r="D67" s="1"/>
      <c r="E67" s="1">
        <f>SUM(E64:E66)</f>
        <v>411.20000000000005</v>
      </c>
      <c r="F67" s="1" t="s">
        <v>614</v>
      </c>
      <c r="G67" s="18"/>
      <c r="H67" s="18" t="s">
        <v>89</v>
      </c>
      <c r="I67" s="190">
        <v>28.98</v>
      </c>
      <c r="J67" s="190">
        <f>I67*H7</f>
        <v>14.49</v>
      </c>
      <c r="K67" s="190">
        <f t="shared" si="17"/>
        <v>1.3424424779946296E-2</v>
      </c>
      <c r="L67" s="190"/>
      <c r="M67" s="79">
        <v>0</v>
      </c>
      <c r="N67" s="18"/>
      <c r="O67" s="18"/>
      <c r="P67" s="190">
        <f t="shared" ref="P67:P72" si="20">J67*M67*$E$71</f>
        <v>0</v>
      </c>
      <c r="Q67" s="190">
        <f t="shared" ref="Q67:Q72" si="21">J67*M67*$F$71</f>
        <v>0</v>
      </c>
      <c r="R67" s="190">
        <f>J67-P67-Q67</f>
        <v>14.49</v>
      </c>
      <c r="S67" s="190">
        <f>P67+Q67+R67</f>
        <v>14.49</v>
      </c>
      <c r="T67" s="18"/>
      <c r="U67" s="18"/>
      <c r="V67" s="272"/>
      <c r="W67" s="272"/>
      <c r="X67" s="272"/>
      <c r="Y67" s="19"/>
    </row>
    <row r="68" spans="1:32">
      <c r="A68" s="552"/>
      <c r="B68" s="566"/>
      <c r="C68" s="300"/>
      <c r="D68" s="18"/>
      <c r="E68" s="18"/>
      <c r="F68" s="18"/>
      <c r="G68" s="18"/>
      <c r="H68" s="18" t="s">
        <v>213</v>
      </c>
      <c r="I68" s="190">
        <v>42.537999999999997</v>
      </c>
      <c r="J68" s="190">
        <f>I68*I7</f>
        <v>28.53624919473344</v>
      </c>
      <c r="K68" s="190">
        <f t="shared" si="17"/>
        <v>2.6437731595341758E-2</v>
      </c>
      <c r="L68" s="190"/>
      <c r="M68" s="79">
        <f>F66</f>
        <v>5.5933852140077813E-3</v>
      </c>
      <c r="N68" s="18"/>
      <c r="O68" s="18"/>
      <c r="P68" s="190">
        <f t="shared" si="20"/>
        <v>2.7504941843515263E-2</v>
      </c>
      <c r="Q68" s="190">
        <f t="shared" si="21"/>
        <v>0.13210929246554823</v>
      </c>
      <c r="R68" s="190">
        <f t="shared" si="18"/>
        <v>28.376634960424379</v>
      </c>
      <c r="S68" s="190">
        <f t="shared" si="19"/>
        <v>28.536249194733443</v>
      </c>
      <c r="T68" s="18"/>
      <c r="U68" s="18"/>
      <c r="V68" s="272"/>
      <c r="W68" s="272"/>
      <c r="X68" s="272"/>
      <c r="Y68" s="19"/>
    </row>
    <row r="69" spans="1:32">
      <c r="A69" s="552"/>
      <c r="B69" s="566"/>
      <c r="C69" s="300"/>
      <c r="D69" s="574" t="s">
        <v>613</v>
      </c>
      <c r="E69" s="575"/>
      <c r="F69" s="576"/>
      <c r="G69" s="18"/>
      <c r="H69" s="18" t="s">
        <v>13</v>
      </c>
      <c r="I69" s="190">
        <v>59.201999999999998</v>
      </c>
      <c r="J69" s="190">
        <f>I69*J7</f>
        <v>39.715149391758175</v>
      </c>
      <c r="K69" s="190">
        <f t="shared" si="17"/>
        <v>3.6794550423325564E-2</v>
      </c>
      <c r="L69" s="190"/>
      <c r="M69" s="79">
        <f>F66</f>
        <v>5.5933852140077813E-3</v>
      </c>
      <c r="N69" s="18"/>
      <c r="O69" s="18"/>
      <c r="P69" s="190">
        <f t="shared" si="20"/>
        <v>3.8279833725605124E-2</v>
      </c>
      <c r="Q69" s="190">
        <f t="shared" si="21"/>
        <v>0.18386229565436515</v>
      </c>
      <c r="R69" s="190">
        <f>J69-P69-Q69</f>
        <v>39.493007262378207</v>
      </c>
      <c r="S69" s="190">
        <f>P69+Q69+R69</f>
        <v>39.715149391758175</v>
      </c>
      <c r="T69" s="18"/>
      <c r="U69" s="18"/>
      <c r="V69" s="272"/>
      <c r="W69" s="272"/>
      <c r="X69" s="272"/>
      <c r="Y69" s="19"/>
    </row>
    <row r="70" spans="1:32">
      <c r="A70" s="552"/>
      <c r="B70" s="566"/>
      <c r="C70" s="300"/>
      <c r="D70" s="1"/>
      <c r="E70" s="1" t="s">
        <v>505</v>
      </c>
      <c r="F70" s="1" t="s">
        <v>506</v>
      </c>
      <c r="G70" s="18"/>
      <c r="H70" s="18" t="s">
        <v>91</v>
      </c>
      <c r="I70" s="190">
        <v>23.68</v>
      </c>
      <c r="J70" s="190">
        <f>I70*K7</f>
        <v>3.1495844628331033</v>
      </c>
      <c r="K70" s="190">
        <f t="shared" si="17"/>
        <v>2.9179682339123916E-3</v>
      </c>
      <c r="L70" s="190"/>
      <c r="M70" s="79">
        <v>0.1</v>
      </c>
      <c r="N70" s="18"/>
      <c r="O70" s="18"/>
      <c r="P70" s="190">
        <f t="shared" si="20"/>
        <v>5.4274067633418244E-2</v>
      </c>
      <c r="Q70" s="190">
        <f t="shared" si="21"/>
        <v>0.26068437864989213</v>
      </c>
      <c r="R70" s="190">
        <f t="shared" si="18"/>
        <v>2.8346260165497927</v>
      </c>
      <c r="S70" s="190">
        <f t="shared" si="19"/>
        <v>3.1495844628331033</v>
      </c>
      <c r="T70" s="18"/>
      <c r="U70" s="18"/>
      <c r="V70" s="272"/>
      <c r="W70" s="272"/>
      <c r="X70" s="272"/>
      <c r="Y70" s="19"/>
    </row>
    <row r="71" spans="1:32">
      <c r="A71" s="552"/>
      <c r="B71" s="566"/>
      <c r="C71" s="300"/>
      <c r="D71" s="1"/>
      <c r="E71" s="1">
        <f>17.807/103.336</f>
        <v>0.1723213594487884</v>
      </c>
      <c r="F71" s="1">
        <f>1-E71</f>
        <v>0.82767864055121154</v>
      </c>
      <c r="G71" s="18"/>
      <c r="H71" s="18" t="s">
        <v>94</v>
      </c>
      <c r="I71" s="190">
        <v>23.56</v>
      </c>
      <c r="J71" s="190">
        <f>I71*L7</f>
        <v>1.178000000000001</v>
      </c>
      <c r="K71" s="190">
        <f t="shared" si="17"/>
        <v>1.0913714555401484E-3</v>
      </c>
      <c r="L71" s="190"/>
      <c r="M71" s="79">
        <v>0</v>
      </c>
      <c r="N71" s="18"/>
      <c r="O71" s="18"/>
      <c r="P71" s="190">
        <f t="shared" si="20"/>
        <v>0</v>
      </c>
      <c r="Q71" s="190">
        <f t="shared" si="21"/>
        <v>0</v>
      </c>
      <c r="R71" s="190">
        <f t="shared" si="18"/>
        <v>1.178000000000001</v>
      </c>
      <c r="S71" s="190">
        <f t="shared" si="19"/>
        <v>1.178000000000001</v>
      </c>
      <c r="T71" s="18"/>
      <c r="U71" s="18"/>
      <c r="V71" s="272"/>
      <c r="W71" s="272"/>
      <c r="X71" s="272"/>
      <c r="Y71" s="19"/>
    </row>
    <row r="72" spans="1:32">
      <c r="A72" s="552"/>
      <c r="B72" s="566"/>
      <c r="C72" s="300"/>
      <c r="D72" s="18"/>
      <c r="E72" s="18"/>
      <c r="F72" s="18"/>
      <c r="G72" s="18"/>
      <c r="H72" s="18" t="s">
        <v>95</v>
      </c>
      <c r="I72" s="190">
        <v>8.3800000000000008</v>
      </c>
      <c r="J72" s="190">
        <f>I72*M7</f>
        <v>0.41900000000000043</v>
      </c>
      <c r="K72" s="190">
        <f t="shared" si="17"/>
        <v>3.8818730040010373E-4</v>
      </c>
      <c r="L72" s="190"/>
      <c r="M72" s="79">
        <v>0</v>
      </c>
      <c r="N72" s="18"/>
      <c r="O72" s="18"/>
      <c r="P72" s="190">
        <f t="shared" si="20"/>
        <v>0</v>
      </c>
      <c r="Q72" s="190">
        <f t="shared" si="21"/>
        <v>0</v>
      </c>
      <c r="R72" s="190">
        <f t="shared" si="18"/>
        <v>0.41900000000000043</v>
      </c>
      <c r="S72" s="190">
        <f t="shared" si="19"/>
        <v>0.41900000000000043</v>
      </c>
      <c r="T72" s="18"/>
      <c r="U72" s="18"/>
      <c r="V72" s="272"/>
      <c r="W72" s="272"/>
      <c r="X72" s="272"/>
      <c r="Y72" s="19"/>
    </row>
    <row r="73" spans="1:32">
      <c r="A73" s="552"/>
      <c r="B73" s="566"/>
      <c r="C73" s="300"/>
      <c r="D73" s="18"/>
      <c r="E73" s="18"/>
      <c r="F73" s="18"/>
      <c r="G73" s="18"/>
      <c r="H73" s="292" t="s">
        <v>513</v>
      </c>
      <c r="I73" s="190">
        <f>SUM(I63:I72)</f>
        <v>1354.9020000000003</v>
      </c>
      <c r="J73" s="190">
        <f>SUM(J63:J72)</f>
        <v>1079.3758568818148</v>
      </c>
      <c r="K73" s="190">
        <f>SUM(K63:K72)</f>
        <v>1</v>
      </c>
      <c r="L73" s="190"/>
      <c r="M73" s="190"/>
      <c r="N73" s="18"/>
      <c r="O73" s="18"/>
      <c r="P73" s="190">
        <f>SUM(P63:P72)</f>
        <v>165.13928292863989</v>
      </c>
      <c r="Q73" s="190">
        <f>SUM(Q63:Q72)</f>
        <v>793.18232883717883</v>
      </c>
      <c r="R73" s="190">
        <f>SUM(R63:R72)</f>
        <v>121.05424511599614</v>
      </c>
      <c r="S73" s="190">
        <f>P73+Q73+R73</f>
        <v>1079.3758568818148</v>
      </c>
      <c r="T73" s="18"/>
      <c r="U73" s="18"/>
      <c r="V73" s="272"/>
      <c r="W73" s="272"/>
      <c r="X73" s="272"/>
      <c r="Y73" s="19"/>
    </row>
    <row r="74" spans="1:32" ht="15" thickBot="1">
      <c r="A74" s="554"/>
      <c r="B74" s="567"/>
      <c r="C74" s="301"/>
      <c r="D74" s="21"/>
      <c r="E74" s="21"/>
      <c r="F74" s="21"/>
      <c r="G74" s="21"/>
      <c r="H74" s="21"/>
      <c r="I74" s="202"/>
      <c r="J74" s="293">
        <f>J73/I73</f>
        <v>0.79664496537890905</v>
      </c>
      <c r="K74" s="293">
        <f>K73</f>
        <v>1</v>
      </c>
      <c r="L74" s="202"/>
      <c r="M74" s="297"/>
      <c r="N74" s="21"/>
      <c r="O74" s="21"/>
      <c r="P74" s="202">
        <f>P73/$J$73</f>
        <v>0.15299516093097276</v>
      </c>
      <c r="Q74" s="202">
        <f>Q73/$J$73</f>
        <v>0.73485276123239018</v>
      </c>
      <c r="R74" s="202">
        <f>R73/$J$73</f>
        <v>0.11215207783663708</v>
      </c>
      <c r="S74" s="202">
        <f>S73/$J$73</f>
        <v>1</v>
      </c>
      <c r="T74" s="21"/>
      <c r="U74" s="21"/>
      <c r="V74" s="264"/>
      <c r="W74" s="264"/>
      <c r="X74" s="264"/>
      <c r="Y74" s="28"/>
    </row>
    <row r="75" spans="1:32">
      <c r="A75" s="280"/>
      <c r="B75" s="280"/>
      <c r="C75" s="263"/>
      <c r="Q75" s="215"/>
      <c r="R75" s="215"/>
      <c r="S75" s="215"/>
      <c r="T75" s="215"/>
      <c r="U75" s="215"/>
      <c r="V75" s="215"/>
      <c r="W75" s="215"/>
      <c r="X75" s="215"/>
    </row>
    <row r="76" spans="1:32" ht="15" thickBot="1">
      <c r="A76" s="285" t="s">
        <v>617</v>
      </c>
      <c r="B76" s="280"/>
      <c r="C76" s="263"/>
      <c r="Q76" s="215"/>
      <c r="R76" s="215"/>
      <c r="S76" s="215"/>
      <c r="T76" s="215"/>
      <c r="U76" s="215"/>
      <c r="V76" s="215"/>
      <c r="W76" s="215"/>
      <c r="X76" s="215"/>
    </row>
    <row r="77" spans="1:32">
      <c r="A77" s="550" t="s">
        <v>720</v>
      </c>
      <c r="B77" s="565"/>
      <c r="C77" s="299"/>
      <c r="D77" s="15"/>
      <c r="E77" s="15"/>
      <c r="F77" s="15"/>
      <c r="G77" s="15"/>
      <c r="H77" s="15"/>
      <c r="I77" s="15"/>
      <c r="J77" s="15"/>
      <c r="K77" s="15"/>
      <c r="L77" s="556" t="s">
        <v>622</v>
      </c>
      <c r="M77" s="557"/>
      <c r="N77" s="556" t="s">
        <v>731</v>
      </c>
      <c r="O77" s="557"/>
      <c r="P77" s="581" t="s">
        <v>517</v>
      </c>
      <c r="Q77" s="581"/>
      <c r="R77" s="582"/>
      <c r="S77" s="15"/>
      <c r="T77" s="15"/>
      <c r="U77" s="15"/>
      <c r="V77" s="15"/>
      <c r="W77" s="15"/>
      <c r="X77" s="15"/>
      <c r="Y77" s="16"/>
      <c r="Z77" t="s">
        <v>84</v>
      </c>
    </row>
    <row r="78" spans="1:32">
      <c r="A78" s="552"/>
      <c r="B78" s="566"/>
      <c r="C78" s="321"/>
      <c r="D78" s="187" t="s">
        <v>510</v>
      </c>
      <c r="E78" s="18" t="s">
        <v>518</v>
      </c>
      <c r="F78" s="18" t="s">
        <v>519</v>
      </c>
      <c r="G78" s="1" t="s">
        <v>619</v>
      </c>
      <c r="H78" s="1"/>
      <c r="I78" s="1"/>
      <c r="J78" s="18" t="s">
        <v>621</v>
      </c>
      <c r="K78" s="18"/>
      <c r="L78" s="308" t="s">
        <v>584</v>
      </c>
      <c r="M78" s="304" t="s">
        <v>580</v>
      </c>
      <c r="N78" s="308" t="s">
        <v>584</v>
      </c>
      <c r="O78" s="304" t="s">
        <v>580</v>
      </c>
      <c r="P78" s="1" t="s">
        <v>624</v>
      </c>
      <c r="Q78" s="306" t="s">
        <v>623</v>
      </c>
      <c r="R78" s="1" t="s">
        <v>625</v>
      </c>
      <c r="S78" s="18" t="s">
        <v>84</v>
      </c>
      <c r="T78" s="377" t="s">
        <v>611</v>
      </c>
      <c r="U78" s="306" t="s">
        <v>620</v>
      </c>
      <c r="V78" s="1" t="s">
        <v>628</v>
      </c>
      <c r="W78" s="1" t="s">
        <v>629</v>
      </c>
      <c r="X78" s="1" t="s">
        <v>543</v>
      </c>
      <c r="Y78" s="305" t="s">
        <v>630</v>
      </c>
      <c r="Z78" t="s">
        <v>84</v>
      </c>
    </row>
    <row r="79" spans="1:32">
      <c r="A79" s="552"/>
      <c r="B79" s="566"/>
      <c r="C79" s="17" t="s">
        <v>632</v>
      </c>
      <c r="D79" s="190">
        <f t="shared" ref="D79:D88" si="22">I63</f>
        <v>195.09399999999999</v>
      </c>
      <c r="E79" s="190">
        <f>D8</f>
        <v>3.2227036259893878E-2</v>
      </c>
      <c r="F79" s="190">
        <f t="shared" ref="F79:F88" si="23">D79*E79</f>
        <v>6.2873014120877357</v>
      </c>
      <c r="G79" s="1"/>
      <c r="H79" s="1" t="s">
        <v>584</v>
      </c>
      <c r="I79" s="1" t="s">
        <v>580</v>
      </c>
      <c r="J79" s="190">
        <f>F79/(F79+F80)</f>
        <v>0.19605427383323515</v>
      </c>
      <c r="K79" s="18" t="s">
        <v>632</v>
      </c>
      <c r="L79" s="375">
        <f>J79*H80</f>
        <v>4.4050169120758528E-2</v>
      </c>
      <c r="M79" s="376">
        <f>J79*I80</f>
        <v>6.9070611377562525E-3</v>
      </c>
      <c r="N79" s="375">
        <f>L79/(L79+M79)</f>
        <v>0.86445375655789092</v>
      </c>
      <c r="O79" s="376">
        <f>M79/(L79+M79)</f>
        <v>0.13554624344210911</v>
      </c>
      <c r="P79" s="22">
        <f t="shared" ref="P79:P88" si="24">F79*N79</f>
        <v>5.4350813242909757</v>
      </c>
      <c r="Q79" s="307">
        <f t="shared" ref="Q79:Q88" si="25">F79*O79</f>
        <v>0.85222008779676062</v>
      </c>
      <c r="R79" s="22">
        <f t="shared" ref="R79:R88" si="26">F79-Q79-P79</f>
        <v>0</v>
      </c>
      <c r="S79" s="18"/>
      <c r="T79" s="579" t="s">
        <v>626</v>
      </c>
      <c r="U79" s="318" t="s">
        <v>520</v>
      </c>
      <c r="V79" s="302">
        <v>0.3</v>
      </c>
      <c r="W79" s="302">
        <f>V79+((X79-V79)/2)</f>
        <v>10.65</v>
      </c>
      <c r="X79" s="302">
        <v>21</v>
      </c>
      <c r="Y79" s="371">
        <f>W79/$W$84</f>
        <v>0.22468354430379747</v>
      </c>
      <c r="AE79" t="s">
        <v>84</v>
      </c>
      <c r="AF79" s="26" t="s">
        <v>84</v>
      </c>
    </row>
    <row r="80" spans="1:32">
      <c r="A80" s="552"/>
      <c r="B80" s="566"/>
      <c r="C80" s="17" t="s">
        <v>86</v>
      </c>
      <c r="D80" s="190">
        <f t="shared" si="22"/>
        <v>800.00800000000004</v>
      </c>
      <c r="E80" s="190">
        <f>E8</f>
        <v>3.2227036259893885E-2</v>
      </c>
      <c r="F80" s="190">
        <f t="shared" si="23"/>
        <v>25.781886824205188</v>
      </c>
      <c r="G80" s="302" t="s">
        <v>520</v>
      </c>
      <c r="H80" s="51">
        <f>Y79</f>
        <v>0.22468354430379747</v>
      </c>
      <c r="I80" s="51">
        <f>Y85</f>
        <v>3.523035230352304E-2</v>
      </c>
      <c r="J80" s="190">
        <f>F80/(F79+F80)</f>
        <v>0.80394572616676485</v>
      </c>
      <c r="K80" s="18" t="s">
        <v>86</v>
      </c>
      <c r="L80" s="375">
        <f>J80*H80</f>
        <v>0.18063337518303893</v>
      </c>
      <c r="M80" s="376">
        <f>J80*I80</f>
        <v>2.8323291165766786E-2</v>
      </c>
      <c r="N80" s="375">
        <f>L80/(L80+M80)</f>
        <v>0.86445375655789092</v>
      </c>
      <c r="O80" s="376">
        <f>M80/(L80+M80)</f>
        <v>0.13554624344210911</v>
      </c>
      <c r="P80" s="22">
        <f t="shared" si="24"/>
        <v>22.287248916334566</v>
      </c>
      <c r="Q80" s="307">
        <f t="shared" si="25"/>
        <v>3.4946379078706218</v>
      </c>
      <c r="R80" s="22">
        <f t="shared" si="26"/>
        <v>0</v>
      </c>
      <c r="S80" s="18"/>
      <c r="T80" s="579"/>
      <c r="U80" s="306" t="s">
        <v>521</v>
      </c>
      <c r="V80" s="1">
        <v>0.5</v>
      </c>
      <c r="W80" s="302">
        <f>V80+((X80-V80)/2)</f>
        <v>1.75</v>
      </c>
      <c r="X80" s="1">
        <v>3</v>
      </c>
      <c r="Y80" s="371">
        <f>W80/$W$84</f>
        <v>3.6919831223628692E-2</v>
      </c>
    </row>
    <row r="81" spans="1:25">
      <c r="A81" s="552"/>
      <c r="B81" s="566"/>
      <c r="C81" s="17" t="s">
        <v>93</v>
      </c>
      <c r="D81" s="190">
        <f t="shared" si="22"/>
        <v>157.69999999999999</v>
      </c>
      <c r="E81" s="190">
        <f>F8</f>
        <v>0.86699389937360205</v>
      </c>
      <c r="F81" s="190">
        <f t="shared" si="23"/>
        <v>136.72493793121703</v>
      </c>
      <c r="G81" s="1" t="s">
        <v>521</v>
      </c>
      <c r="H81" s="51">
        <f>Y80</f>
        <v>3.6919831223628692E-2</v>
      </c>
      <c r="I81" s="51">
        <f>Y86</f>
        <v>9.0785907859078599E-2</v>
      </c>
      <c r="J81" s="190">
        <f>F81/(F81+F86)</f>
        <v>0.86944536332561473</v>
      </c>
      <c r="K81" s="18" t="s">
        <v>93</v>
      </c>
      <c r="L81" s="375">
        <f>J81*H83</f>
        <v>0.50259077964392074</v>
      </c>
      <c r="M81" s="376">
        <f>J81*I83</f>
        <v>0.23915638042696449</v>
      </c>
      <c r="N81" s="375">
        <f>L81/(L81+M81)</f>
        <v>0.67757695168781029</v>
      </c>
      <c r="O81" s="376">
        <f>M81/(L81+M81)</f>
        <v>0.32242304831218965</v>
      </c>
      <c r="P81" s="22">
        <f t="shared" si="24"/>
        <v>92.641666663139105</v>
      </c>
      <c r="Q81" s="307">
        <f t="shared" si="25"/>
        <v>44.083271268077922</v>
      </c>
      <c r="R81" s="22">
        <f t="shared" si="26"/>
        <v>0</v>
      </c>
      <c r="S81" s="18"/>
      <c r="T81" s="579"/>
      <c r="U81" s="306" t="s">
        <v>94</v>
      </c>
      <c r="V81" s="1">
        <v>2.6</v>
      </c>
      <c r="W81" s="302">
        <f>V81+((X81-V81)/2)</f>
        <v>6.4500000000000011</v>
      </c>
      <c r="X81" s="1">
        <v>10.3</v>
      </c>
      <c r="Y81" s="371">
        <f>W81/$W$84</f>
        <v>0.13607594936708864</v>
      </c>
    </row>
    <row r="82" spans="1:25">
      <c r="A82" s="552"/>
      <c r="B82" s="566"/>
      <c r="C82" s="17" t="s">
        <v>88</v>
      </c>
      <c r="D82" s="190">
        <f t="shared" si="22"/>
        <v>15.76</v>
      </c>
      <c r="E82" s="190">
        <f>G8</f>
        <v>0.5</v>
      </c>
      <c r="F82" s="190">
        <f t="shared" si="23"/>
        <v>7.88</v>
      </c>
      <c r="G82" s="1" t="s">
        <v>94</v>
      </c>
      <c r="H82" s="51">
        <f>Y81</f>
        <v>0.13607594936708864</v>
      </c>
      <c r="I82" s="51">
        <f>Y87</f>
        <v>0.46815718157181568</v>
      </c>
      <c r="J82" s="190">
        <f>F82/$F$89</f>
        <v>2.859982690143462E-2</v>
      </c>
      <c r="K82" s="18" t="s">
        <v>88</v>
      </c>
      <c r="L82" s="375">
        <f>H81</f>
        <v>3.6919831223628692E-2</v>
      </c>
      <c r="M82" s="376">
        <f>I81</f>
        <v>9.0785907859078599E-2</v>
      </c>
      <c r="N82" s="375">
        <f>L82/(L82+M82)</f>
        <v>0.28910079914042036</v>
      </c>
      <c r="O82" s="376">
        <f>M82/(L82+M82)</f>
        <v>0.71089920085957958</v>
      </c>
      <c r="P82" s="22">
        <f t="shared" si="24"/>
        <v>2.2781142972265123</v>
      </c>
      <c r="Q82" s="307">
        <f t="shared" si="25"/>
        <v>5.6018857027734867</v>
      </c>
      <c r="R82" s="22">
        <f t="shared" si="26"/>
        <v>0</v>
      </c>
      <c r="S82" s="18"/>
      <c r="T82" s="579"/>
      <c r="U82" s="306" t="s">
        <v>93</v>
      </c>
      <c r="V82" s="1">
        <v>8.6999999999999993</v>
      </c>
      <c r="W82" s="302">
        <f>V82+((X82-V82)/2)</f>
        <v>27.400000000000002</v>
      </c>
      <c r="X82" s="1">
        <v>46.1</v>
      </c>
      <c r="Y82" s="371">
        <f>W82/$W$84</f>
        <v>0.57805907172995785</v>
      </c>
    </row>
    <row r="83" spans="1:25" ht="13.2" customHeight="1">
      <c r="A83" s="552"/>
      <c r="B83" s="566"/>
      <c r="C83" s="17" t="s">
        <v>89</v>
      </c>
      <c r="D83" s="190">
        <f t="shared" si="22"/>
        <v>28.98</v>
      </c>
      <c r="E83" s="190">
        <f>H8</f>
        <v>0.5</v>
      </c>
      <c r="F83" s="190">
        <f t="shared" si="23"/>
        <v>14.49</v>
      </c>
      <c r="G83" s="1" t="s">
        <v>93</v>
      </c>
      <c r="H83" s="51">
        <f>Y82</f>
        <v>0.57805907172995785</v>
      </c>
      <c r="I83" s="51">
        <f>Y88</f>
        <v>0.27506775067750677</v>
      </c>
      <c r="J83" s="190">
        <f>F83/$F$89</f>
        <v>5.2590290837790314E-2</v>
      </c>
      <c r="K83" s="18" t="s">
        <v>89</v>
      </c>
      <c r="L83" s="375">
        <f>H84</f>
        <v>2.4261603375527425E-2</v>
      </c>
      <c r="M83" s="376">
        <f>I84</f>
        <v>0.1307588075880759</v>
      </c>
      <c r="N83" s="375">
        <f>L83/(L83+M83)</f>
        <v>0.15650586412923209</v>
      </c>
      <c r="O83" s="376">
        <f>M83/(L83+M83)</f>
        <v>0.84349413587076782</v>
      </c>
      <c r="P83" s="22">
        <f>F83*N83</f>
        <v>2.267769971232573</v>
      </c>
      <c r="Q83" s="307">
        <f t="shared" si="25"/>
        <v>12.222230028767425</v>
      </c>
      <c r="R83" s="22">
        <f t="shared" si="26"/>
        <v>0</v>
      </c>
      <c r="S83" s="18"/>
      <c r="T83" s="579"/>
      <c r="U83" s="306" t="s">
        <v>89</v>
      </c>
      <c r="V83" s="1">
        <v>0</v>
      </c>
      <c r="W83" s="302">
        <f>V83+((X83-V83)/2)</f>
        <v>1.1499999999999999</v>
      </c>
      <c r="X83" s="1">
        <v>2.2999999999999998</v>
      </c>
      <c r="Y83" s="371">
        <f>W83/$W$84</f>
        <v>2.4261603375527425E-2</v>
      </c>
    </row>
    <row r="84" spans="1:25">
      <c r="A84" s="552"/>
      <c r="B84" s="566"/>
      <c r="C84" s="17" t="s">
        <v>213</v>
      </c>
      <c r="D84" s="190">
        <f t="shared" si="22"/>
        <v>42.537999999999997</v>
      </c>
      <c r="E84" s="190">
        <f>I8</f>
        <v>0.32915865356308616</v>
      </c>
      <c r="F84" s="190">
        <f t="shared" si="23"/>
        <v>14.001750805266559</v>
      </c>
      <c r="G84" s="1" t="s">
        <v>89</v>
      </c>
      <c r="H84" s="51">
        <f>Y83</f>
        <v>2.4261603375527425E-2</v>
      </c>
      <c r="I84" s="51">
        <f>Y89</f>
        <v>0.1307588075880759</v>
      </c>
      <c r="J84" s="190">
        <f>F84/(F84+F85)</f>
        <v>0.41810497346176523</v>
      </c>
      <c r="K84" s="18" t="s">
        <v>213</v>
      </c>
      <c r="L84" s="375">
        <v>0</v>
      </c>
      <c r="M84" s="376">
        <f>J84*L84</f>
        <v>0</v>
      </c>
      <c r="N84" s="375">
        <v>0</v>
      </c>
      <c r="O84" s="376">
        <v>0</v>
      </c>
      <c r="P84" s="22">
        <f>F84*N84</f>
        <v>0</v>
      </c>
      <c r="Q84" s="307">
        <f t="shared" si="25"/>
        <v>0</v>
      </c>
      <c r="R84" s="22">
        <f>F84-Q84-P84</f>
        <v>14.001750805266559</v>
      </c>
      <c r="S84" s="18"/>
      <c r="T84" s="579"/>
      <c r="U84" s="306"/>
      <c r="V84" s="1">
        <f>SUM(V79:V83)</f>
        <v>12.1</v>
      </c>
      <c r="W84" s="1">
        <f>SUM(W79:W83)</f>
        <v>47.4</v>
      </c>
      <c r="X84" s="1">
        <f>SUM(X79:X83)</f>
        <v>82.7</v>
      </c>
      <c r="Y84" s="373">
        <f>SUM(Y79:Y83)</f>
        <v>1.0000000000000002</v>
      </c>
    </row>
    <row r="85" spans="1:25">
      <c r="A85" s="552"/>
      <c r="B85" s="566"/>
      <c r="C85" s="17" t="s">
        <v>13</v>
      </c>
      <c r="D85" s="190">
        <f t="shared" si="22"/>
        <v>59.201999999999998</v>
      </c>
      <c r="E85" s="190">
        <f>J8</f>
        <v>0.32915865356308621</v>
      </c>
      <c r="F85" s="190">
        <f t="shared" si="23"/>
        <v>19.486850608241831</v>
      </c>
      <c r="G85" s="1"/>
      <c r="H85" s="51">
        <f>SUM(H80:H84)</f>
        <v>1.0000000000000002</v>
      </c>
      <c r="I85" s="51">
        <f>SUM(I80:I84)</f>
        <v>1</v>
      </c>
      <c r="J85" s="190">
        <f>F85/(F84+F85)</f>
        <v>0.58189502653823477</v>
      </c>
      <c r="K85" s="18" t="s">
        <v>13</v>
      </c>
      <c r="L85" s="375">
        <v>0</v>
      </c>
      <c r="M85" s="376">
        <f>J85*L85</f>
        <v>0</v>
      </c>
      <c r="N85" s="375">
        <v>0</v>
      </c>
      <c r="O85" s="376">
        <v>0</v>
      </c>
      <c r="P85" s="22">
        <f>F85*N85</f>
        <v>0</v>
      </c>
      <c r="Q85" s="307">
        <f t="shared" si="25"/>
        <v>0</v>
      </c>
      <c r="R85" s="22">
        <f t="shared" si="26"/>
        <v>19.486850608241831</v>
      </c>
      <c r="S85" s="18"/>
      <c r="T85" s="579" t="s">
        <v>627</v>
      </c>
      <c r="U85" s="318" t="s">
        <v>520</v>
      </c>
      <c r="V85" s="302">
        <v>0.2</v>
      </c>
      <c r="W85" s="302">
        <f>V85+((X85-V85)/2)</f>
        <v>2.6</v>
      </c>
      <c r="X85" s="302">
        <v>5</v>
      </c>
      <c r="Y85" s="371">
        <f>W85/$W$90</f>
        <v>3.523035230352304E-2</v>
      </c>
    </row>
    <row r="86" spans="1:25">
      <c r="A86" s="552"/>
      <c r="B86" s="566"/>
      <c r="C86" s="17" t="s">
        <v>91</v>
      </c>
      <c r="D86" s="190">
        <f t="shared" si="22"/>
        <v>23.68</v>
      </c>
      <c r="E86" s="190">
        <f>K8</f>
        <v>0.86699389937360205</v>
      </c>
      <c r="F86" s="190">
        <f t="shared" si="23"/>
        <v>20.530415537166895</v>
      </c>
      <c r="G86" s="18"/>
      <c r="H86" s="18"/>
      <c r="I86" s="18"/>
      <c r="J86" s="190">
        <f>F86/(F86+F81)</f>
        <v>0.13055463667438527</v>
      </c>
      <c r="K86" s="18" t="s">
        <v>91</v>
      </c>
      <c r="L86" s="375">
        <f>J86*H83</f>
        <v>7.5468292086037059E-2</v>
      </c>
      <c r="M86" s="376">
        <f>J86*I83</f>
        <v>3.5911370250542293E-2</v>
      </c>
      <c r="N86" s="375">
        <f>L86/(L86+M86)</f>
        <v>0.6775769516878104</v>
      </c>
      <c r="O86" s="376">
        <f>M86/(L86+M86)</f>
        <v>0.32242304831218965</v>
      </c>
      <c r="P86" s="22">
        <f t="shared" si="24"/>
        <v>13.910936376557606</v>
      </c>
      <c r="Q86" s="307">
        <f t="shared" si="25"/>
        <v>6.6194791606092913</v>
      </c>
      <c r="R86" s="22">
        <f t="shared" si="26"/>
        <v>0</v>
      </c>
      <c r="S86" s="18"/>
      <c r="T86" s="579"/>
      <c r="U86" s="306" t="s">
        <v>521</v>
      </c>
      <c r="V86" s="1">
        <v>0.7</v>
      </c>
      <c r="W86" s="302">
        <f>V86+((X86-V86)/2)</f>
        <v>6.7</v>
      </c>
      <c r="X86" s="1">
        <v>12.7</v>
      </c>
      <c r="Y86" s="371">
        <f>W86/$W$90</f>
        <v>9.0785907859078599E-2</v>
      </c>
    </row>
    <row r="87" spans="1:25">
      <c r="A87" s="552"/>
      <c r="B87" s="566"/>
      <c r="C87" s="17" t="s">
        <v>94</v>
      </c>
      <c r="D87" s="190">
        <f t="shared" si="22"/>
        <v>23.56</v>
      </c>
      <c r="E87" s="190">
        <f>L8</f>
        <v>0.95</v>
      </c>
      <c r="F87" s="190">
        <f t="shared" si="23"/>
        <v>22.381999999999998</v>
      </c>
      <c r="G87" s="18"/>
      <c r="H87" s="18"/>
      <c r="I87" s="18"/>
      <c r="J87" s="190">
        <f>F87/(F87+F88)</f>
        <v>0.73763306199123357</v>
      </c>
      <c r="K87" s="18" t="s">
        <v>94</v>
      </c>
      <c r="L87" s="375">
        <f>J87*H82</f>
        <v>0.10037411919500966</v>
      </c>
      <c r="M87" s="376">
        <f>J87*I82</f>
        <v>0.34532821533600433</v>
      </c>
      <c r="N87" s="375">
        <f>L87/(L87+M87)</f>
        <v>0.22520438287725678</v>
      </c>
      <c r="O87" s="376">
        <f>M87/(L87+M87)</f>
        <v>0.77479561712274325</v>
      </c>
      <c r="P87" s="22">
        <f t="shared" si="24"/>
        <v>5.0405244975587609</v>
      </c>
      <c r="Q87" s="307">
        <f t="shared" si="25"/>
        <v>17.341475502441238</v>
      </c>
      <c r="R87" s="22">
        <f t="shared" si="26"/>
        <v>0</v>
      </c>
      <c r="S87" s="18"/>
      <c r="T87" s="579"/>
      <c r="U87" s="306" t="s">
        <v>94</v>
      </c>
      <c r="V87" s="1">
        <v>14.1</v>
      </c>
      <c r="W87" s="302">
        <f>V87+((X87-V87)/2)</f>
        <v>34.549999999999997</v>
      </c>
      <c r="X87" s="1">
        <v>55</v>
      </c>
      <c r="Y87" s="371">
        <f>W87/$W$90</f>
        <v>0.46815718157181568</v>
      </c>
    </row>
    <row r="88" spans="1:25">
      <c r="A88" s="552"/>
      <c r="B88" s="566"/>
      <c r="C88" s="17" t="s">
        <v>95</v>
      </c>
      <c r="D88" s="190">
        <f t="shared" si="22"/>
        <v>8.3800000000000008</v>
      </c>
      <c r="E88" s="190">
        <f>M8</f>
        <v>0.95</v>
      </c>
      <c r="F88" s="190">
        <f t="shared" si="23"/>
        <v>7.9610000000000003</v>
      </c>
      <c r="G88" s="18"/>
      <c r="H88" s="18"/>
      <c r="I88" s="18"/>
      <c r="J88" s="190">
        <f>F88/(F87+F88)</f>
        <v>0.26236693800876648</v>
      </c>
      <c r="K88" s="18" t="s">
        <v>95</v>
      </c>
      <c r="L88" s="375">
        <f>J88*H82</f>
        <v>3.5701830172078994E-2</v>
      </c>
      <c r="M88" s="376">
        <f>J88*I82</f>
        <v>0.1228289662358114</v>
      </c>
      <c r="N88" s="375">
        <f>L88/(L88+M88)</f>
        <v>0.2252043828772568</v>
      </c>
      <c r="O88" s="376">
        <f>M88/(L88+M88)</f>
        <v>0.77479561712274325</v>
      </c>
      <c r="P88" s="22">
        <f t="shared" si="24"/>
        <v>1.7928520920858415</v>
      </c>
      <c r="Q88" s="307">
        <f t="shared" si="25"/>
        <v>6.1681479079141592</v>
      </c>
      <c r="R88" s="22">
        <f t="shared" si="26"/>
        <v>0</v>
      </c>
      <c r="S88" s="315" t="s">
        <v>631</v>
      </c>
      <c r="T88" s="579"/>
      <c r="U88" s="306" t="s">
        <v>93</v>
      </c>
      <c r="V88" s="1">
        <v>8</v>
      </c>
      <c r="W88" s="302">
        <f>V88+((X88-V88)/2)</f>
        <v>20.3</v>
      </c>
      <c r="X88" s="1">
        <v>32.6</v>
      </c>
      <c r="Y88" s="371">
        <f>W88/$W$90</f>
        <v>0.27506775067750677</v>
      </c>
    </row>
    <row r="89" spans="1:25">
      <c r="A89" s="552"/>
      <c r="B89" s="566"/>
      <c r="C89" s="322" t="s">
        <v>513</v>
      </c>
      <c r="D89" s="190">
        <f>SUM(D79:D88)</f>
        <v>1354.9020000000003</v>
      </c>
      <c r="E89" s="18"/>
      <c r="F89" s="190">
        <f>SUM(F79:F88)</f>
        <v>275.52614311818525</v>
      </c>
      <c r="G89" s="190"/>
      <c r="H89" s="18"/>
      <c r="I89" s="18"/>
      <c r="J89" s="18"/>
      <c r="K89" s="18"/>
      <c r="L89" s="375">
        <f>SUM(L79:L88)</f>
        <v>0.99999999999999989</v>
      </c>
      <c r="M89" s="376">
        <f>SUM(M79:M88)</f>
        <v>1</v>
      </c>
      <c r="N89" s="375"/>
      <c r="O89" s="376"/>
      <c r="P89" s="22">
        <f>SUM(P79:P88)</f>
        <v>145.65419413842591</v>
      </c>
      <c r="Q89" s="307">
        <f>SUM(Q79:Q88)</f>
        <v>96.383347566250904</v>
      </c>
      <c r="R89" s="22">
        <f>SUM(R79:R88)</f>
        <v>33.488601413508391</v>
      </c>
      <c r="S89" s="316">
        <f>SUM(P89:R89)</f>
        <v>275.52614311818519</v>
      </c>
      <c r="T89" s="579"/>
      <c r="U89" s="306" t="s">
        <v>89</v>
      </c>
      <c r="V89" s="1">
        <v>8.3000000000000007</v>
      </c>
      <c r="W89" s="302">
        <f>V89+((X89-V89)/2)</f>
        <v>9.65</v>
      </c>
      <c r="X89" s="1">
        <v>11</v>
      </c>
      <c r="Y89" s="371">
        <f>W89/$W$90</f>
        <v>0.1307588075880759</v>
      </c>
    </row>
    <row r="90" spans="1:25" ht="15" thickBot="1">
      <c r="A90" s="554"/>
      <c r="B90" s="567"/>
      <c r="C90" s="20"/>
      <c r="D90" s="21"/>
      <c r="E90" s="21"/>
      <c r="F90" s="269">
        <f>F89/D89</f>
        <v>0.20335503462109081</v>
      </c>
      <c r="G90" s="21"/>
      <c r="H90" s="21"/>
      <c r="I90" s="21"/>
      <c r="J90" s="21"/>
      <c r="K90" s="21"/>
      <c r="L90" s="309"/>
      <c r="M90" s="310"/>
      <c r="N90" s="313"/>
      <c r="O90" s="314"/>
      <c r="P90" s="325">
        <f>P89/$F$89</f>
        <v>0.52864019540950946</v>
      </c>
      <c r="Q90" s="327">
        <f>Q89/$F$89</f>
        <v>0.34981561631669872</v>
      </c>
      <c r="R90" s="325">
        <f>R89/$F$89</f>
        <v>0.12154418827379172</v>
      </c>
      <c r="S90" s="317">
        <f>SUM(P90:R90)</f>
        <v>1</v>
      </c>
      <c r="T90" s="580"/>
      <c r="U90" s="324"/>
      <c r="V90" s="323">
        <f>SUM(V85:V89)</f>
        <v>31.3</v>
      </c>
      <c r="W90" s="323">
        <f>SUM(W85:W89)</f>
        <v>73.8</v>
      </c>
      <c r="X90" s="323">
        <f>SUM(X85:X89)</f>
        <v>116.30000000000001</v>
      </c>
      <c r="Y90" s="372">
        <f>SUM(Y85:Y89)</f>
        <v>1</v>
      </c>
    </row>
    <row r="91" spans="1:25">
      <c r="A91" s="294"/>
      <c r="B91" s="294"/>
      <c r="C91" s="18"/>
      <c r="D91" s="18"/>
      <c r="E91" s="18"/>
      <c r="F91" s="296"/>
      <c r="G91" s="18"/>
      <c r="H91" s="18"/>
      <c r="I91" s="18"/>
      <c r="J91" s="18"/>
      <c r="K91" s="18"/>
      <c r="L91" s="18"/>
      <c r="M91" s="18"/>
      <c r="N91" s="190"/>
      <c r="O91" s="190"/>
      <c r="P91" s="190"/>
      <c r="Q91" s="190"/>
      <c r="R91" s="190"/>
      <c r="S91" s="190"/>
      <c r="T91" s="329"/>
      <c r="U91" s="18"/>
      <c r="V91" s="18"/>
      <c r="W91" s="18"/>
      <c r="X91" s="18"/>
      <c r="Y91" s="192"/>
    </row>
    <row r="92" spans="1:25" ht="15" thickBot="1">
      <c r="A92" s="285" t="s">
        <v>633</v>
      </c>
      <c r="B92" s="294"/>
      <c r="C92" s="18"/>
      <c r="D92" s="18"/>
      <c r="E92" s="18"/>
      <c r="F92" s="296"/>
      <c r="G92" s="18"/>
      <c r="H92" s="18"/>
      <c r="I92" s="18"/>
      <c r="J92" s="18"/>
      <c r="K92" s="18"/>
      <c r="L92" s="18"/>
      <c r="M92" s="18"/>
      <c r="N92" s="190"/>
      <c r="O92" s="190"/>
      <c r="P92" s="190"/>
      <c r="Q92" s="190"/>
      <c r="R92" s="190"/>
      <c r="S92" s="190"/>
      <c r="T92" s="329"/>
      <c r="U92" s="18"/>
      <c r="V92" s="18"/>
      <c r="W92" s="18"/>
      <c r="X92" s="18"/>
      <c r="Y92" s="192"/>
    </row>
    <row r="93" spans="1:25">
      <c r="A93" s="550" t="s">
        <v>653</v>
      </c>
      <c r="B93" s="551"/>
      <c r="C93" s="299"/>
      <c r="D93" s="15"/>
      <c r="E93" s="15"/>
      <c r="F93" s="15"/>
      <c r="G93" s="15"/>
      <c r="H93" s="15"/>
      <c r="I93" s="14"/>
      <c r="J93" s="14"/>
      <c r="K93" s="14"/>
      <c r="L93" s="14"/>
      <c r="M93" s="14"/>
      <c r="N93" s="330"/>
      <c r="O93" s="14"/>
      <c r="P93" s="14"/>
      <c r="Q93" s="320"/>
      <c r="R93" s="320"/>
      <c r="S93" s="320"/>
      <c r="T93" s="15"/>
      <c r="U93" s="330"/>
      <c r="V93" s="330"/>
      <c r="W93" s="330"/>
      <c r="X93" s="330"/>
      <c r="Y93" s="335"/>
    </row>
    <row r="94" spans="1:25">
      <c r="A94" s="552"/>
      <c r="B94" s="553"/>
      <c r="C94" s="321"/>
      <c r="D94" s="187" t="s">
        <v>511</v>
      </c>
      <c r="E94" s="18" t="s">
        <v>527</v>
      </c>
      <c r="F94" s="18" t="s">
        <v>512</v>
      </c>
      <c r="G94" s="18"/>
      <c r="H94" s="18"/>
      <c r="I94" s="302" t="s">
        <v>522</v>
      </c>
      <c r="J94" s="302" t="s">
        <v>523</v>
      </c>
      <c r="K94" s="302" t="s">
        <v>524</v>
      </c>
      <c r="L94" s="302" t="s">
        <v>131</v>
      </c>
      <c r="M94" s="302" t="s">
        <v>526</v>
      </c>
      <c r="N94" s="334" t="s">
        <v>634</v>
      </c>
      <c r="O94" s="18"/>
      <c r="P94" s="1" t="s">
        <v>732</v>
      </c>
      <c r="Q94" s="1"/>
      <c r="R94" s="18"/>
      <c r="S94" s="18"/>
      <c r="T94" s="302" t="s">
        <v>522</v>
      </c>
      <c r="U94" s="302" t="s">
        <v>523</v>
      </c>
      <c r="V94" s="302" t="s">
        <v>524</v>
      </c>
      <c r="W94" s="302" t="s">
        <v>131</v>
      </c>
      <c r="X94" s="302" t="s">
        <v>526</v>
      </c>
      <c r="Y94" s="336"/>
    </row>
    <row r="95" spans="1:25">
      <c r="A95" s="552"/>
      <c r="B95" s="553"/>
      <c r="C95" s="17" t="s">
        <v>632</v>
      </c>
      <c r="D95" s="190">
        <f>J63</f>
        <v>188.80669858791225</v>
      </c>
      <c r="E95" s="190">
        <f>D12</f>
        <v>8.2684824902724552E-3</v>
      </c>
      <c r="F95" s="190">
        <f>D95*E95</f>
        <v>1.5611448813203015</v>
      </c>
      <c r="G95" s="18"/>
      <c r="H95" s="18"/>
      <c r="I95" s="332">
        <f>F95*0.01</f>
        <v>1.5611448813203015E-2</v>
      </c>
      <c r="J95" s="332">
        <f>F95*0.01</f>
        <v>1.5611448813203015E-2</v>
      </c>
      <c r="K95" s="332">
        <f>F95*0.96</f>
        <v>1.4986990860674894</v>
      </c>
      <c r="L95" s="332">
        <f>F95*0.01</f>
        <v>1.5611448813203015E-2</v>
      </c>
      <c r="M95" s="332">
        <f>F95*0.01</f>
        <v>1.5611448813203015E-2</v>
      </c>
      <c r="N95" s="332">
        <f t="shared" ref="N95:N104" si="27">SUM(I95:M95)</f>
        <v>1.5611448813203015</v>
      </c>
      <c r="O95" s="190"/>
      <c r="P95" s="22" t="s">
        <v>637</v>
      </c>
      <c r="Q95" s="22">
        <f>0.8553+((1-0.8553)*0.8938)</f>
        <v>0.98463286000000005</v>
      </c>
      <c r="R95" s="190"/>
      <c r="S95" s="190"/>
      <c r="T95" s="22">
        <f>I95/N95</f>
        <v>0.01</v>
      </c>
      <c r="U95" s="22">
        <f>J95/N95</f>
        <v>0.01</v>
      </c>
      <c r="V95" s="22">
        <f>K95/N95</f>
        <v>0.96</v>
      </c>
      <c r="W95" s="22">
        <f>L95/N95</f>
        <v>0.01</v>
      </c>
      <c r="X95" s="22">
        <f>M95/N95</f>
        <v>0.01</v>
      </c>
      <c r="Y95" s="336"/>
    </row>
    <row r="96" spans="1:25">
      <c r="A96" s="552"/>
      <c r="B96" s="553"/>
      <c r="C96" s="17" t="s">
        <v>86</v>
      </c>
      <c r="D96" s="190">
        <f t="shared" ref="D96:D104" si="28">J64</f>
        <v>774.22611317579481</v>
      </c>
      <c r="E96" s="190">
        <f>E12</f>
        <v>8.2684824902724552E-3</v>
      </c>
      <c r="F96" s="190">
        <f t="shared" ref="F96:F104" si="29">D96*E96</f>
        <v>6.4016750603057595</v>
      </c>
      <c r="G96" s="187"/>
      <c r="H96" s="18"/>
      <c r="I96" s="332">
        <f>F96*0.01</f>
        <v>6.4016750603057601E-2</v>
      </c>
      <c r="J96" s="332">
        <f>F96*0.01</f>
        <v>6.4016750603057601E-2</v>
      </c>
      <c r="K96" s="332">
        <f>F96*0.96</f>
        <v>6.1456080578935293</v>
      </c>
      <c r="L96" s="332">
        <f>F96*0.01</f>
        <v>6.4016750603057601E-2</v>
      </c>
      <c r="M96" s="332">
        <f>F96*0.01</f>
        <v>6.4016750603057601E-2</v>
      </c>
      <c r="N96" s="332">
        <f t="shared" si="27"/>
        <v>6.4016750603057595</v>
      </c>
      <c r="O96" s="190"/>
      <c r="P96" s="22" t="s">
        <v>638</v>
      </c>
      <c r="Q96" s="22">
        <f>0.1447</f>
        <v>0.1447</v>
      </c>
      <c r="R96" s="190"/>
      <c r="S96" s="190"/>
      <c r="T96" s="22">
        <f t="shared" ref="T96:T104" si="30">I96/N96</f>
        <v>0.01</v>
      </c>
      <c r="U96" s="22">
        <f t="shared" ref="U96:U104" si="31">J96/N96</f>
        <v>0.01</v>
      </c>
      <c r="V96" s="22">
        <f t="shared" ref="V96:V104" si="32">K96/N96</f>
        <v>0.96000000000000008</v>
      </c>
      <c r="W96" s="22">
        <f t="shared" ref="W96:W104" si="33">L96/N96</f>
        <v>0.01</v>
      </c>
      <c r="X96" s="22">
        <f t="shared" ref="X96:X104" si="34">M96/N96</f>
        <v>0.01</v>
      </c>
      <c r="Y96" s="336"/>
    </row>
    <row r="97" spans="1:25">
      <c r="A97" s="552"/>
      <c r="B97" s="553"/>
      <c r="C97" s="17" t="s">
        <v>93</v>
      </c>
      <c r="D97" s="190">
        <f t="shared" si="28"/>
        <v>20.975062068782954</v>
      </c>
      <c r="E97" s="190">
        <f>F12</f>
        <v>1</v>
      </c>
      <c r="F97" s="190">
        <f t="shared" si="29"/>
        <v>20.975062068782954</v>
      </c>
      <c r="G97" s="18"/>
      <c r="H97" s="18"/>
      <c r="I97" s="332">
        <f>F97*Q97</f>
        <v>2.2275515917047497</v>
      </c>
      <c r="J97" s="332">
        <v>0</v>
      </c>
      <c r="K97" s="332">
        <v>0</v>
      </c>
      <c r="L97" s="332">
        <f>F97-I97</f>
        <v>18.747510477078205</v>
      </c>
      <c r="M97" s="332">
        <v>0</v>
      </c>
      <c r="N97" s="332">
        <f t="shared" si="27"/>
        <v>20.975062068782954</v>
      </c>
      <c r="O97" s="190"/>
      <c r="P97" s="22" t="s">
        <v>639</v>
      </c>
      <c r="Q97" s="22">
        <f>0.1062</f>
        <v>0.1062</v>
      </c>
      <c r="R97" s="18"/>
      <c r="S97" s="190"/>
      <c r="T97" s="22">
        <f t="shared" si="30"/>
        <v>0.1062</v>
      </c>
      <c r="U97" s="22">
        <f t="shared" si="31"/>
        <v>0</v>
      </c>
      <c r="V97" s="22">
        <f t="shared" si="32"/>
        <v>0</v>
      </c>
      <c r="W97" s="22">
        <f t="shared" si="33"/>
        <v>0.89380000000000004</v>
      </c>
      <c r="X97" s="22">
        <f t="shared" si="34"/>
        <v>0</v>
      </c>
      <c r="Y97" s="336"/>
    </row>
    <row r="98" spans="1:25">
      <c r="A98" s="552"/>
      <c r="B98" s="553"/>
      <c r="C98" s="17" t="s">
        <v>88</v>
      </c>
      <c r="D98" s="190">
        <f t="shared" si="28"/>
        <v>7.88</v>
      </c>
      <c r="E98" s="190">
        <f>G12</f>
        <v>0.6757734601820693</v>
      </c>
      <c r="F98" s="190">
        <f t="shared" si="29"/>
        <v>5.3250948662347062</v>
      </c>
      <c r="G98" s="18"/>
      <c r="H98" s="18"/>
      <c r="I98" s="332">
        <f>F98*Q96</f>
        <v>0.77054122714416196</v>
      </c>
      <c r="J98" s="332">
        <f>F98*0.01</f>
        <v>5.3250948662347065E-2</v>
      </c>
      <c r="K98" s="332">
        <f>F98*0.01</f>
        <v>5.3250948662347065E-2</v>
      </c>
      <c r="L98" s="332">
        <f>F98-I98-J98-K98-M98</f>
        <v>4.3948007931035029</v>
      </c>
      <c r="M98" s="332">
        <f>F98*0.01</f>
        <v>5.3250948662347065E-2</v>
      </c>
      <c r="N98" s="332">
        <f t="shared" si="27"/>
        <v>5.3250948662347062</v>
      </c>
      <c r="O98" s="190"/>
      <c r="P98" s="22" t="s">
        <v>640</v>
      </c>
      <c r="Q98" s="22">
        <v>0.1062</v>
      </c>
      <c r="R98" s="190"/>
      <c r="S98" s="190"/>
      <c r="T98" s="22">
        <f t="shared" si="30"/>
        <v>0.1447</v>
      </c>
      <c r="U98" s="22">
        <f t="shared" si="31"/>
        <v>0.01</v>
      </c>
      <c r="V98" s="22">
        <f t="shared" si="32"/>
        <v>0.01</v>
      </c>
      <c r="W98" s="22">
        <f t="shared" si="33"/>
        <v>0.82530000000000003</v>
      </c>
      <c r="X98" s="22">
        <f t="shared" si="34"/>
        <v>0.01</v>
      </c>
      <c r="Y98" s="336"/>
    </row>
    <row r="99" spans="1:25">
      <c r="A99" s="552"/>
      <c r="B99" s="553"/>
      <c r="C99" s="17" t="s">
        <v>89</v>
      </c>
      <c r="D99" s="190">
        <f t="shared" si="28"/>
        <v>14.49</v>
      </c>
      <c r="E99" s="190">
        <f>H12</f>
        <v>1</v>
      </c>
      <c r="F99" s="190">
        <f t="shared" si="29"/>
        <v>14.49</v>
      </c>
      <c r="G99" s="18"/>
      <c r="H99" s="18"/>
      <c r="I99" s="332">
        <f>F99*0.5</f>
        <v>7.2450000000000001</v>
      </c>
      <c r="J99" s="332">
        <v>0</v>
      </c>
      <c r="K99" s="332">
        <v>0</v>
      </c>
      <c r="L99" s="332">
        <f>F99*0.5</f>
        <v>7.2450000000000001</v>
      </c>
      <c r="M99" s="332">
        <v>0</v>
      </c>
      <c r="N99" s="332">
        <f t="shared" si="27"/>
        <v>14.49</v>
      </c>
      <c r="O99" s="190"/>
      <c r="P99" s="18"/>
      <c r="Q99" s="18"/>
      <c r="R99" s="190"/>
      <c r="S99" s="190"/>
      <c r="T99" s="22">
        <f t="shared" si="30"/>
        <v>0.5</v>
      </c>
      <c r="U99" s="22">
        <f t="shared" si="31"/>
        <v>0</v>
      </c>
      <c r="V99" s="22">
        <f t="shared" si="32"/>
        <v>0</v>
      </c>
      <c r="W99" s="22">
        <f t="shared" si="33"/>
        <v>0.5</v>
      </c>
      <c r="X99" s="22">
        <f t="shared" si="34"/>
        <v>0</v>
      </c>
      <c r="Y99" s="336"/>
    </row>
    <row r="100" spans="1:25">
      <c r="A100" s="552"/>
      <c r="B100" s="553"/>
      <c r="C100" s="17" t="s">
        <v>213</v>
      </c>
      <c r="D100" s="190">
        <f t="shared" si="28"/>
        <v>28.53624919473344</v>
      </c>
      <c r="E100" s="190">
        <f>I12</f>
        <v>0.99440661478599224</v>
      </c>
      <c r="F100" s="190">
        <f t="shared" si="29"/>
        <v>28.376634960424376</v>
      </c>
      <c r="G100" s="18"/>
      <c r="H100" s="18"/>
      <c r="I100" s="332">
        <f>D100*(D100/(D100+D101))*(0.0065/2)</f>
        <v>3.8776230064852618E-2</v>
      </c>
      <c r="J100" s="332">
        <f>F100-I100-K100-L100-M100</f>
        <v>7.0941587401060957</v>
      </c>
      <c r="K100" s="332">
        <v>0</v>
      </c>
      <c r="L100" s="332">
        <f>D101*(D100/(D100+D101))*(0.0065/2)</f>
        <v>5.3966579818031046E-2</v>
      </c>
      <c r="M100" s="332">
        <f>(F100*Q102)-I100-K100-L100</f>
        <v>21.189733410435398</v>
      </c>
      <c r="N100" s="332">
        <f t="shared" si="27"/>
        <v>28.376634960424376</v>
      </c>
      <c r="O100" s="190"/>
      <c r="P100" s="302" t="s">
        <v>613</v>
      </c>
      <c r="Q100" s="302"/>
      <c r="R100" s="1"/>
      <c r="S100" s="190"/>
      <c r="T100" s="22">
        <f t="shared" si="30"/>
        <v>1.3664844375991759E-3</v>
      </c>
      <c r="U100" s="22">
        <f t="shared" si="31"/>
        <v>0.25000000000000006</v>
      </c>
      <c r="V100" s="22">
        <f t="shared" si="32"/>
        <v>0</v>
      </c>
      <c r="W100" s="22">
        <f t="shared" si="33"/>
        <v>1.9017963156412246E-3</v>
      </c>
      <c r="X100" s="22">
        <f t="shared" si="34"/>
        <v>0.74673171924675963</v>
      </c>
      <c r="Y100" s="336"/>
    </row>
    <row r="101" spans="1:25">
      <c r="A101" s="552"/>
      <c r="B101" s="553"/>
      <c r="C101" s="17" t="s">
        <v>13</v>
      </c>
      <c r="D101" s="190">
        <f t="shared" si="28"/>
        <v>39.715149391758175</v>
      </c>
      <c r="E101" s="190">
        <f>J12</f>
        <v>0.99440661478599224</v>
      </c>
      <c r="F101" s="190">
        <f t="shared" si="29"/>
        <v>39.493007262378207</v>
      </c>
      <c r="G101" s="18"/>
      <c r="H101" s="18"/>
      <c r="I101" s="332">
        <f>D101*(D101/(D100+D101))*(0.0065/2)</f>
        <v>7.5107655705182991E-2</v>
      </c>
      <c r="J101" s="332">
        <f>F101-I101-K101-L101-M101</f>
        <v>9.8732518155945499</v>
      </c>
      <c r="K101" s="332">
        <v>0</v>
      </c>
      <c r="L101" s="332">
        <f>D101*(D101/(D100+D101))*(0.0065/2)</f>
        <v>7.5107655705182991E-2</v>
      </c>
      <c r="M101" s="332">
        <f>(F101*Q102)-I101-K101-L101</f>
        <v>29.469540135373293</v>
      </c>
      <c r="N101" s="332">
        <f t="shared" si="27"/>
        <v>39.493007262378214</v>
      </c>
      <c r="O101" s="190"/>
      <c r="P101" s="1" t="s">
        <v>505</v>
      </c>
      <c r="Q101" s="1" t="s">
        <v>506</v>
      </c>
      <c r="R101" s="1" t="s">
        <v>615</v>
      </c>
      <c r="S101" s="190"/>
      <c r="T101" s="22">
        <f t="shared" si="30"/>
        <v>1.901796315641224E-3</v>
      </c>
      <c r="U101" s="22">
        <f t="shared" si="31"/>
        <v>0.24999999999999992</v>
      </c>
      <c r="V101" s="22">
        <f t="shared" si="32"/>
        <v>0</v>
      </c>
      <c r="W101" s="22">
        <f t="shared" si="33"/>
        <v>1.901796315641224E-3</v>
      </c>
      <c r="X101" s="22">
        <f t="shared" si="34"/>
        <v>0.74619640736871751</v>
      </c>
      <c r="Y101" s="336"/>
    </row>
    <row r="102" spans="1:25">
      <c r="A102" s="552"/>
      <c r="B102" s="553"/>
      <c r="C102" s="17" t="s">
        <v>91</v>
      </c>
      <c r="D102" s="190">
        <f t="shared" si="28"/>
        <v>3.1495844628331033</v>
      </c>
      <c r="E102" s="190">
        <f>K12</f>
        <v>0.9</v>
      </c>
      <c r="F102" s="190">
        <f t="shared" si="29"/>
        <v>2.8346260165497932</v>
      </c>
      <c r="G102" s="18"/>
      <c r="H102" s="18"/>
      <c r="I102" s="332">
        <f>F102*0.35</f>
        <v>0.99211910579242757</v>
      </c>
      <c r="J102" s="332">
        <f>F102*0.1</f>
        <v>0.28346260165497933</v>
      </c>
      <c r="K102" s="332">
        <f>F102*0.1</f>
        <v>0.28346260165497933</v>
      </c>
      <c r="L102" s="332">
        <f>F102*0.35</f>
        <v>0.99211910579242757</v>
      </c>
      <c r="M102" s="332">
        <f>F102*0.1</f>
        <v>0.28346260165497933</v>
      </c>
      <c r="N102" s="332">
        <f t="shared" si="27"/>
        <v>2.8346260165497932</v>
      </c>
      <c r="O102" s="190"/>
      <c r="P102" s="1">
        <f>1-Q102</f>
        <v>0.25</v>
      </c>
      <c r="Q102" s="1">
        <f>12/16</f>
        <v>0.75</v>
      </c>
      <c r="R102" s="1" t="s">
        <v>660</v>
      </c>
      <c r="S102" s="190"/>
      <c r="T102" s="22">
        <f t="shared" si="30"/>
        <v>0.35</v>
      </c>
      <c r="U102" s="22">
        <f t="shared" si="31"/>
        <v>0.1</v>
      </c>
      <c r="V102" s="22">
        <f t="shared" si="32"/>
        <v>0.1</v>
      </c>
      <c r="W102" s="22">
        <f t="shared" si="33"/>
        <v>0.35</v>
      </c>
      <c r="X102" s="22">
        <f t="shared" si="34"/>
        <v>0.1</v>
      </c>
      <c r="Y102" s="336"/>
    </row>
    <row r="103" spans="1:25">
      <c r="A103" s="552"/>
      <c r="B103" s="553"/>
      <c r="C103" s="17" t="s">
        <v>94</v>
      </c>
      <c r="D103" s="190">
        <f t="shared" si="28"/>
        <v>1.178000000000001</v>
      </c>
      <c r="E103" s="190">
        <f>L12</f>
        <v>1</v>
      </c>
      <c r="F103" s="190">
        <f t="shared" si="29"/>
        <v>1.178000000000001</v>
      </c>
      <c r="G103" s="18"/>
      <c r="H103" s="18"/>
      <c r="I103" s="332">
        <f>F103*Q97</f>
        <v>0.12510360000000012</v>
      </c>
      <c r="J103" s="332">
        <v>0</v>
      </c>
      <c r="K103" s="332">
        <v>0</v>
      </c>
      <c r="L103" s="332">
        <f>F103-I103</f>
        <v>1.052896400000001</v>
      </c>
      <c r="M103" s="332">
        <v>0</v>
      </c>
      <c r="N103" s="332">
        <f t="shared" si="27"/>
        <v>1.178000000000001</v>
      </c>
      <c r="O103" s="190"/>
      <c r="P103" s="18"/>
      <c r="Q103" s="18"/>
      <c r="R103" s="18"/>
      <c r="S103" s="190"/>
      <c r="T103" s="22">
        <f t="shared" si="30"/>
        <v>0.1062</v>
      </c>
      <c r="U103" s="22">
        <f t="shared" si="31"/>
        <v>0</v>
      </c>
      <c r="V103" s="22">
        <f t="shared" si="32"/>
        <v>0</v>
      </c>
      <c r="W103" s="22">
        <f t="shared" si="33"/>
        <v>0.89380000000000004</v>
      </c>
      <c r="X103" s="22">
        <f t="shared" si="34"/>
        <v>0</v>
      </c>
      <c r="Y103" s="336"/>
    </row>
    <row r="104" spans="1:25">
      <c r="A104" s="552"/>
      <c r="B104" s="553"/>
      <c r="C104" s="17" t="s">
        <v>95</v>
      </c>
      <c r="D104" s="190">
        <f t="shared" si="28"/>
        <v>0.41900000000000043</v>
      </c>
      <c r="E104" s="190">
        <f>M12</f>
        <v>1</v>
      </c>
      <c r="F104" s="190">
        <f t="shared" si="29"/>
        <v>0.41900000000000043</v>
      </c>
      <c r="G104" s="18"/>
      <c r="H104" s="18"/>
      <c r="I104" s="332">
        <f>F104*0.1</f>
        <v>4.1900000000000048E-2</v>
      </c>
      <c r="J104" s="332">
        <v>0</v>
      </c>
      <c r="K104" s="332">
        <v>0</v>
      </c>
      <c r="L104" s="332">
        <f>F104*0.9</f>
        <v>0.37710000000000038</v>
      </c>
      <c r="M104" s="332">
        <v>0</v>
      </c>
      <c r="N104" s="332">
        <f t="shared" si="27"/>
        <v>0.41900000000000043</v>
      </c>
      <c r="O104" s="190"/>
      <c r="P104" s="18"/>
      <c r="Q104" s="18"/>
      <c r="R104" s="18"/>
      <c r="S104" s="190"/>
      <c r="T104" s="22">
        <f t="shared" si="30"/>
        <v>0.10000000000000002</v>
      </c>
      <c r="U104" s="22">
        <f t="shared" si="31"/>
        <v>0</v>
      </c>
      <c r="V104" s="22">
        <f t="shared" si="32"/>
        <v>0</v>
      </c>
      <c r="W104" s="22">
        <f t="shared" si="33"/>
        <v>0.9</v>
      </c>
      <c r="X104" s="22">
        <f t="shared" si="34"/>
        <v>0</v>
      </c>
      <c r="Y104" s="336"/>
    </row>
    <row r="105" spans="1:25">
      <c r="A105" s="552"/>
      <c r="B105" s="553"/>
      <c r="C105" s="322" t="s">
        <v>513</v>
      </c>
      <c r="D105" s="190">
        <f>SUM(D95:D104)</f>
        <v>1079.3758568818148</v>
      </c>
      <c r="E105" s="18"/>
      <c r="F105" s="190">
        <f>SUM(F95:F104)</f>
        <v>121.05424511599608</v>
      </c>
      <c r="G105" s="190"/>
      <c r="H105" s="18"/>
      <c r="I105" s="332">
        <f t="shared" ref="I105:N105" si="35">SUM(I95:I104)</f>
        <v>11.595727609827637</v>
      </c>
      <c r="J105" s="332">
        <f t="shared" si="35"/>
        <v>17.383752305434232</v>
      </c>
      <c r="K105" s="332">
        <f t="shared" si="35"/>
        <v>7.981020694278345</v>
      </c>
      <c r="L105" s="332">
        <f t="shared" si="35"/>
        <v>33.018129210913607</v>
      </c>
      <c r="M105" s="332">
        <f t="shared" si="35"/>
        <v>51.075615295542285</v>
      </c>
      <c r="N105" s="332">
        <f t="shared" si="35"/>
        <v>121.0542451159961</v>
      </c>
      <c r="O105" s="18"/>
      <c r="P105" s="190"/>
      <c r="Q105" s="190"/>
      <c r="R105" s="190"/>
      <c r="S105" s="190"/>
      <c r="T105" s="190"/>
      <c r="U105" s="18"/>
      <c r="V105" s="18"/>
      <c r="W105" s="18"/>
      <c r="X105" s="187"/>
      <c r="Y105" s="19"/>
    </row>
    <row r="106" spans="1:25" ht="15" thickBot="1">
      <c r="A106" s="554"/>
      <c r="B106" s="555"/>
      <c r="C106" s="331"/>
      <c r="D106" s="202"/>
      <c r="E106" s="21"/>
      <c r="F106" s="202"/>
      <c r="G106" s="21"/>
      <c r="H106" s="21"/>
      <c r="I106" s="333"/>
      <c r="J106" s="333"/>
      <c r="K106" s="333"/>
      <c r="L106" s="333"/>
      <c r="M106" s="333"/>
      <c r="N106" s="333" t="s">
        <v>645</v>
      </c>
      <c r="O106" s="202" t="s">
        <v>84</v>
      </c>
      <c r="P106" s="202"/>
      <c r="Q106" s="202"/>
      <c r="R106" s="202"/>
      <c r="S106" s="202"/>
      <c r="T106" s="202"/>
      <c r="U106" s="202"/>
      <c r="V106" s="21"/>
      <c r="W106" s="21"/>
      <c r="X106" s="298"/>
      <c r="Y106" s="28"/>
    </row>
    <row r="107" spans="1:25">
      <c r="A107" s="294"/>
      <c r="B107" s="294"/>
      <c r="C107" s="18"/>
      <c r="D107" s="18"/>
      <c r="E107" s="18"/>
      <c r="F107" s="296"/>
      <c r="G107" s="18"/>
      <c r="H107" s="18"/>
      <c r="I107" s="18"/>
      <c r="J107" s="18"/>
      <c r="K107" s="18"/>
      <c r="L107" s="18"/>
      <c r="M107" s="18"/>
      <c r="N107" s="190"/>
      <c r="O107" s="190"/>
      <c r="P107" s="190"/>
      <c r="Q107" s="190"/>
      <c r="R107" s="190"/>
      <c r="S107" s="190"/>
      <c r="T107" s="329"/>
      <c r="U107" s="18"/>
      <c r="V107" s="18"/>
      <c r="W107" s="18"/>
      <c r="X107" s="18"/>
      <c r="Y107" s="192"/>
    </row>
    <row r="108" spans="1:25" ht="15" thickBot="1">
      <c r="A108" s="285" t="s">
        <v>649</v>
      </c>
      <c r="B108" s="294"/>
      <c r="C108" s="18"/>
      <c r="D108" s="18"/>
      <c r="E108" s="18"/>
      <c r="F108" s="296"/>
      <c r="G108" s="18"/>
      <c r="H108" s="18"/>
      <c r="I108" s="18"/>
      <c r="J108" s="18"/>
      <c r="K108" s="18"/>
      <c r="L108" s="18"/>
      <c r="M108" s="18"/>
      <c r="N108" s="190"/>
      <c r="O108" s="190"/>
      <c r="P108" s="190"/>
      <c r="Q108" s="190"/>
      <c r="R108" s="190"/>
      <c r="S108" s="190"/>
      <c r="T108" s="329"/>
      <c r="U108" s="18"/>
      <c r="V108" s="18"/>
      <c r="W108" s="18"/>
      <c r="X108" s="18"/>
      <c r="Y108" s="192"/>
    </row>
    <row r="109" spans="1:25">
      <c r="A109" s="550" t="s">
        <v>733</v>
      </c>
      <c r="B109" s="551"/>
      <c r="C109" s="299"/>
      <c r="D109" s="15"/>
      <c r="E109" s="15"/>
      <c r="F109" s="15"/>
      <c r="G109" s="15"/>
      <c r="H109" s="15"/>
      <c r="I109" s="14"/>
      <c r="J109" s="14"/>
      <c r="K109" s="14"/>
      <c r="L109" s="14"/>
      <c r="M109" s="14"/>
      <c r="N109" s="330"/>
      <c r="O109" s="14"/>
      <c r="P109" s="14"/>
      <c r="Q109" s="320"/>
      <c r="R109" s="320"/>
      <c r="S109" s="320"/>
      <c r="T109" s="15"/>
      <c r="U109" s="330"/>
      <c r="V109" s="330"/>
      <c r="W109" s="330"/>
      <c r="X109" s="330"/>
      <c r="Y109" s="335"/>
    </row>
    <row r="110" spans="1:25">
      <c r="A110" s="552"/>
      <c r="B110" s="553"/>
      <c r="C110" s="339"/>
      <c r="D110" s="337" t="s">
        <v>650</v>
      </c>
      <c r="E110" s="187" t="s">
        <v>84</v>
      </c>
      <c r="F110" s="302" t="s">
        <v>503</v>
      </c>
      <c r="G110" s="302" t="s">
        <v>608</v>
      </c>
      <c r="H110" s="302" t="s">
        <v>119</v>
      </c>
      <c r="I110" s="340" t="s">
        <v>634</v>
      </c>
      <c r="J110" s="187"/>
      <c r="K110" s="187"/>
      <c r="L110" s="187"/>
      <c r="M110" s="187"/>
      <c r="N110" s="337"/>
      <c r="O110" s="18"/>
      <c r="P110" s="18"/>
      <c r="Q110" s="18"/>
      <c r="R110" s="18"/>
      <c r="S110" s="18"/>
      <c r="T110" s="187"/>
      <c r="U110" s="187"/>
      <c r="V110" s="187"/>
      <c r="W110" s="187"/>
      <c r="X110" s="187"/>
      <c r="Y110" s="336"/>
    </row>
    <row r="111" spans="1:25">
      <c r="A111" s="552"/>
      <c r="B111" s="553"/>
      <c r="C111" s="17" t="s">
        <v>632</v>
      </c>
      <c r="D111" s="190">
        <v>0</v>
      </c>
      <c r="E111" s="190"/>
      <c r="F111" s="245">
        <v>1.4999999999999999E-2</v>
      </c>
      <c r="G111" s="245">
        <v>1.4999999999999999E-2</v>
      </c>
      <c r="H111" s="249">
        <f>0.24+0.73</f>
        <v>0.97</v>
      </c>
      <c r="I111" s="332">
        <f>SUM(F111:H111)</f>
        <v>1</v>
      </c>
      <c r="J111" s="271"/>
      <c r="K111" s="271"/>
      <c r="L111" s="271"/>
      <c r="M111" s="271"/>
      <c r="N111" s="271"/>
      <c r="O111" s="190"/>
      <c r="P111" s="190"/>
      <c r="Q111" s="190"/>
      <c r="R111" s="190"/>
      <c r="S111" s="190"/>
      <c r="T111" s="190"/>
      <c r="U111" s="190"/>
      <c r="V111" s="190"/>
      <c r="W111" s="190"/>
      <c r="X111" s="190"/>
      <c r="Y111" s="336"/>
    </row>
    <row r="112" spans="1:25">
      <c r="A112" s="552"/>
      <c r="B112" s="553"/>
      <c r="C112" s="17" t="s">
        <v>86</v>
      </c>
      <c r="D112" s="190">
        <f>'A2-1 EV-ICEV composition'!D39</f>
        <v>46.9498924563404</v>
      </c>
      <c r="E112" s="190"/>
      <c r="F112" s="245">
        <v>1.4999999999999999E-2</v>
      </c>
      <c r="G112" s="245">
        <v>1.4999999999999999E-2</v>
      </c>
      <c r="H112" s="249">
        <f>0.24+0.73</f>
        <v>0.97</v>
      </c>
      <c r="I112" s="332">
        <f t="shared" ref="I112:I121" si="36">SUM(F112:H112)</f>
        <v>1</v>
      </c>
      <c r="J112" s="271"/>
      <c r="K112" s="271"/>
      <c r="L112" s="271"/>
      <c r="M112" s="271"/>
      <c r="N112" s="271"/>
      <c r="O112" s="190"/>
      <c r="P112" s="190"/>
      <c r="Q112" s="190"/>
      <c r="R112" s="190"/>
      <c r="S112" s="190"/>
      <c r="T112" s="190"/>
      <c r="U112" s="190"/>
      <c r="V112" s="190"/>
      <c r="W112" s="190"/>
      <c r="X112" s="190"/>
      <c r="Y112" s="336"/>
    </row>
    <row r="113" spans="1:25">
      <c r="A113" s="552"/>
      <c r="B113" s="553"/>
      <c r="C113" s="17" t="s">
        <v>93</v>
      </c>
      <c r="D113" s="190">
        <f>'A2-1 EV-ICEV composition'!D49</f>
        <v>0.65870942655685827</v>
      </c>
      <c r="E113" s="190"/>
      <c r="F113" s="249">
        <v>0.5</v>
      </c>
      <c r="G113" s="249">
        <v>0.5</v>
      </c>
      <c r="H113" s="249">
        <v>0</v>
      </c>
      <c r="I113" s="332">
        <f t="shared" si="36"/>
        <v>1</v>
      </c>
      <c r="J113" s="271"/>
      <c r="K113" s="271"/>
      <c r="L113" s="271"/>
      <c r="M113" s="271"/>
      <c r="N113" s="271"/>
      <c r="O113" s="190"/>
      <c r="P113" s="190"/>
      <c r="Q113" s="190"/>
      <c r="R113" s="18"/>
      <c r="S113" s="190"/>
      <c r="T113" s="190"/>
      <c r="U113" s="190"/>
      <c r="V113" s="190"/>
      <c r="W113" s="190"/>
      <c r="X113" s="190"/>
      <c r="Y113" s="336"/>
    </row>
    <row r="114" spans="1:25">
      <c r="A114" s="552"/>
      <c r="B114" s="553"/>
      <c r="C114" s="17" t="s">
        <v>88</v>
      </c>
      <c r="D114" s="190">
        <v>0</v>
      </c>
      <c r="E114" s="190"/>
      <c r="F114" s="249">
        <v>0.98</v>
      </c>
      <c r="G114" s="249">
        <v>0.01</v>
      </c>
      <c r="H114" s="249">
        <v>0.01</v>
      </c>
      <c r="I114" s="332">
        <f t="shared" si="36"/>
        <v>1</v>
      </c>
      <c r="J114" s="271"/>
      <c r="K114" s="271"/>
      <c r="L114" s="271"/>
      <c r="M114" s="271"/>
      <c r="N114" s="271"/>
      <c r="O114" s="190"/>
      <c r="P114" s="190"/>
      <c r="Q114" s="190"/>
      <c r="R114" s="190"/>
      <c r="S114" s="190"/>
      <c r="T114" s="190"/>
      <c r="U114" s="190"/>
      <c r="V114" s="190"/>
      <c r="W114" s="190"/>
      <c r="X114" s="190"/>
      <c r="Y114" s="336"/>
    </row>
    <row r="115" spans="1:25">
      <c r="A115" s="552"/>
      <c r="B115" s="553"/>
      <c r="C115" s="17" t="s">
        <v>89</v>
      </c>
      <c r="D115" s="190">
        <v>0</v>
      </c>
      <c r="E115" s="190"/>
      <c r="F115" s="249">
        <v>0.99</v>
      </c>
      <c r="G115" s="249">
        <v>0.01</v>
      </c>
      <c r="H115" s="249">
        <v>0</v>
      </c>
      <c r="I115" s="332">
        <f t="shared" si="36"/>
        <v>1</v>
      </c>
      <c r="J115" s="271"/>
      <c r="K115" s="271"/>
      <c r="L115" s="271"/>
      <c r="M115" s="271"/>
      <c r="N115" s="271"/>
      <c r="O115" s="190"/>
      <c r="P115" s="18"/>
      <c r="Q115" s="18"/>
      <c r="R115" s="190"/>
      <c r="S115" s="190"/>
      <c r="T115" s="190"/>
      <c r="U115" s="190"/>
      <c r="V115" s="190"/>
      <c r="W115" s="190"/>
      <c r="X115" s="190"/>
      <c r="Y115" s="336"/>
    </row>
    <row r="116" spans="1:25">
      <c r="A116" s="552"/>
      <c r="B116" s="553"/>
      <c r="C116" s="17" t="s">
        <v>213</v>
      </c>
      <c r="D116" s="190">
        <v>0</v>
      </c>
      <c r="E116" s="190"/>
      <c r="F116" s="249">
        <v>0.98</v>
      </c>
      <c r="G116" s="249">
        <v>0.01</v>
      </c>
      <c r="H116" s="249">
        <v>0.01</v>
      </c>
      <c r="I116" s="332">
        <f t="shared" si="36"/>
        <v>1</v>
      </c>
      <c r="J116" s="271"/>
      <c r="K116" s="271"/>
      <c r="L116" s="271"/>
      <c r="M116" s="271"/>
      <c r="N116" s="271"/>
      <c r="O116" s="190"/>
      <c r="P116" s="187"/>
      <c r="Q116" s="187"/>
      <c r="R116" s="18"/>
      <c r="S116" s="190"/>
      <c r="T116" s="190"/>
      <c r="U116" s="190"/>
      <c r="V116" s="190"/>
      <c r="W116" s="190"/>
      <c r="X116" s="190"/>
      <c r="Y116" s="336"/>
    </row>
    <row r="117" spans="1:25">
      <c r="A117" s="552"/>
      <c r="B117" s="553"/>
      <c r="C117" s="17" t="s">
        <v>13</v>
      </c>
      <c r="D117" s="190">
        <v>0</v>
      </c>
      <c r="E117" s="190"/>
      <c r="F117" s="249">
        <v>0.98</v>
      </c>
      <c r="G117" s="249">
        <v>0.01</v>
      </c>
      <c r="H117" s="249">
        <v>0.01</v>
      </c>
      <c r="I117" s="332">
        <f t="shared" si="36"/>
        <v>1</v>
      </c>
      <c r="J117" s="271"/>
      <c r="K117" s="271"/>
      <c r="L117" s="271"/>
      <c r="M117" s="271"/>
      <c r="N117" s="271"/>
      <c r="O117" s="190"/>
      <c r="P117" s="18"/>
      <c r="Q117" s="18"/>
      <c r="R117" s="18"/>
      <c r="S117" s="190"/>
      <c r="T117" s="190"/>
      <c r="U117" s="190"/>
      <c r="V117" s="190"/>
      <c r="W117" s="190"/>
      <c r="X117" s="190"/>
      <c r="Y117" s="336"/>
    </row>
    <row r="118" spans="1:25">
      <c r="A118" s="552"/>
      <c r="B118" s="553"/>
      <c r="C118" s="17" t="s">
        <v>91</v>
      </c>
      <c r="D118" s="190">
        <v>0</v>
      </c>
      <c r="E118" s="190"/>
      <c r="F118" s="249">
        <v>0.1</v>
      </c>
      <c r="G118" s="249">
        <v>0.8</v>
      </c>
      <c r="H118" s="249">
        <v>0.1</v>
      </c>
      <c r="I118" s="332">
        <f t="shared" si="36"/>
        <v>1</v>
      </c>
      <c r="J118" s="271"/>
      <c r="K118" s="271"/>
      <c r="L118" s="271"/>
      <c r="M118" s="271"/>
      <c r="N118" s="271"/>
      <c r="O118" s="190"/>
      <c r="P118" s="18"/>
      <c r="Q118" s="18"/>
      <c r="R118" s="18"/>
      <c r="S118" s="190"/>
      <c r="T118" s="190"/>
      <c r="U118" s="190"/>
      <c r="V118" s="190"/>
      <c r="W118" s="190"/>
      <c r="X118" s="190"/>
      <c r="Y118" s="336"/>
    </row>
    <row r="119" spans="1:25">
      <c r="A119" s="552"/>
      <c r="B119" s="553"/>
      <c r="C119" s="17" t="s">
        <v>94</v>
      </c>
      <c r="D119" s="190">
        <f>'A2-1 EV-ICEV composition'!D40</f>
        <v>18.105263157994699</v>
      </c>
      <c r="E119" s="190"/>
      <c r="F119" s="249">
        <v>0.01</v>
      </c>
      <c r="G119" s="249">
        <v>0.99</v>
      </c>
      <c r="H119" s="249">
        <v>0</v>
      </c>
      <c r="I119" s="332">
        <f t="shared" si="36"/>
        <v>1</v>
      </c>
      <c r="J119" s="271"/>
      <c r="K119" s="271"/>
      <c r="L119" s="271"/>
      <c r="M119" s="271"/>
      <c r="N119" s="271"/>
      <c r="O119" s="190"/>
      <c r="P119" s="18"/>
      <c r="Q119" s="18"/>
      <c r="R119" s="18"/>
      <c r="S119" s="190"/>
      <c r="T119" s="190"/>
      <c r="U119" s="190"/>
      <c r="V119" s="190"/>
      <c r="W119" s="190"/>
      <c r="X119" s="190"/>
      <c r="Y119" s="336"/>
    </row>
    <row r="120" spans="1:25">
      <c r="A120" s="552"/>
      <c r="B120" s="553"/>
      <c r="C120" s="17" t="s">
        <v>95</v>
      </c>
      <c r="D120" s="190">
        <f>'A2-1 EV-ICEV composition'!D41</f>
        <v>8.3284210527315796</v>
      </c>
      <c r="E120" s="190"/>
      <c r="F120" s="249">
        <v>0.01</v>
      </c>
      <c r="G120" s="249">
        <v>0.99</v>
      </c>
      <c r="H120" s="249">
        <v>0</v>
      </c>
      <c r="I120" s="332">
        <f t="shared" si="36"/>
        <v>1</v>
      </c>
      <c r="J120" s="271"/>
      <c r="K120" s="271"/>
      <c r="L120" s="271"/>
      <c r="M120" s="271"/>
      <c r="N120" s="271"/>
      <c r="O120" s="190"/>
      <c r="P120" s="18"/>
      <c r="Q120" s="18"/>
      <c r="R120" s="18"/>
      <c r="S120" s="190"/>
      <c r="T120" s="190"/>
      <c r="U120" s="190"/>
      <c r="V120" s="190"/>
      <c r="W120" s="190"/>
      <c r="X120" s="190"/>
      <c r="Y120" s="336"/>
    </row>
    <row r="121" spans="1:25">
      <c r="A121" s="552"/>
      <c r="B121" s="553"/>
      <c r="C121" s="338" t="s">
        <v>92</v>
      </c>
      <c r="D121" s="18">
        <f>'A2-1 EV-ICEV composition'!D48</f>
        <v>11.24087636419279</v>
      </c>
      <c r="E121" s="18"/>
      <c r="F121" s="249">
        <v>1</v>
      </c>
      <c r="G121" s="249">
        <v>0</v>
      </c>
      <c r="H121" s="249">
        <v>0</v>
      </c>
      <c r="I121" s="332">
        <f t="shared" si="36"/>
        <v>1</v>
      </c>
      <c r="J121" s="271"/>
      <c r="K121" s="271"/>
      <c r="L121" s="271"/>
      <c r="M121" s="271"/>
      <c r="N121" s="271"/>
      <c r="O121" s="18"/>
      <c r="P121" s="190"/>
      <c r="Q121" s="190"/>
      <c r="R121" s="190"/>
      <c r="S121" s="190"/>
      <c r="T121" s="190"/>
      <c r="U121" s="18"/>
      <c r="V121" s="18"/>
      <c r="W121" s="18"/>
      <c r="X121" s="187"/>
      <c r="Y121" s="19"/>
    </row>
    <row r="122" spans="1:25" ht="15" thickBot="1">
      <c r="A122" s="554"/>
      <c r="B122" s="555"/>
      <c r="C122" s="331" t="s">
        <v>513</v>
      </c>
      <c r="D122" s="202">
        <f>SUM(D111:D120)</f>
        <v>74.042286093623545</v>
      </c>
      <c r="E122" s="21"/>
      <c r="F122" s="202"/>
      <c r="G122" s="21"/>
      <c r="H122" s="21"/>
      <c r="I122" s="333"/>
      <c r="J122" s="333"/>
      <c r="K122" s="333"/>
      <c r="L122" s="333"/>
      <c r="M122" s="333"/>
      <c r="N122" s="333"/>
      <c r="O122" s="202"/>
      <c r="P122" s="202"/>
      <c r="Q122" s="202"/>
      <c r="R122" s="202"/>
      <c r="S122" s="202"/>
      <c r="T122" s="202"/>
      <c r="U122" s="202"/>
      <c r="V122" s="21"/>
      <c r="W122" s="21"/>
      <c r="X122" s="298"/>
      <c r="Y122" s="28"/>
    </row>
    <row r="123" spans="1:25">
      <c r="A123" s="294"/>
      <c r="B123" s="294"/>
      <c r="C123" s="18"/>
      <c r="D123" s="18"/>
      <c r="E123" s="18"/>
      <c r="F123" s="296"/>
      <c r="G123" s="18"/>
      <c r="H123" s="18"/>
      <c r="I123" s="18"/>
      <c r="J123" s="18"/>
      <c r="K123" s="18"/>
      <c r="L123" s="18"/>
      <c r="M123" s="18"/>
      <c r="N123" s="190"/>
      <c r="O123" s="190"/>
      <c r="P123" s="190"/>
      <c r="Q123" s="190"/>
      <c r="R123" s="190"/>
      <c r="S123" s="190"/>
      <c r="T123" s="329"/>
      <c r="U123" s="18"/>
      <c r="V123" s="18"/>
      <c r="W123" s="18"/>
      <c r="X123" s="18"/>
      <c r="Y123" s="192"/>
    </row>
    <row r="124" spans="1:25" ht="15" thickBot="1">
      <c r="A124" s="285" t="s">
        <v>646</v>
      </c>
      <c r="B124" s="294"/>
      <c r="C124" s="18"/>
      <c r="D124" s="18"/>
      <c r="E124" s="18"/>
      <c r="F124" s="296"/>
      <c r="G124" s="18"/>
      <c r="H124" s="18"/>
      <c r="I124" s="18"/>
      <c r="J124" s="18"/>
      <c r="K124" s="18"/>
      <c r="L124" s="18"/>
      <c r="M124" s="18"/>
      <c r="N124" s="190"/>
      <c r="O124" s="190"/>
      <c r="P124" s="190"/>
      <c r="Q124" s="190"/>
      <c r="R124" s="190"/>
      <c r="S124" s="190"/>
      <c r="T124" s="329"/>
      <c r="U124" s="18"/>
      <c r="V124" s="18"/>
      <c r="W124" s="18"/>
      <c r="X124" s="18"/>
      <c r="Y124" s="192"/>
    </row>
    <row r="125" spans="1:25">
      <c r="A125" s="550" t="s">
        <v>663</v>
      </c>
      <c r="B125" s="551"/>
      <c r="C125" s="299"/>
      <c r="D125" s="15"/>
      <c r="E125" s="15"/>
      <c r="F125" s="15"/>
      <c r="G125" s="15"/>
      <c r="H125" s="15"/>
      <c r="I125" s="14"/>
      <c r="J125" s="14"/>
      <c r="K125" s="14"/>
      <c r="L125" s="14"/>
      <c r="M125" s="14"/>
      <c r="N125" s="330"/>
      <c r="O125" s="14"/>
      <c r="P125" s="14"/>
      <c r="Q125" s="320"/>
      <c r="R125" s="320"/>
      <c r="S125" s="320"/>
      <c r="T125" s="15"/>
      <c r="U125" s="330"/>
      <c r="V125" s="330"/>
      <c r="W125" s="330"/>
      <c r="X125" s="330"/>
      <c r="Y125" s="335"/>
    </row>
    <row r="126" spans="1:25">
      <c r="A126" s="552"/>
      <c r="B126" s="553"/>
      <c r="C126" s="321"/>
      <c r="D126" s="187" t="s">
        <v>655</v>
      </c>
      <c r="E126" s="18"/>
      <c r="F126" s="332" t="s">
        <v>530</v>
      </c>
      <c r="G126" s="302" t="s">
        <v>531</v>
      </c>
      <c r="H126" s="302" t="s">
        <v>532</v>
      </c>
      <c r="I126" s="340" t="s">
        <v>634</v>
      </c>
      <c r="J126" s="271"/>
      <c r="K126" s="332" t="s">
        <v>530</v>
      </c>
      <c r="L126" s="302" t="s">
        <v>531</v>
      </c>
      <c r="M126" s="302" t="s">
        <v>532</v>
      </c>
      <c r="N126" s="340" t="s">
        <v>634</v>
      </c>
      <c r="O126" s="18"/>
      <c r="P126" s="18"/>
      <c r="Q126" s="18"/>
      <c r="R126" s="18"/>
      <c r="S126" s="18"/>
      <c r="T126" s="187"/>
      <c r="U126" s="187"/>
      <c r="V126" s="187"/>
      <c r="W126" s="187"/>
      <c r="X126" s="187"/>
      <c r="Y126" s="336"/>
    </row>
    <row r="127" spans="1:25" ht="15" thickBot="1">
      <c r="A127" s="552"/>
      <c r="B127" s="553"/>
      <c r="C127" s="17" t="s">
        <v>632</v>
      </c>
      <c r="D127" s="190">
        <f>Q63+D111</f>
        <v>154.9791453411309</v>
      </c>
      <c r="E127" s="190"/>
      <c r="F127" s="332">
        <f>D127*$U$130*$T$133</f>
        <v>103.33901950184074</v>
      </c>
      <c r="G127" s="332">
        <f>D127*U129</f>
        <v>17.193786005343227</v>
      </c>
      <c r="H127" s="332">
        <f>D127*U130*U133</f>
        <v>34.446339833946915</v>
      </c>
      <c r="I127" s="332">
        <f>SUM(F127:H127)</f>
        <v>154.97914534113087</v>
      </c>
      <c r="J127" s="271"/>
      <c r="K127" s="332">
        <f>F127/D127</f>
        <v>0.6667930660888407</v>
      </c>
      <c r="L127" s="332">
        <f>G127/D127</f>
        <v>0.11094257854821231</v>
      </c>
      <c r="M127" s="332">
        <f>H127/D127</f>
        <v>0.22226435536294689</v>
      </c>
      <c r="N127" s="332">
        <f>SUM(K127:M127)</f>
        <v>0.99999999999999989</v>
      </c>
      <c r="O127" s="190"/>
      <c r="P127" s="190"/>
      <c r="Q127" s="190"/>
      <c r="R127" s="190"/>
      <c r="S127" s="190"/>
      <c r="T127" s="190"/>
      <c r="U127" s="190"/>
      <c r="V127" s="190"/>
      <c r="W127" s="190"/>
      <c r="X127" s="190"/>
      <c r="Y127" s="336"/>
    </row>
    <row r="128" spans="1:25">
      <c r="A128" s="552"/>
      <c r="B128" s="553"/>
      <c r="C128" s="17" t="s">
        <v>86</v>
      </c>
      <c r="D128" s="190">
        <f t="shared" ref="D128:D135" si="37">Q64+D112</f>
        <v>682.46177957776626</v>
      </c>
      <c r="E128" s="190"/>
      <c r="F128" s="332">
        <f>D128*$U$130*$T$133</f>
        <v>455.06078249310536</v>
      </c>
      <c r="G128" s="332">
        <f>D128*U129</f>
        <v>75.714069586959099</v>
      </c>
      <c r="H128" s="332">
        <f>D128*U130*U133</f>
        <v>151.68692749770179</v>
      </c>
      <c r="I128" s="332">
        <f t="shared" ref="I128:I137" si="38">SUM(F128:H128)</f>
        <v>682.46177957776626</v>
      </c>
      <c r="J128" s="271"/>
      <c r="K128" s="332">
        <f t="shared" ref="K128:K135" si="39">F128/D128</f>
        <v>0.6667930660888407</v>
      </c>
      <c r="L128" s="332">
        <f t="shared" ref="L128:L136" si="40">G128/D128</f>
        <v>0.11094257854821232</v>
      </c>
      <c r="M128" s="332">
        <f t="shared" ref="M128:M136" si="41">H128/D128</f>
        <v>0.22226435536294692</v>
      </c>
      <c r="N128" s="332">
        <f t="shared" ref="N128:N136" si="42">SUM(K128:M128)</f>
        <v>1</v>
      </c>
      <c r="O128" s="190"/>
      <c r="P128" s="190"/>
      <c r="Q128" s="61"/>
      <c r="R128" s="15" t="s">
        <v>533</v>
      </c>
      <c r="S128" s="15" t="s">
        <v>534</v>
      </c>
      <c r="T128" s="15" t="s">
        <v>535</v>
      </c>
      <c r="U128" s="15" t="s">
        <v>657</v>
      </c>
      <c r="V128" s="16"/>
      <c r="W128" s="190"/>
      <c r="X128" s="190"/>
      <c r="Y128" s="336"/>
    </row>
    <row r="129" spans="1:25">
      <c r="A129" s="552"/>
      <c r="B129" s="553"/>
      <c r="C129" s="17" t="s">
        <v>93</v>
      </c>
      <c r="D129" s="190">
        <f t="shared" si="37"/>
        <v>0.65870942655685827</v>
      </c>
      <c r="E129" s="190"/>
      <c r="F129" s="332">
        <v>0</v>
      </c>
      <c r="G129" s="332">
        <f>D129</f>
        <v>0.65870942655685827</v>
      </c>
      <c r="H129" s="332">
        <v>0</v>
      </c>
      <c r="I129" s="332">
        <f t="shared" si="38"/>
        <v>0.65870942655685827</v>
      </c>
      <c r="J129" s="271"/>
      <c r="K129" s="332">
        <f>F129/D129</f>
        <v>0</v>
      </c>
      <c r="L129" s="332">
        <f>G129/D129</f>
        <v>1</v>
      </c>
      <c r="M129" s="332">
        <f t="shared" si="41"/>
        <v>0</v>
      </c>
      <c r="N129" s="332">
        <f t="shared" si="42"/>
        <v>1</v>
      </c>
      <c r="O129" s="190"/>
      <c r="P129" s="190"/>
      <c r="Q129" s="17" t="s">
        <v>654</v>
      </c>
      <c r="R129" s="18">
        <v>461.5</v>
      </c>
      <c r="S129" s="18">
        <v>410.3</v>
      </c>
      <c r="T129" s="18">
        <f>R129-S129</f>
        <v>51.199999999999989</v>
      </c>
      <c r="U129" s="188">
        <f>T129/R129</f>
        <v>0.11094257854821232</v>
      </c>
      <c r="V129" s="19"/>
      <c r="W129" s="190" t="s">
        <v>84</v>
      </c>
      <c r="X129" s="190"/>
      <c r="Y129" s="336"/>
    </row>
    <row r="130" spans="1:25" ht="15" thickBot="1">
      <c r="A130" s="552"/>
      <c r="B130" s="553"/>
      <c r="C130" s="17" t="s">
        <v>88</v>
      </c>
      <c r="D130" s="190">
        <f t="shared" si="37"/>
        <v>2.1146404078521703</v>
      </c>
      <c r="E130" s="190"/>
      <c r="F130" s="332">
        <f>D130*T133</f>
        <v>1.5859803058891278</v>
      </c>
      <c r="G130" s="332">
        <v>0</v>
      </c>
      <c r="H130" s="332">
        <f>D130*U133</f>
        <v>0.52866010196304258</v>
      </c>
      <c r="I130" s="332">
        <f t="shared" si="38"/>
        <v>2.1146404078521703</v>
      </c>
      <c r="J130" s="271"/>
      <c r="K130" s="332">
        <f>F130/D130</f>
        <v>0.75</v>
      </c>
      <c r="L130" s="332">
        <f t="shared" si="40"/>
        <v>0</v>
      </c>
      <c r="M130" s="332">
        <f t="shared" si="41"/>
        <v>0.25</v>
      </c>
      <c r="N130" s="332">
        <f t="shared" si="42"/>
        <v>1</v>
      </c>
      <c r="O130" s="190"/>
      <c r="P130" s="190"/>
      <c r="Q130" s="17"/>
      <c r="R130" s="18"/>
      <c r="S130" s="18"/>
      <c r="T130" s="21" t="s">
        <v>656</v>
      </c>
      <c r="U130" s="341">
        <f>1-U129</f>
        <v>0.88905742145178768</v>
      </c>
      <c r="V130" s="19"/>
      <c r="W130" s="190"/>
      <c r="X130" s="190"/>
      <c r="Y130" s="336"/>
    </row>
    <row r="131" spans="1:25" ht="15" thickBot="1">
      <c r="A131" s="552"/>
      <c r="B131" s="553"/>
      <c r="C131" s="17" t="s">
        <v>89</v>
      </c>
      <c r="D131" s="190">
        <f t="shared" si="37"/>
        <v>0</v>
      </c>
      <c r="E131" s="190"/>
      <c r="F131" s="332">
        <v>0</v>
      </c>
      <c r="G131" s="332">
        <f>1*D131</f>
        <v>0</v>
      </c>
      <c r="H131" s="332">
        <v>0</v>
      </c>
      <c r="I131" s="332">
        <f t="shared" si="38"/>
        <v>0</v>
      </c>
      <c r="J131" s="271"/>
      <c r="K131" s="332">
        <v>0</v>
      </c>
      <c r="L131" s="332">
        <v>1</v>
      </c>
      <c r="M131" s="332">
        <v>0</v>
      </c>
      <c r="N131" s="332">
        <f t="shared" si="42"/>
        <v>1</v>
      </c>
      <c r="O131" s="190"/>
      <c r="P131" s="18"/>
      <c r="Q131" s="17"/>
      <c r="R131" s="18"/>
      <c r="S131" s="18"/>
      <c r="T131" s="18"/>
      <c r="U131" s="43"/>
      <c r="V131" s="19"/>
      <c r="W131" s="190"/>
      <c r="X131" s="190"/>
      <c r="Y131" s="336"/>
    </row>
    <row r="132" spans="1:25">
      <c r="A132" s="552"/>
      <c r="B132" s="553"/>
      <c r="C132" s="17" t="s">
        <v>213</v>
      </c>
      <c r="D132" s="190">
        <f t="shared" si="37"/>
        <v>0.13210929246554823</v>
      </c>
      <c r="E132" s="190"/>
      <c r="F132" s="332">
        <v>0</v>
      </c>
      <c r="G132" s="332">
        <f>D132*1</f>
        <v>0.13210929246554823</v>
      </c>
      <c r="H132" s="332">
        <v>0</v>
      </c>
      <c r="I132" s="332">
        <f t="shared" si="38"/>
        <v>0.13210929246554823</v>
      </c>
      <c r="J132" s="271"/>
      <c r="K132" s="332">
        <f t="shared" si="39"/>
        <v>0</v>
      </c>
      <c r="L132" s="332">
        <f t="shared" si="40"/>
        <v>1</v>
      </c>
      <c r="M132" s="332">
        <f t="shared" si="41"/>
        <v>0</v>
      </c>
      <c r="N132" s="332">
        <f t="shared" si="42"/>
        <v>1</v>
      </c>
      <c r="O132" s="190"/>
      <c r="P132" s="187"/>
      <c r="Q132" s="17"/>
      <c r="R132" s="18"/>
      <c r="S132" s="18"/>
      <c r="T132" s="61" t="s">
        <v>528</v>
      </c>
      <c r="U132" s="16" t="s">
        <v>529</v>
      </c>
      <c r="V132" s="19" t="s">
        <v>84</v>
      </c>
      <c r="W132" s="190"/>
      <c r="X132" s="190"/>
      <c r="Y132" s="336"/>
    </row>
    <row r="133" spans="1:25" ht="15" thickBot="1">
      <c r="A133" s="552"/>
      <c r="B133" s="553"/>
      <c r="C133" s="17" t="s">
        <v>13</v>
      </c>
      <c r="D133" s="190">
        <f t="shared" si="37"/>
        <v>0.18386229565436515</v>
      </c>
      <c r="E133" s="190"/>
      <c r="F133" s="332">
        <v>0</v>
      </c>
      <c r="G133" s="332">
        <f>D133*1</f>
        <v>0.18386229565436515</v>
      </c>
      <c r="H133" s="332">
        <v>0</v>
      </c>
      <c r="I133" s="332">
        <f t="shared" si="38"/>
        <v>0.18386229565436515</v>
      </c>
      <c r="J133" s="271"/>
      <c r="K133" s="332">
        <f t="shared" si="39"/>
        <v>0</v>
      </c>
      <c r="L133" s="332">
        <f t="shared" si="40"/>
        <v>1</v>
      </c>
      <c r="M133" s="332">
        <f t="shared" si="41"/>
        <v>0</v>
      </c>
      <c r="N133" s="332">
        <f t="shared" si="42"/>
        <v>1</v>
      </c>
      <c r="O133" s="190"/>
      <c r="P133" s="18"/>
      <c r="Q133" s="20"/>
      <c r="R133" s="21"/>
      <c r="S133" s="21"/>
      <c r="T133" s="20">
        <v>0.75</v>
      </c>
      <c r="U133" s="28">
        <v>0.25</v>
      </c>
      <c r="V133" s="28"/>
      <c r="W133" s="190"/>
      <c r="X133" s="190"/>
      <c r="Y133" s="336"/>
    </row>
    <row r="134" spans="1:25">
      <c r="A134" s="552"/>
      <c r="B134" s="553"/>
      <c r="C134" s="17" t="s">
        <v>91</v>
      </c>
      <c r="D134" s="190">
        <f t="shared" si="37"/>
        <v>0.26068437864989213</v>
      </c>
      <c r="E134" s="190"/>
      <c r="F134" s="332">
        <v>0</v>
      </c>
      <c r="G134" s="332">
        <f>D134*1</f>
        <v>0.26068437864989213</v>
      </c>
      <c r="H134" s="332">
        <v>0</v>
      </c>
      <c r="I134" s="332">
        <f t="shared" si="38"/>
        <v>0.26068437864989213</v>
      </c>
      <c r="J134" s="271"/>
      <c r="K134" s="332">
        <f t="shared" si="39"/>
        <v>0</v>
      </c>
      <c r="L134" s="332">
        <f t="shared" si="40"/>
        <v>1</v>
      </c>
      <c r="M134" s="332">
        <f t="shared" si="41"/>
        <v>0</v>
      </c>
      <c r="N134" s="332">
        <f t="shared" si="42"/>
        <v>1</v>
      </c>
      <c r="O134" s="190"/>
      <c r="P134" s="18"/>
      <c r="Q134" s="18"/>
      <c r="R134" s="18"/>
      <c r="S134" s="18"/>
      <c r="T134" s="43"/>
      <c r="U134" s="18"/>
      <c r="V134" s="18"/>
      <c r="W134" s="190"/>
      <c r="X134" s="190"/>
      <c r="Y134" s="336"/>
    </row>
    <row r="135" spans="1:25">
      <c r="A135" s="552"/>
      <c r="B135" s="553"/>
      <c r="C135" s="17" t="s">
        <v>94</v>
      </c>
      <c r="D135" s="190">
        <f t="shared" si="37"/>
        <v>18.105263157994699</v>
      </c>
      <c r="E135" s="190"/>
      <c r="F135" s="332">
        <v>0</v>
      </c>
      <c r="G135" s="332">
        <f>D135*1</f>
        <v>18.105263157994699</v>
      </c>
      <c r="H135" s="332">
        <v>0</v>
      </c>
      <c r="I135" s="332">
        <f t="shared" si="38"/>
        <v>18.105263157994699</v>
      </c>
      <c r="J135" s="271"/>
      <c r="K135" s="332">
        <f t="shared" si="39"/>
        <v>0</v>
      </c>
      <c r="L135" s="332">
        <f t="shared" si="40"/>
        <v>1</v>
      </c>
      <c r="M135" s="332">
        <f t="shared" si="41"/>
        <v>0</v>
      </c>
      <c r="N135" s="332">
        <f t="shared" si="42"/>
        <v>1</v>
      </c>
      <c r="O135" s="190"/>
      <c r="P135" s="18"/>
      <c r="Q135" s="18"/>
      <c r="R135" s="18"/>
      <c r="S135" s="43"/>
      <c r="T135" s="43"/>
      <c r="U135" s="18"/>
      <c r="V135" s="18"/>
      <c r="W135" s="18"/>
      <c r="X135" s="190"/>
      <c r="Y135" s="336"/>
    </row>
    <row r="136" spans="1:25">
      <c r="A136" s="552"/>
      <c r="B136" s="553"/>
      <c r="C136" s="17" t="s">
        <v>95</v>
      </c>
      <c r="D136" s="190">
        <f>Q72+D120</f>
        <v>8.3284210527315796</v>
      </c>
      <c r="E136" s="190"/>
      <c r="F136" s="332">
        <v>0</v>
      </c>
      <c r="G136" s="332">
        <f>D136*1</f>
        <v>8.3284210527315796</v>
      </c>
      <c r="H136" s="332">
        <v>0</v>
      </c>
      <c r="I136" s="332">
        <f t="shared" si="38"/>
        <v>8.3284210527315796</v>
      </c>
      <c r="J136" s="271"/>
      <c r="K136" s="332">
        <f>F136/D136</f>
        <v>0</v>
      </c>
      <c r="L136" s="332">
        <f t="shared" si="40"/>
        <v>1</v>
      </c>
      <c r="M136" s="332">
        <f t="shared" si="41"/>
        <v>0</v>
      </c>
      <c r="N136" s="332">
        <f t="shared" si="42"/>
        <v>1</v>
      </c>
      <c r="O136" s="190"/>
      <c r="P136" s="18"/>
      <c r="Q136" s="18"/>
      <c r="R136" s="18"/>
      <c r="S136" s="43"/>
      <c r="T136" s="43"/>
      <c r="U136" s="18"/>
      <c r="V136" s="18"/>
      <c r="W136" s="18"/>
      <c r="X136" s="190"/>
      <c r="Y136" s="336"/>
    </row>
    <row r="137" spans="1:25">
      <c r="A137" s="552"/>
      <c r="B137" s="553"/>
      <c r="C137" s="338" t="s">
        <v>92</v>
      </c>
      <c r="D137" s="190">
        <f>D121</f>
        <v>11.24087636419279</v>
      </c>
      <c r="E137" s="18"/>
      <c r="F137" s="279">
        <f>D137*0.9</f>
        <v>10.11678872777351</v>
      </c>
      <c r="G137" s="342">
        <f>D137*0.1</f>
        <v>1.1240876364192791</v>
      </c>
      <c r="H137" s="342">
        <v>0</v>
      </c>
      <c r="I137" s="332">
        <f t="shared" si="38"/>
        <v>11.24087636419279</v>
      </c>
      <c r="J137" s="271"/>
      <c r="K137" s="332">
        <f>F137/D137</f>
        <v>0.9</v>
      </c>
      <c r="L137" s="332">
        <f>G137/D137</f>
        <v>0.1</v>
      </c>
      <c r="M137" s="332">
        <f>H137/D137</f>
        <v>0</v>
      </c>
      <c r="N137" s="332">
        <f>SUM(K137:M137)</f>
        <v>1</v>
      </c>
      <c r="O137" s="18"/>
      <c r="P137" s="190"/>
      <c r="Q137" s="190"/>
      <c r="R137" s="190"/>
      <c r="S137" s="190"/>
      <c r="T137" s="190"/>
      <c r="U137" s="18"/>
      <c r="V137" s="18"/>
      <c r="W137" s="18"/>
      <c r="X137" s="187"/>
      <c r="Y137" s="19"/>
    </row>
    <row r="138" spans="1:25" ht="15" thickBot="1">
      <c r="A138" s="554"/>
      <c r="B138" s="555"/>
      <c r="C138" s="331" t="s">
        <v>513</v>
      </c>
      <c r="D138" s="202">
        <f>SUM(D127:D137)</f>
        <v>878.4654912949951</v>
      </c>
      <c r="E138" s="21"/>
      <c r="F138" s="349">
        <f>SUM(F127:F137)</f>
        <v>570.10257102860874</v>
      </c>
      <c r="G138" s="349">
        <f>SUM(G127:G137)</f>
        <v>121.70099283277455</v>
      </c>
      <c r="H138" s="349">
        <f>SUM(H127:H137)</f>
        <v>186.66192743361177</v>
      </c>
      <c r="I138" s="349">
        <f>SUM(I127:I137)</f>
        <v>878.4654912949951</v>
      </c>
      <c r="J138" s="333"/>
      <c r="K138" s="333"/>
      <c r="L138" s="333"/>
      <c r="M138" s="333"/>
      <c r="N138" s="333"/>
      <c r="O138" s="202"/>
      <c r="P138" s="202"/>
      <c r="Q138" s="202"/>
      <c r="R138" s="202"/>
      <c r="S138" s="202"/>
      <c r="T138" s="202"/>
      <c r="U138" s="202"/>
      <c r="V138" s="21"/>
      <c r="W138" s="21"/>
      <c r="X138" s="298"/>
      <c r="Y138" s="28"/>
    </row>
    <row r="139" spans="1:25">
      <c r="A139" s="294"/>
      <c r="B139" s="294"/>
      <c r="C139" s="18"/>
      <c r="D139" s="18"/>
      <c r="E139" s="18"/>
      <c r="F139" s="296"/>
      <c r="G139" s="18"/>
      <c r="H139" s="18"/>
      <c r="I139" s="18"/>
      <c r="J139" s="18"/>
      <c r="K139" s="18"/>
      <c r="L139" s="18"/>
      <c r="M139" s="18"/>
      <c r="N139" s="190"/>
      <c r="O139" s="190"/>
      <c r="P139" s="190"/>
      <c r="Q139" s="190"/>
      <c r="R139" s="190"/>
      <c r="S139" s="190"/>
      <c r="T139" s="329"/>
      <c r="U139" s="18"/>
      <c r="V139" s="18"/>
      <c r="W139" s="18"/>
      <c r="X139" s="18"/>
      <c r="Y139" s="192"/>
    </row>
    <row r="140" spans="1:25" ht="15" thickBot="1">
      <c r="A140" s="285" t="s">
        <v>647</v>
      </c>
      <c r="B140" s="294"/>
      <c r="C140" s="18"/>
      <c r="D140" s="18"/>
      <c r="E140" s="18"/>
      <c r="F140" s="296"/>
      <c r="G140" s="18"/>
      <c r="H140" s="18"/>
      <c r="I140" s="18"/>
      <c r="J140" s="18"/>
      <c r="K140" s="18"/>
      <c r="L140" s="18"/>
      <c r="M140" s="18"/>
      <c r="N140" s="190"/>
      <c r="O140" s="190"/>
      <c r="P140" s="190"/>
      <c r="Q140" s="190"/>
      <c r="R140" s="190"/>
      <c r="S140" s="190"/>
      <c r="T140" s="329"/>
      <c r="U140" s="18"/>
      <c r="V140" s="18"/>
      <c r="W140" s="18"/>
      <c r="X140" s="18"/>
      <c r="Y140" s="192"/>
    </row>
    <row r="141" spans="1:25">
      <c r="A141" s="550" t="s">
        <v>672</v>
      </c>
      <c r="B141" s="551"/>
      <c r="C141" s="299"/>
      <c r="D141" s="15"/>
      <c r="E141" s="15"/>
      <c r="F141" s="15"/>
      <c r="G141" s="15"/>
      <c r="H141" s="15"/>
      <c r="I141" s="14"/>
      <c r="J141" s="14"/>
      <c r="K141" s="14"/>
      <c r="L141" s="14"/>
      <c r="M141" s="14"/>
      <c r="N141" s="330"/>
      <c r="O141" s="14"/>
      <c r="P141" s="14"/>
      <c r="Q141" s="320"/>
      <c r="R141" s="320"/>
      <c r="S141" s="320"/>
      <c r="T141" s="15"/>
      <c r="U141" s="330"/>
      <c r="V141" s="330"/>
      <c r="W141" s="330"/>
      <c r="X141" s="330"/>
      <c r="Y141" s="335"/>
    </row>
    <row r="142" spans="1:25" ht="15" thickBot="1">
      <c r="A142" s="552"/>
      <c r="B142" s="553"/>
      <c r="C142" s="321"/>
      <c r="D142" s="187" t="s">
        <v>669</v>
      </c>
      <c r="E142" s="18"/>
      <c r="F142" s="22" t="s">
        <v>537</v>
      </c>
      <c r="G142" s="22" t="s">
        <v>538</v>
      </c>
      <c r="H142" s="22" t="s">
        <v>539</v>
      </c>
      <c r="I142" s="187"/>
      <c r="J142" s="187"/>
      <c r="K142" s="187"/>
      <c r="L142" s="22" t="s">
        <v>537</v>
      </c>
      <c r="M142" s="22" t="s">
        <v>538</v>
      </c>
      <c r="N142" s="22" t="s">
        <v>539</v>
      </c>
      <c r="O142" s="18"/>
      <c r="P142" s="18"/>
      <c r="Q142" s="18"/>
      <c r="R142" s="18"/>
      <c r="S142" s="18"/>
      <c r="T142" s="187"/>
      <c r="U142" s="187"/>
      <c r="V142" s="187"/>
      <c r="W142" s="187"/>
      <c r="X142" s="187"/>
      <c r="Y142" s="336"/>
    </row>
    <row r="143" spans="1:25">
      <c r="A143" s="552"/>
      <c r="B143" s="553"/>
      <c r="C143" s="17" t="s">
        <v>632</v>
      </c>
      <c r="D143" s="190">
        <f t="shared" ref="D143:D152" si="43">R79+M95</f>
        <v>1.5611448813203015E-2</v>
      </c>
      <c r="E143" s="190"/>
      <c r="F143" s="190">
        <v>0</v>
      </c>
      <c r="G143" s="190">
        <f>D143*1</f>
        <v>1.5611448813203015E-2</v>
      </c>
      <c r="H143" s="190">
        <v>0</v>
      </c>
      <c r="I143" s="271">
        <f>SUM(F143:H143)</f>
        <v>1.5611448813203015E-2</v>
      </c>
      <c r="J143" s="271"/>
      <c r="K143" s="271"/>
      <c r="L143" s="332">
        <f>F143/D143</f>
        <v>0</v>
      </c>
      <c r="M143" s="332">
        <f>G143/D143</f>
        <v>1</v>
      </c>
      <c r="N143" s="332">
        <f>H143/D143</f>
        <v>0</v>
      </c>
      <c r="O143" s="190"/>
      <c r="P143" s="190"/>
      <c r="Q143" s="61"/>
      <c r="R143" s="15" t="s">
        <v>533</v>
      </c>
      <c r="S143" s="15" t="s">
        <v>534</v>
      </c>
      <c r="T143" s="15" t="s">
        <v>535</v>
      </c>
      <c r="U143" s="15" t="s">
        <v>657</v>
      </c>
      <c r="V143" s="16"/>
      <c r="W143" s="190"/>
      <c r="X143" s="190"/>
      <c r="Y143" s="336"/>
    </row>
    <row r="144" spans="1:25">
      <c r="A144" s="552"/>
      <c r="B144" s="553"/>
      <c r="C144" s="17" t="s">
        <v>86</v>
      </c>
      <c r="D144" s="190">
        <f t="shared" si="43"/>
        <v>6.4016750603057601E-2</v>
      </c>
      <c r="E144" s="190"/>
      <c r="F144" s="190">
        <v>0</v>
      </c>
      <c r="G144" s="190">
        <f>D144*1</f>
        <v>6.4016750603057601E-2</v>
      </c>
      <c r="H144" s="190">
        <v>0</v>
      </c>
      <c r="I144" s="271">
        <f t="shared" ref="I144:I152" si="44">SUM(F144:H144)</f>
        <v>6.4016750603057601E-2</v>
      </c>
      <c r="J144" s="271"/>
      <c r="K144" s="271"/>
      <c r="L144" s="332">
        <f t="shared" ref="L144:L150" si="45">F144/D144</f>
        <v>0</v>
      </c>
      <c r="M144" s="332">
        <f t="shared" ref="M144:M150" si="46">G144/D144</f>
        <v>1</v>
      </c>
      <c r="N144" s="332">
        <f t="shared" ref="N144:N150" si="47">H144/D144</f>
        <v>0</v>
      </c>
      <c r="O144" s="190"/>
      <c r="P144" s="190"/>
      <c r="Q144" s="17" t="s">
        <v>668</v>
      </c>
      <c r="R144" s="190">
        <v>4.2309999999999999</v>
      </c>
      <c r="S144" s="190">
        <v>3.9860000000000002</v>
      </c>
      <c r="T144" s="190">
        <f>R144-S144</f>
        <v>0.24499999999999966</v>
      </c>
      <c r="U144" s="190">
        <f>T144/R144</f>
        <v>5.7905932403686994E-2</v>
      </c>
      <c r="V144" s="201"/>
      <c r="W144" s="190" t="s">
        <v>84</v>
      </c>
      <c r="X144" s="190"/>
      <c r="Y144" s="336"/>
    </row>
    <row r="145" spans="1:25" ht="15" thickBot="1">
      <c r="A145" s="552"/>
      <c r="B145" s="553"/>
      <c r="C145" s="17" t="s">
        <v>93</v>
      </c>
      <c r="D145" s="190">
        <f t="shared" si="43"/>
        <v>0</v>
      </c>
      <c r="E145" s="190"/>
      <c r="F145" s="190">
        <v>0</v>
      </c>
      <c r="G145" s="190">
        <f>D145*1</f>
        <v>0</v>
      </c>
      <c r="H145" s="190">
        <v>0</v>
      </c>
      <c r="I145" s="271">
        <f t="shared" si="44"/>
        <v>0</v>
      </c>
      <c r="J145" s="271"/>
      <c r="K145" s="271"/>
      <c r="L145" s="332">
        <v>0</v>
      </c>
      <c r="M145" s="332">
        <v>1</v>
      </c>
      <c r="N145" s="332">
        <v>0</v>
      </c>
      <c r="O145" s="190"/>
      <c r="P145" s="190"/>
      <c r="Q145" s="17"/>
      <c r="R145" s="190"/>
      <c r="S145" s="38"/>
      <c r="T145" s="190" t="s">
        <v>670</v>
      </c>
      <c r="U145" s="190">
        <f>1-U144</f>
        <v>0.94209406759631298</v>
      </c>
      <c r="V145" s="201"/>
      <c r="W145" s="190"/>
      <c r="X145" s="190"/>
      <c r="Y145" s="336"/>
    </row>
    <row r="146" spans="1:25">
      <c r="A146" s="552"/>
      <c r="B146" s="553"/>
      <c r="C146" s="17" t="s">
        <v>88</v>
      </c>
      <c r="D146" s="190">
        <f t="shared" si="43"/>
        <v>5.3250948662347065E-2</v>
      </c>
      <c r="E146" s="190"/>
      <c r="F146" s="190">
        <f>D146*0.3</f>
        <v>1.597528459870412E-2</v>
      </c>
      <c r="G146" s="190">
        <f>D146*0.4</f>
        <v>2.1300379464938828E-2</v>
      </c>
      <c r="H146" s="190">
        <f>D146*0.3</f>
        <v>1.597528459870412E-2</v>
      </c>
      <c r="I146" s="271">
        <f t="shared" si="44"/>
        <v>5.3250948662347072E-2</v>
      </c>
      <c r="J146" s="271"/>
      <c r="K146" s="271"/>
      <c r="L146" s="332">
        <f t="shared" si="45"/>
        <v>0.3</v>
      </c>
      <c r="M146" s="332">
        <f t="shared" si="46"/>
        <v>0.4</v>
      </c>
      <c r="N146" s="332">
        <f t="shared" si="47"/>
        <v>0.3</v>
      </c>
      <c r="O146" s="190"/>
      <c r="P146" s="190"/>
      <c r="Q146" s="17"/>
      <c r="R146" s="343" t="s">
        <v>742</v>
      </c>
      <c r="S146" s="15"/>
      <c r="T146" s="344"/>
      <c r="U146" s="345">
        <f>0.56*(1-U144)</f>
        <v>0.52757267785393536</v>
      </c>
      <c r="V146" s="19"/>
      <c r="W146" s="190"/>
      <c r="X146" s="190"/>
      <c r="Y146" s="336"/>
    </row>
    <row r="147" spans="1:25" ht="15" thickBot="1">
      <c r="A147" s="552"/>
      <c r="B147" s="553"/>
      <c r="C147" s="17" t="s">
        <v>89</v>
      </c>
      <c r="D147" s="190">
        <f t="shared" si="43"/>
        <v>0</v>
      </c>
      <c r="E147" s="190"/>
      <c r="F147" s="190">
        <v>0</v>
      </c>
      <c r="G147" s="190">
        <f>D147*1</f>
        <v>0</v>
      </c>
      <c r="H147" s="190">
        <v>0</v>
      </c>
      <c r="I147" s="271">
        <f t="shared" si="44"/>
        <v>0</v>
      </c>
      <c r="J147" s="271" t="s">
        <v>671</v>
      </c>
      <c r="K147" s="271" t="s">
        <v>84</v>
      </c>
      <c r="L147" s="332">
        <v>0</v>
      </c>
      <c r="M147" s="332">
        <v>1</v>
      </c>
      <c r="N147" s="332">
        <v>0</v>
      </c>
      <c r="O147" s="190"/>
      <c r="P147" s="18"/>
      <c r="Q147" s="20"/>
      <c r="R147" s="319" t="s">
        <v>743</v>
      </c>
      <c r="S147" s="21"/>
      <c r="T147" s="202"/>
      <c r="U147" s="203">
        <f>(1-0.56)*U145</f>
        <v>0.41452138974237768</v>
      </c>
      <c r="V147" s="28"/>
      <c r="W147" s="190"/>
      <c r="X147" s="190"/>
      <c r="Y147" s="336"/>
    </row>
    <row r="148" spans="1:25">
      <c r="A148" s="552"/>
      <c r="B148" s="553"/>
      <c r="C148" s="17" t="s">
        <v>213</v>
      </c>
      <c r="D148" s="190">
        <f t="shared" si="43"/>
        <v>35.191484215701955</v>
      </c>
      <c r="E148" s="190"/>
      <c r="F148" s="190">
        <f>(D148)*U146</f>
        <v>18.56606556533238</v>
      </c>
      <c r="G148" s="190">
        <f>D148*U144</f>
        <v>2.0377957061798551</v>
      </c>
      <c r="H148" s="190">
        <f>(D148)*U147</f>
        <v>14.587622944189722</v>
      </c>
      <c r="I148" s="271">
        <f t="shared" si="44"/>
        <v>35.191484215701962</v>
      </c>
      <c r="J148" s="271">
        <f>SUM(F148:H149)</f>
        <v>84.147874959317079</v>
      </c>
      <c r="K148" s="271"/>
      <c r="L148" s="332">
        <f t="shared" si="45"/>
        <v>0.52757267785393536</v>
      </c>
      <c r="M148" s="332">
        <f t="shared" si="46"/>
        <v>5.7905932403686987E-2</v>
      </c>
      <c r="N148" s="332">
        <f t="shared" si="47"/>
        <v>0.41452138974237768</v>
      </c>
      <c r="O148" s="190"/>
      <c r="P148" s="187"/>
      <c r="Q148" s="18"/>
      <c r="R148" s="18"/>
      <c r="S148" s="18"/>
      <c r="T148" s="18"/>
      <c r="U148" s="18"/>
      <c r="V148" s="18"/>
      <c r="W148" s="190"/>
      <c r="X148" s="190"/>
      <c r="Y148" s="336"/>
    </row>
    <row r="149" spans="1:25">
      <c r="A149" s="552"/>
      <c r="B149" s="553"/>
      <c r="C149" s="17" t="s">
        <v>13</v>
      </c>
      <c r="D149" s="190">
        <f t="shared" si="43"/>
        <v>48.956390743615124</v>
      </c>
      <c r="E149" s="190"/>
      <c r="F149" s="190">
        <f>(D149)*U146</f>
        <v>25.828054162672643</v>
      </c>
      <c r="G149" s="190">
        <f>D149*U144</f>
        <v>2.8348654531282649</v>
      </c>
      <c r="H149" s="190">
        <f>(D149)*U147</f>
        <v>20.293471127814215</v>
      </c>
      <c r="I149" s="271">
        <f t="shared" si="44"/>
        <v>48.956390743615124</v>
      </c>
      <c r="J149" s="271">
        <f>D148+D149</f>
        <v>84.147874959317079</v>
      </c>
      <c r="K149" s="271"/>
      <c r="L149" s="332">
        <f t="shared" si="45"/>
        <v>0.52757267785393536</v>
      </c>
      <c r="M149" s="332">
        <f t="shared" si="46"/>
        <v>5.7905932403686994E-2</v>
      </c>
      <c r="N149" s="332">
        <f t="shared" si="47"/>
        <v>0.41452138974237768</v>
      </c>
      <c r="O149" s="190"/>
      <c r="P149" s="18"/>
      <c r="Q149" s="18"/>
      <c r="S149" s="18"/>
      <c r="T149" s="18"/>
      <c r="U149" s="190"/>
      <c r="V149" s="190"/>
      <c r="W149" s="190"/>
      <c r="X149" s="190"/>
      <c r="Y149" s="336"/>
    </row>
    <row r="150" spans="1:25">
      <c r="A150" s="552"/>
      <c r="B150" s="553"/>
      <c r="C150" s="17" t="s">
        <v>91</v>
      </c>
      <c r="D150" s="190">
        <f t="shared" si="43"/>
        <v>0.28346260165497933</v>
      </c>
      <c r="E150" s="190"/>
      <c r="F150" s="190">
        <v>0</v>
      </c>
      <c r="G150" s="190">
        <f>D150*1</f>
        <v>0.28346260165497933</v>
      </c>
      <c r="H150" s="190">
        <v>0</v>
      </c>
      <c r="I150" s="271">
        <f t="shared" si="44"/>
        <v>0.28346260165497933</v>
      </c>
      <c r="J150" s="271"/>
      <c r="K150" s="271"/>
      <c r="L150" s="332">
        <f t="shared" si="45"/>
        <v>0</v>
      </c>
      <c r="M150" s="332">
        <f t="shared" si="46"/>
        <v>1</v>
      </c>
      <c r="N150" s="332">
        <f t="shared" si="47"/>
        <v>0</v>
      </c>
      <c r="O150" s="190"/>
      <c r="P150" s="18"/>
      <c r="Q150" s="26"/>
      <c r="U150" s="190"/>
      <c r="V150" s="190"/>
      <c r="W150" s="190"/>
      <c r="X150" s="190"/>
      <c r="Y150" s="336"/>
    </row>
    <row r="151" spans="1:25">
      <c r="A151" s="552"/>
      <c r="B151" s="553"/>
      <c r="C151" s="17" t="s">
        <v>94</v>
      </c>
      <c r="D151" s="190">
        <f t="shared" si="43"/>
        <v>0</v>
      </c>
      <c r="E151" s="190"/>
      <c r="F151" s="190">
        <v>0</v>
      </c>
      <c r="G151" s="190">
        <f>D151*1</f>
        <v>0</v>
      </c>
      <c r="H151" s="190">
        <v>0</v>
      </c>
      <c r="I151" s="271">
        <f t="shared" si="44"/>
        <v>0</v>
      </c>
      <c r="J151" s="271"/>
      <c r="K151" s="271"/>
      <c r="L151" s="332">
        <v>0</v>
      </c>
      <c r="M151" s="332">
        <v>1</v>
      </c>
      <c r="N151" s="332">
        <v>0</v>
      </c>
      <c r="O151" s="190"/>
      <c r="P151" s="18"/>
      <c r="Q151" s="26"/>
      <c r="U151" s="190"/>
      <c r="V151" s="190"/>
      <c r="W151" s="190"/>
      <c r="X151" s="190"/>
      <c r="Y151" s="336"/>
    </row>
    <row r="152" spans="1:25">
      <c r="A152" s="552"/>
      <c r="B152" s="553"/>
      <c r="C152" s="17" t="s">
        <v>95</v>
      </c>
      <c r="D152" s="190">
        <f t="shared" si="43"/>
        <v>0</v>
      </c>
      <c r="E152" s="190"/>
      <c r="F152" s="190">
        <v>0</v>
      </c>
      <c r="G152" s="190">
        <f>D152*1</f>
        <v>0</v>
      </c>
      <c r="H152" s="190">
        <v>0</v>
      </c>
      <c r="I152" s="271">
        <f t="shared" si="44"/>
        <v>0</v>
      </c>
      <c r="J152" s="271"/>
      <c r="K152" s="271"/>
      <c r="L152" s="332">
        <v>0</v>
      </c>
      <c r="M152" s="332">
        <v>1</v>
      </c>
      <c r="N152" s="332">
        <v>0</v>
      </c>
      <c r="O152" s="190"/>
      <c r="P152" s="18"/>
      <c r="Q152" s="18"/>
      <c r="R152" s="18"/>
      <c r="S152" s="190"/>
      <c r="T152" s="190"/>
      <c r="U152" s="190"/>
      <c r="V152" s="190"/>
      <c r="W152" s="190"/>
      <c r="X152" s="190"/>
      <c r="Y152" s="336"/>
    </row>
    <row r="153" spans="1:25">
      <c r="A153" s="552"/>
      <c r="B153" s="553"/>
      <c r="C153" s="322" t="s">
        <v>513</v>
      </c>
      <c r="D153" s="190">
        <f>SUM(D143:D152)</f>
        <v>84.564216709050669</v>
      </c>
      <c r="E153" s="18"/>
      <c r="F153" s="190">
        <f>SUM(F143:F152)</f>
        <v>44.410095012603726</v>
      </c>
      <c r="G153" s="190">
        <f>SUM(G143:G152)</f>
        <v>5.2570523398442992</v>
      </c>
      <c r="H153" s="190">
        <f>SUM(H143:H152)</f>
        <v>34.897069356602643</v>
      </c>
      <c r="I153" s="190">
        <f>SUM(I143:I152)</f>
        <v>84.564216709050669</v>
      </c>
      <c r="J153" s="271"/>
      <c r="K153" s="271"/>
      <c r="L153" s="271"/>
      <c r="M153" s="271"/>
      <c r="N153" s="271"/>
      <c r="O153" s="18"/>
      <c r="P153" s="190"/>
      <c r="Q153" s="190"/>
      <c r="R153" s="190"/>
      <c r="S153" s="190"/>
      <c r="T153" s="190"/>
      <c r="U153" s="18"/>
      <c r="V153" s="18"/>
      <c r="W153" s="18"/>
      <c r="X153" s="187"/>
      <c r="Y153" s="19"/>
    </row>
    <row r="154" spans="1:25" ht="15" thickBot="1">
      <c r="A154" s="554"/>
      <c r="B154" s="555"/>
      <c r="C154" s="331"/>
      <c r="D154" s="202"/>
      <c r="E154" s="21"/>
      <c r="F154" s="202"/>
      <c r="G154" s="21"/>
      <c r="H154" s="21"/>
      <c r="I154" s="333"/>
      <c r="J154" s="333"/>
      <c r="K154" s="333"/>
      <c r="L154" s="333"/>
      <c r="M154" s="333"/>
      <c r="N154" s="333"/>
      <c r="O154" s="202"/>
      <c r="P154" s="202"/>
      <c r="Q154" s="202"/>
      <c r="R154" s="202"/>
      <c r="S154" s="202"/>
      <c r="T154" s="202"/>
      <c r="U154" s="202"/>
      <c r="V154" s="21"/>
      <c r="W154" s="21"/>
      <c r="X154" s="298"/>
      <c r="Y154" s="28"/>
    </row>
    <row r="155" spans="1:25">
      <c r="A155" s="294"/>
      <c r="B155" s="294"/>
      <c r="C155" s="18"/>
      <c r="D155" s="18"/>
      <c r="E155" s="18"/>
      <c r="F155" s="296"/>
      <c r="G155" s="18"/>
      <c r="H155" s="18"/>
      <c r="I155" s="18"/>
      <c r="J155" s="18"/>
      <c r="K155" s="18"/>
      <c r="L155" s="18"/>
      <c r="M155" s="18"/>
      <c r="N155" s="190"/>
      <c r="O155" s="190"/>
      <c r="P155" s="190"/>
      <c r="Q155" s="190"/>
      <c r="R155" s="190"/>
      <c r="S155" s="190"/>
      <c r="T155" s="329"/>
      <c r="U155" s="18"/>
      <c r="V155" s="18"/>
      <c r="W155" s="18"/>
      <c r="X155" s="18"/>
      <c r="Y155" s="192"/>
    </row>
    <row r="156" spans="1:25" ht="15" thickBot="1">
      <c r="A156" s="285" t="s">
        <v>648</v>
      </c>
      <c r="B156" s="294"/>
      <c r="C156" s="18"/>
      <c r="D156" s="18"/>
      <c r="E156" s="18"/>
      <c r="F156" s="296"/>
      <c r="G156" s="18"/>
      <c r="H156" s="18"/>
      <c r="I156" s="18"/>
      <c r="J156" s="18"/>
      <c r="K156" s="18"/>
      <c r="L156" s="18"/>
      <c r="M156" s="18"/>
      <c r="N156" s="190"/>
      <c r="O156" s="190"/>
      <c r="P156" s="190"/>
      <c r="Q156" s="190"/>
      <c r="R156" s="190"/>
      <c r="S156" s="190"/>
      <c r="T156" s="329"/>
      <c r="U156" s="18"/>
      <c r="V156" s="18"/>
      <c r="W156" s="18"/>
      <c r="X156" s="18"/>
      <c r="Y156" s="192"/>
    </row>
    <row r="157" spans="1:25">
      <c r="A157" s="550" t="s">
        <v>734</v>
      </c>
      <c r="B157" s="551"/>
      <c r="C157" s="299"/>
      <c r="D157" s="15"/>
      <c r="E157" s="15"/>
      <c r="F157" s="15"/>
      <c r="G157" s="14"/>
      <c r="H157" s="14"/>
      <c r="I157" s="14"/>
      <c r="J157" s="14"/>
      <c r="K157" s="15"/>
      <c r="L157" s="330" t="s">
        <v>735</v>
      </c>
      <c r="M157" s="15"/>
      <c r="N157" s="320"/>
      <c r="O157" s="15"/>
      <c r="P157" s="330"/>
      <c r="Q157" s="15"/>
      <c r="R157" s="15"/>
      <c r="S157" s="15"/>
      <c r="T157" s="330"/>
      <c r="U157" s="330"/>
      <c r="V157" s="15"/>
      <c r="W157" s="15"/>
      <c r="X157" s="330"/>
      <c r="Y157" s="335"/>
    </row>
    <row r="158" spans="1:25">
      <c r="A158" s="552"/>
      <c r="B158" s="553"/>
      <c r="C158" s="321"/>
      <c r="D158" s="187" t="s">
        <v>705</v>
      </c>
      <c r="E158" s="18"/>
      <c r="F158" s="302" t="s">
        <v>677</v>
      </c>
      <c r="G158" s="302" t="s">
        <v>678</v>
      </c>
      <c r="H158" s="302" t="s">
        <v>679</v>
      </c>
      <c r="I158" s="302" t="s">
        <v>680</v>
      </c>
      <c r="J158" s="354" t="s">
        <v>701</v>
      </c>
      <c r="K158" s="18"/>
      <c r="L158" s="1"/>
      <c r="M158" s="1" t="s">
        <v>693</v>
      </c>
      <c r="N158" s="1" t="s">
        <v>697</v>
      </c>
      <c r="O158" s="187"/>
      <c r="P158" s="18"/>
      <c r="Q158" s="18"/>
      <c r="R158" s="18" t="s">
        <v>693</v>
      </c>
      <c r="S158" s="187" t="s">
        <v>692</v>
      </c>
      <c r="T158" s="18"/>
      <c r="U158" s="18"/>
      <c r="V158" s="18"/>
      <c r="W158" s="18"/>
      <c r="X158" s="18"/>
      <c r="Y158" s="19"/>
    </row>
    <row r="159" spans="1:25">
      <c r="A159" s="552"/>
      <c r="B159" s="553"/>
      <c r="C159" s="17" t="s">
        <v>632</v>
      </c>
      <c r="D159" s="190">
        <f>'A2-1 EV-ICEV composition'!J43</f>
        <v>4.5168882849655434</v>
      </c>
      <c r="E159" s="190"/>
      <c r="F159" s="190">
        <f>N159</f>
        <v>0.19</v>
      </c>
      <c r="G159" s="271">
        <f>1-F159</f>
        <v>0.81</v>
      </c>
      <c r="H159" s="271">
        <v>0</v>
      </c>
      <c r="I159" s="271">
        <v>0</v>
      </c>
      <c r="J159" s="271">
        <f>SUM(F159:I159)</f>
        <v>1</v>
      </c>
      <c r="K159" s="18"/>
      <c r="L159" s="1" t="s">
        <v>632</v>
      </c>
      <c r="M159" s="353">
        <f>R161</f>
        <v>1.0940000000000001</v>
      </c>
      <c r="N159" s="22">
        <f>S161</f>
        <v>0.19</v>
      </c>
      <c r="O159" s="190"/>
      <c r="P159" s="190" t="s">
        <v>683</v>
      </c>
      <c r="Q159" s="190" t="s">
        <v>86</v>
      </c>
      <c r="R159" s="351">
        <v>0.77300000000000002</v>
      </c>
      <c r="S159" s="190">
        <v>0.2</v>
      </c>
      <c r="T159" s="18"/>
      <c r="U159" s="18"/>
      <c r="V159" s="18"/>
      <c r="W159" s="18"/>
      <c r="X159" s="18"/>
      <c r="Y159" s="19"/>
    </row>
    <row r="160" spans="1:25">
      <c r="A160" s="552"/>
      <c r="B160" s="553"/>
      <c r="C160" s="17" t="s">
        <v>86</v>
      </c>
      <c r="D160" s="190">
        <f>'A2-1 EV-ICEV composition'!J41</f>
        <v>35.876233158997508</v>
      </c>
      <c r="E160" s="190"/>
      <c r="F160" s="190">
        <f>N160</f>
        <v>0.17071990320629157</v>
      </c>
      <c r="G160" s="271">
        <f t="shared" ref="G160:G168" si="48">1-F160</f>
        <v>0.8292800967937084</v>
      </c>
      <c r="H160" s="271">
        <v>0</v>
      </c>
      <c r="I160" s="271">
        <v>0</v>
      </c>
      <c r="J160" s="271">
        <f t="shared" ref="J160:J168" si="49">SUM(F160:I160)</f>
        <v>1</v>
      </c>
      <c r="K160" s="18"/>
      <c r="L160" s="1" t="s">
        <v>86</v>
      </c>
      <c r="M160" s="22">
        <f>R159+R162+R163+R166</f>
        <v>1.6530000000000002</v>
      </c>
      <c r="N160" s="1">
        <f>((R159/M160)*S159)+((R162/$M$160)*S162)+((R163/M160)*S163)+((R166/M160)*S166)</f>
        <v>0.17071990320629157</v>
      </c>
      <c r="O160" s="190"/>
      <c r="P160" s="190" t="s">
        <v>684</v>
      </c>
      <c r="Q160" s="190" t="s">
        <v>88</v>
      </c>
      <c r="R160" s="351">
        <v>0.55000000000000004</v>
      </c>
      <c r="S160" s="190">
        <v>0.22</v>
      </c>
      <c r="T160" s="18"/>
      <c r="U160" s="18"/>
      <c r="V160" s="18"/>
      <c r="W160" s="18"/>
      <c r="X160" s="18"/>
      <c r="Y160" s="19"/>
    </row>
    <row r="161" spans="1:25">
      <c r="A161" s="552"/>
      <c r="B161" s="553"/>
      <c r="C161" s="17" t="s">
        <v>93</v>
      </c>
      <c r="D161" s="190">
        <f>'A2-1 EV-ICEV composition'!J42</f>
        <v>8.1461191787681528</v>
      </c>
      <c r="E161" s="190"/>
      <c r="F161" s="190">
        <f>N161</f>
        <v>1</v>
      </c>
      <c r="G161" s="271">
        <f t="shared" si="48"/>
        <v>0</v>
      </c>
      <c r="H161" s="271">
        <v>0</v>
      </c>
      <c r="I161" s="271">
        <v>0</v>
      </c>
      <c r="J161" s="271">
        <f t="shared" si="49"/>
        <v>1</v>
      </c>
      <c r="K161" s="18"/>
      <c r="L161" s="1" t="s">
        <v>93</v>
      </c>
      <c r="M161" s="353">
        <f>R164</f>
        <v>1.6E-2</v>
      </c>
      <c r="N161" s="22">
        <f>S164</f>
        <v>1</v>
      </c>
      <c r="O161" s="190"/>
      <c r="P161" s="18" t="s">
        <v>682</v>
      </c>
      <c r="Q161" s="190" t="s">
        <v>632</v>
      </c>
      <c r="R161" s="351">
        <v>1.0940000000000001</v>
      </c>
      <c r="S161" s="190">
        <v>0.19</v>
      </c>
      <c r="T161" s="18"/>
      <c r="U161" s="18"/>
      <c r="V161" s="18"/>
      <c r="W161" s="18"/>
      <c r="X161" s="18"/>
      <c r="Y161" s="19"/>
    </row>
    <row r="162" spans="1:25">
      <c r="A162" s="552"/>
      <c r="B162" s="553"/>
      <c r="C162" s="17" t="s">
        <v>88</v>
      </c>
      <c r="D162" s="190">
        <f>'A2-1 EV-ICEV composition'!J40</f>
        <v>109.53167751627441</v>
      </c>
      <c r="E162" s="190"/>
      <c r="F162" s="190">
        <v>0</v>
      </c>
      <c r="G162" s="271">
        <f>1-H162-I162</f>
        <v>0.65596330275229353</v>
      </c>
      <c r="H162" s="271">
        <f>N162*N167</f>
        <v>0.15667298127936727</v>
      </c>
      <c r="I162" s="271">
        <f>N162*N166</f>
        <v>0.1873637159683392</v>
      </c>
      <c r="J162" s="271">
        <f t="shared" si="49"/>
        <v>1</v>
      </c>
      <c r="K162" s="18"/>
      <c r="L162" s="1" t="s">
        <v>88</v>
      </c>
      <c r="M162" s="353">
        <f>R160+R167</f>
        <v>0.65400000000000003</v>
      </c>
      <c r="N162" s="1">
        <f>((R160/M162)*S160)+((R167/M162)*S167)</f>
        <v>0.34403669724770647</v>
      </c>
      <c r="O162" s="190"/>
      <c r="P162" s="190" t="s">
        <v>685</v>
      </c>
      <c r="Q162" s="190" t="s">
        <v>86</v>
      </c>
      <c r="R162" s="351">
        <v>0.26200000000000001</v>
      </c>
      <c r="S162" s="190">
        <v>0.1</v>
      </c>
      <c r="T162" s="18"/>
      <c r="U162" s="18"/>
      <c r="V162" s="18"/>
      <c r="W162" s="18"/>
      <c r="X162" s="18"/>
      <c r="Y162" s="19"/>
    </row>
    <row r="163" spans="1:25">
      <c r="A163" s="552"/>
      <c r="B163" s="553"/>
      <c r="C163" s="17" t="s">
        <v>89</v>
      </c>
      <c r="D163" s="190">
        <v>0</v>
      </c>
      <c r="E163" s="190"/>
      <c r="F163" s="190">
        <f>1</f>
        <v>1</v>
      </c>
      <c r="G163" s="271">
        <f t="shared" si="48"/>
        <v>0</v>
      </c>
      <c r="H163" s="271">
        <v>0</v>
      </c>
      <c r="I163" s="271">
        <v>0</v>
      </c>
      <c r="J163" s="271">
        <f t="shared" si="49"/>
        <v>1</v>
      </c>
      <c r="K163" s="18"/>
      <c r="L163" s="1" t="s">
        <v>691</v>
      </c>
      <c r="M163" s="353">
        <f>R165+R168</f>
        <v>0.96099999999999997</v>
      </c>
      <c r="N163" s="1">
        <f>((R165/M163)*S165)+((R168/M163)*S168)</f>
        <v>0.40031217481789805</v>
      </c>
      <c r="O163" s="190"/>
      <c r="P163" s="190" t="s">
        <v>686</v>
      </c>
      <c r="Q163" s="190" t="s">
        <v>86</v>
      </c>
      <c r="R163" s="351">
        <v>0.51900000000000002</v>
      </c>
      <c r="S163" s="190">
        <v>0.1</v>
      </c>
      <c r="T163" s="18"/>
      <c r="U163" s="18"/>
      <c r="V163" s="18"/>
      <c r="W163" s="18"/>
      <c r="X163" s="18"/>
      <c r="Y163" s="19"/>
    </row>
    <row r="164" spans="1:25" ht="15" thickBot="1">
      <c r="A164" s="552"/>
      <c r="B164" s="553"/>
      <c r="C164" s="17" t="s">
        <v>213</v>
      </c>
      <c r="D164" s="190">
        <f>'A2-1 EV-ICEV composition'!J39</f>
        <v>184.42561442163247</v>
      </c>
      <c r="E164" s="190"/>
      <c r="F164" s="350">
        <f>N163</f>
        <v>0.40031217481789805</v>
      </c>
      <c r="G164" s="271">
        <f t="shared" si="48"/>
        <v>0.59968782518210195</v>
      </c>
      <c r="H164" s="271">
        <v>0</v>
      </c>
      <c r="I164" s="271">
        <v>0</v>
      </c>
      <c r="J164" s="271">
        <f t="shared" si="49"/>
        <v>1</v>
      </c>
      <c r="K164" s="18"/>
      <c r="L164" s="18"/>
      <c r="M164" s="18"/>
      <c r="N164" s="18"/>
      <c r="O164" s="190"/>
      <c r="P164" s="350" t="s">
        <v>698</v>
      </c>
      <c r="Q164" s="190" t="s">
        <v>93</v>
      </c>
      <c r="R164" s="351">
        <v>1.6E-2</v>
      </c>
      <c r="S164" s="190">
        <v>1</v>
      </c>
      <c r="T164" s="18"/>
      <c r="U164" s="18"/>
      <c r="V164" s="18"/>
      <c r="W164" s="18"/>
      <c r="X164" s="18"/>
      <c r="Y164" s="19"/>
    </row>
    <row r="165" spans="1:25">
      <c r="A165" s="552"/>
      <c r="B165" s="553"/>
      <c r="C165" s="17" t="s">
        <v>13</v>
      </c>
      <c r="D165" s="190">
        <v>0</v>
      </c>
      <c r="E165" s="190"/>
      <c r="F165" s="350">
        <f>N163</f>
        <v>0.40031217481789805</v>
      </c>
      <c r="G165" s="271">
        <f t="shared" si="48"/>
        <v>0.59968782518210195</v>
      </c>
      <c r="H165" s="271">
        <v>0</v>
      </c>
      <c r="I165" s="271">
        <v>0</v>
      </c>
      <c r="J165" s="271">
        <f t="shared" si="49"/>
        <v>1</v>
      </c>
      <c r="K165" s="18"/>
      <c r="L165" s="326" t="s">
        <v>696</v>
      </c>
      <c r="M165" s="15" t="s">
        <v>694</v>
      </c>
      <c r="N165" s="16" t="s">
        <v>695</v>
      </c>
      <c r="O165" s="190" t="s">
        <v>84</v>
      </c>
      <c r="P165" s="350" t="s">
        <v>687</v>
      </c>
      <c r="Q165" s="190" t="s">
        <v>213</v>
      </c>
      <c r="R165" s="351">
        <v>3.0000000000000001E-3</v>
      </c>
      <c r="S165" s="190">
        <v>0.5</v>
      </c>
      <c r="T165" s="18"/>
      <c r="U165" s="18"/>
      <c r="V165" s="18"/>
      <c r="W165" s="18"/>
      <c r="X165" s="18"/>
      <c r="Y165" s="19"/>
    </row>
    <row r="166" spans="1:25">
      <c r="A166" s="552"/>
      <c r="B166" s="553"/>
      <c r="C166" s="17" t="s">
        <v>96</v>
      </c>
      <c r="D166" s="190">
        <f>'A2-1 EV-ICEV composition'!J45</f>
        <v>1.6666666666666701</v>
      </c>
      <c r="E166" s="190"/>
      <c r="F166" s="190">
        <f>F160</f>
        <v>0.17071990320629157</v>
      </c>
      <c r="G166" s="271">
        <f t="shared" si="48"/>
        <v>0.8292800967937084</v>
      </c>
      <c r="H166" s="271">
        <v>0</v>
      </c>
      <c r="I166" s="271">
        <v>0</v>
      </c>
      <c r="J166" s="271">
        <f t="shared" si="49"/>
        <v>1</v>
      </c>
      <c r="K166" s="18"/>
      <c r="L166" s="352" t="s">
        <v>699</v>
      </c>
      <c r="M166" s="18">
        <v>873</v>
      </c>
      <c r="N166" s="201">
        <f>M166/$M$168</f>
        <v>0.54460386774797254</v>
      </c>
      <c r="O166" s="190"/>
      <c r="P166" s="350" t="s">
        <v>688</v>
      </c>
      <c r="Q166" s="190" t="s">
        <v>273</v>
      </c>
      <c r="R166" s="351">
        <v>9.9000000000000005E-2</v>
      </c>
      <c r="S166" s="190">
        <v>0.5</v>
      </c>
      <c r="T166" s="18"/>
      <c r="U166" s="18"/>
      <c r="V166" s="18"/>
      <c r="W166" s="18"/>
      <c r="X166" s="18"/>
      <c r="Y166" s="19"/>
    </row>
    <row r="167" spans="1:25">
      <c r="A167" s="552"/>
      <c r="B167" s="553"/>
      <c r="C167" s="17" t="s">
        <v>94</v>
      </c>
      <c r="D167" s="190">
        <f>'A2-1 EV-ICEV composition'!J44</f>
        <v>3.6999999999999997</v>
      </c>
      <c r="E167" s="190"/>
      <c r="F167" s="190">
        <f>N161</f>
        <v>1</v>
      </c>
      <c r="G167" s="271">
        <f t="shared" si="48"/>
        <v>0</v>
      </c>
      <c r="H167" s="271">
        <v>0</v>
      </c>
      <c r="I167" s="271">
        <v>0</v>
      </c>
      <c r="J167" s="271">
        <f t="shared" si="49"/>
        <v>1</v>
      </c>
      <c r="K167" s="18"/>
      <c r="L167" s="266" t="s">
        <v>700</v>
      </c>
      <c r="M167" s="18">
        <v>730</v>
      </c>
      <c r="N167" s="201">
        <f>M167/$M$168</f>
        <v>0.45539613225202746</v>
      </c>
      <c r="O167" s="190"/>
      <c r="P167" s="350" t="s">
        <v>689</v>
      </c>
      <c r="Q167" s="190" t="s">
        <v>88</v>
      </c>
      <c r="R167" s="351">
        <f>0.033+0.071</f>
        <v>0.104</v>
      </c>
      <c r="S167" s="190">
        <v>1</v>
      </c>
      <c r="T167" s="18"/>
      <c r="U167" s="18"/>
      <c r="V167" s="18"/>
      <c r="W167" s="18"/>
      <c r="X167" s="18"/>
      <c r="Y167" s="19"/>
    </row>
    <row r="168" spans="1:25">
      <c r="A168" s="552"/>
      <c r="B168" s="553"/>
      <c r="C168" s="17" t="s">
        <v>95</v>
      </c>
      <c r="D168" s="190">
        <v>0</v>
      </c>
      <c r="E168" s="190"/>
      <c r="F168" s="190">
        <f>N161</f>
        <v>1</v>
      </c>
      <c r="G168" s="271">
        <f t="shared" si="48"/>
        <v>0</v>
      </c>
      <c r="H168" s="271">
        <v>0</v>
      </c>
      <c r="I168" s="271">
        <v>0</v>
      </c>
      <c r="J168" s="271">
        <f t="shared" si="49"/>
        <v>1</v>
      </c>
      <c r="K168" s="18"/>
      <c r="L168" s="352"/>
      <c r="M168" s="190">
        <f>SUM(M166:M167)</f>
        <v>1603</v>
      </c>
      <c r="N168" s="201" t="s">
        <v>660</v>
      </c>
      <c r="O168" s="190"/>
      <c r="P168" s="350" t="s">
        <v>690</v>
      </c>
      <c r="Q168" s="190" t="s">
        <v>691</v>
      </c>
      <c r="R168" s="351">
        <v>0.95799999999999996</v>
      </c>
      <c r="S168" s="190">
        <v>0.4</v>
      </c>
      <c r="T168" s="18"/>
      <c r="U168" s="18"/>
      <c r="V168" s="18"/>
      <c r="W168" s="18"/>
      <c r="X168" s="18"/>
      <c r="Y168" s="19"/>
    </row>
    <row r="169" spans="1:25" ht="15" thickBot="1">
      <c r="A169" s="552"/>
      <c r="B169" s="553"/>
      <c r="C169" s="322" t="s">
        <v>513</v>
      </c>
      <c r="D169" s="190">
        <f>SUM(D159:D168)</f>
        <v>347.86319922730479</v>
      </c>
      <c r="E169" s="18"/>
      <c r="F169" s="18"/>
      <c r="G169" s="271"/>
      <c r="H169" s="271"/>
      <c r="I169" s="271"/>
      <c r="J169" s="271"/>
      <c r="K169" s="18"/>
      <c r="L169" s="20"/>
      <c r="M169" s="202"/>
      <c r="N169" s="203"/>
      <c r="O169" s="18"/>
      <c r="P169" s="190"/>
      <c r="Q169" s="190"/>
      <c r="R169" s="190">
        <f>SUM(R159:R168)</f>
        <v>4.3780000000000001</v>
      </c>
      <c r="S169" s="18"/>
      <c r="T169" s="18"/>
      <c r="U169" s="18"/>
      <c r="V169" s="18"/>
      <c r="W169" s="18"/>
      <c r="X169" s="18"/>
      <c r="Y169" s="19"/>
    </row>
    <row r="170" spans="1:25" ht="15" thickBot="1">
      <c r="A170" s="554"/>
      <c r="B170" s="555"/>
      <c r="C170" s="331"/>
      <c r="D170" s="202"/>
      <c r="E170" s="21"/>
      <c r="F170" s="21"/>
      <c r="G170" s="333"/>
      <c r="H170" s="333"/>
      <c r="I170" s="333"/>
      <c r="J170" s="333"/>
      <c r="K170" s="21"/>
      <c r="L170" s="333"/>
      <c r="M170" s="333"/>
      <c r="N170" s="202"/>
      <c r="O170" s="202"/>
      <c r="P170" s="202"/>
      <c r="Q170" s="202"/>
      <c r="R170" s="202"/>
      <c r="S170" s="202"/>
      <c r="T170" s="21"/>
      <c r="U170" s="21"/>
      <c r="V170" s="21"/>
      <c r="W170" s="21"/>
      <c r="X170" s="298"/>
      <c r="Y170" s="28"/>
    </row>
    <row r="171" spans="1:25">
      <c r="A171" s="294"/>
      <c r="B171" s="294"/>
      <c r="C171" s="18"/>
      <c r="D171" s="18"/>
      <c r="E171" s="18"/>
      <c r="F171" s="296"/>
      <c r="G171" s="18"/>
      <c r="H171" s="18"/>
      <c r="I171" s="18"/>
      <c r="J171" s="18"/>
      <c r="K171" s="18"/>
      <c r="L171" s="18"/>
      <c r="M171" s="18"/>
      <c r="N171" s="190"/>
      <c r="O171" s="190"/>
      <c r="P171" s="190"/>
      <c r="Q171" s="190"/>
      <c r="R171" s="190"/>
      <c r="S171" s="190"/>
      <c r="T171" s="329"/>
      <c r="U171" s="18"/>
      <c r="V171" s="18"/>
      <c r="W171" s="18"/>
      <c r="X171" s="18"/>
      <c r="Y171" s="192"/>
    </row>
    <row r="172" spans="1:25" ht="15" thickBot="1">
      <c r="A172" s="285" t="s">
        <v>708</v>
      </c>
      <c r="B172" s="294"/>
      <c r="C172" s="18"/>
      <c r="D172" s="18"/>
      <c r="E172" s="18"/>
      <c r="F172" s="296"/>
      <c r="G172" s="18"/>
      <c r="H172" s="18"/>
      <c r="I172" s="18"/>
      <c r="J172" s="18"/>
      <c r="K172" s="18"/>
      <c r="L172" s="18"/>
      <c r="M172" s="18"/>
      <c r="N172" s="190"/>
      <c r="O172" s="190"/>
      <c r="P172" s="190"/>
      <c r="Q172" s="190"/>
      <c r="R172" s="190"/>
      <c r="S172" s="190"/>
      <c r="T172" s="329"/>
      <c r="U172" s="18"/>
      <c r="V172" s="18"/>
      <c r="W172" s="18"/>
      <c r="X172" s="18"/>
      <c r="Y172" s="192"/>
    </row>
    <row r="173" spans="1:25">
      <c r="A173" s="550" t="s">
        <v>707</v>
      </c>
      <c r="B173" s="551"/>
      <c r="C173" s="299"/>
      <c r="D173" s="15"/>
      <c r="E173" s="15"/>
      <c r="F173" s="15"/>
      <c r="G173" s="15"/>
      <c r="H173" s="15"/>
      <c r="I173" s="14"/>
      <c r="J173" s="14"/>
      <c r="K173" s="14"/>
      <c r="L173" s="14"/>
      <c r="M173" s="14"/>
      <c r="N173" s="330"/>
      <c r="O173" s="14"/>
      <c r="P173" s="14"/>
      <c r="Q173" s="320"/>
      <c r="R173" s="320"/>
      <c r="S173" s="320"/>
      <c r="T173" s="15"/>
      <c r="U173" s="330"/>
      <c r="V173" s="330"/>
      <c r="W173" s="330"/>
      <c r="X173" s="330"/>
      <c r="Y173" s="335"/>
    </row>
    <row r="174" spans="1:25">
      <c r="A174" s="552"/>
      <c r="B174" s="553"/>
      <c r="C174" s="17"/>
      <c r="D174" s="187" t="s">
        <v>705</v>
      </c>
      <c r="E174" s="18"/>
      <c r="F174" s="18"/>
      <c r="G174" s="302" t="s">
        <v>675</v>
      </c>
      <c r="H174" s="302" t="s">
        <v>676</v>
      </c>
      <c r="I174" s="302" t="s">
        <v>131</v>
      </c>
      <c r="J174" s="187"/>
      <c r="K174" s="187"/>
      <c r="L174" s="187"/>
      <c r="M174" s="18"/>
      <c r="N174" s="337"/>
      <c r="O174" s="18"/>
      <c r="P174" s="18"/>
      <c r="Q174" s="18"/>
      <c r="R174" s="18"/>
      <c r="S174" s="18"/>
      <c r="T174" s="187"/>
      <c r="U174" s="187"/>
      <c r="V174" s="187"/>
      <c r="W174" s="187"/>
      <c r="X174" s="187"/>
      <c r="Y174" s="336"/>
    </row>
    <row r="175" spans="1:25" ht="14.4" customHeight="1">
      <c r="A175" s="552"/>
      <c r="B175" s="553"/>
      <c r="C175" s="17" t="s">
        <v>102</v>
      </c>
      <c r="D175" s="190">
        <f>'A2-1 EV-ICEV composition'!J54</f>
        <v>57.928933920588257</v>
      </c>
      <c r="E175" s="190"/>
      <c r="F175" s="190"/>
      <c r="G175" s="1">
        <v>0.6</v>
      </c>
      <c r="H175" s="1">
        <v>0.4</v>
      </c>
      <c r="I175" s="332">
        <v>0</v>
      </c>
      <c r="J175" s="271"/>
      <c r="K175" s="271"/>
      <c r="X175" s="190"/>
      <c r="Y175" s="336"/>
    </row>
    <row r="176" spans="1:25" ht="17.399999999999999" customHeight="1">
      <c r="A176" s="552"/>
      <c r="B176" s="553"/>
      <c r="C176" s="17" t="s">
        <v>473</v>
      </c>
      <c r="D176" s="190">
        <f>'A2-1 EV-ICEV composition'!J55</f>
        <v>56.702487638257786</v>
      </c>
      <c r="E176" s="190"/>
      <c r="F176" s="190"/>
      <c r="G176" s="302">
        <f>0.5</f>
        <v>0.5</v>
      </c>
      <c r="H176" s="1">
        <v>0.4</v>
      </c>
      <c r="I176" s="332">
        <v>0.1</v>
      </c>
      <c r="J176" s="271"/>
      <c r="K176" s="562" t="s">
        <v>745</v>
      </c>
      <c r="L176" s="562"/>
      <c r="M176" s="562"/>
      <c r="N176" s="562"/>
      <c r="O176" s="562"/>
      <c r="P176" s="562"/>
      <c r="Q176" s="562"/>
      <c r="R176" s="562"/>
      <c r="S176" s="562"/>
      <c r="T176" s="562"/>
      <c r="U176" s="562"/>
      <c r="V176" s="562"/>
      <c r="X176" s="190"/>
      <c r="Y176" s="336"/>
    </row>
    <row r="177" spans="1:25" ht="14.4" customHeight="1">
      <c r="A177" s="552"/>
      <c r="B177" s="553"/>
      <c r="C177" s="17" t="s">
        <v>97</v>
      </c>
      <c r="D177" s="190">
        <f>'A2-1 EV-ICEV composition'!J56</f>
        <v>54.612391902233966</v>
      </c>
      <c r="E177" s="190"/>
      <c r="F177" s="190"/>
      <c r="G177" s="1">
        <f>0.5</f>
        <v>0.5</v>
      </c>
      <c r="H177" s="1">
        <v>0.4</v>
      </c>
      <c r="I177" s="332">
        <v>0.1</v>
      </c>
      <c r="J177" s="271"/>
      <c r="K177" s="562"/>
      <c r="L177" s="562"/>
      <c r="M177" s="562"/>
      <c r="N177" s="562"/>
      <c r="O177" s="562"/>
      <c r="P177" s="562"/>
      <c r="Q177" s="562"/>
      <c r="R177" s="562"/>
      <c r="S177" s="562"/>
      <c r="T177" s="562"/>
      <c r="U177" s="562"/>
      <c r="V177" s="562"/>
      <c r="X177" s="190"/>
      <c r="Y177" s="336"/>
    </row>
    <row r="178" spans="1:25">
      <c r="A178" s="552"/>
      <c r="B178" s="553"/>
      <c r="C178" s="17" t="s">
        <v>99</v>
      </c>
      <c r="D178" s="190">
        <f>'A2-1 EV-ICEV composition'!J57</f>
        <v>46.421663442940044</v>
      </c>
      <c r="E178" s="190"/>
      <c r="F178" s="190"/>
      <c r="G178" s="1">
        <f>0.5</f>
        <v>0.5</v>
      </c>
      <c r="H178" s="245">
        <v>0.4</v>
      </c>
      <c r="I178" s="332">
        <v>0.1</v>
      </c>
      <c r="J178" s="271"/>
      <c r="K178" s="562"/>
      <c r="L178" s="562"/>
      <c r="M178" s="562"/>
      <c r="N178" s="562"/>
      <c r="O178" s="562"/>
      <c r="P178" s="562"/>
      <c r="Q178" s="562"/>
      <c r="R178" s="562"/>
      <c r="S178" s="562"/>
      <c r="T178" s="562"/>
      <c r="U178" s="562"/>
      <c r="V178" s="562"/>
      <c r="X178" s="190"/>
      <c r="Y178" s="336"/>
    </row>
    <row r="179" spans="1:25">
      <c r="A179" s="552"/>
      <c r="B179" s="553"/>
      <c r="C179" s="17" t="s">
        <v>474</v>
      </c>
      <c r="D179" s="190">
        <f>'A2-1 EV-ICEV composition'!J58</f>
        <v>35.768984978868886</v>
      </c>
      <c r="E179" s="190"/>
      <c r="F179" s="190"/>
      <c r="G179" s="1">
        <v>0.6</v>
      </c>
      <c r="H179" s="245">
        <v>0.4</v>
      </c>
      <c r="I179" s="332">
        <v>0</v>
      </c>
      <c r="J179" s="271"/>
      <c r="K179" s="562"/>
      <c r="L179" s="562"/>
      <c r="M179" s="562"/>
      <c r="N179" s="562"/>
      <c r="O179" s="562"/>
      <c r="P179" s="562"/>
      <c r="Q179" s="562"/>
      <c r="R179" s="562"/>
      <c r="S179" s="562"/>
      <c r="T179" s="562"/>
      <c r="U179" s="562"/>
      <c r="V179" s="562"/>
      <c r="X179" s="190"/>
      <c r="Y179" s="336"/>
    </row>
    <row r="180" spans="1:25">
      <c r="A180" s="552"/>
      <c r="B180" s="553"/>
      <c r="C180" s="17" t="s">
        <v>486</v>
      </c>
      <c r="D180" s="190">
        <f>'A2-1 EV-ICEV composition'!J59</f>
        <v>21.266924564796906</v>
      </c>
      <c r="E180" s="190"/>
      <c r="F180" s="190"/>
      <c r="G180" s="245">
        <f>0.5</f>
        <v>0.5</v>
      </c>
      <c r="H180" s="245">
        <v>0.4</v>
      </c>
      <c r="I180" s="332">
        <v>0.1</v>
      </c>
      <c r="J180" s="271"/>
      <c r="K180" s="562"/>
      <c r="L180" s="562"/>
      <c r="M180" s="562"/>
      <c r="N180" s="562"/>
      <c r="O180" s="562"/>
      <c r="P180" s="562"/>
      <c r="Q180" s="562"/>
      <c r="R180" s="562"/>
      <c r="S180" s="562"/>
      <c r="T180" s="562"/>
      <c r="U180" s="562"/>
      <c r="V180" s="562"/>
      <c r="X180" s="190"/>
      <c r="Y180" s="336"/>
    </row>
    <row r="181" spans="1:25">
      <c r="A181" s="552"/>
      <c r="B181" s="553"/>
      <c r="C181" s="17" t="s">
        <v>98</v>
      </c>
      <c r="D181" s="190">
        <f>'A2-1 EV-ICEV composition'!J60</f>
        <v>5.5125725338491298</v>
      </c>
      <c r="E181" s="190"/>
      <c r="F181" s="190"/>
      <c r="G181" s="245">
        <f>0.5</f>
        <v>0.5</v>
      </c>
      <c r="H181" s="245">
        <v>0.4</v>
      </c>
      <c r="I181" s="332">
        <v>0.1</v>
      </c>
      <c r="J181" s="271"/>
      <c r="K181" s="271"/>
      <c r="X181" s="190"/>
      <c r="Y181" s="336"/>
    </row>
    <row r="182" spans="1:25">
      <c r="A182" s="552"/>
      <c r="B182" s="553"/>
      <c r="C182" s="322" t="s">
        <v>513</v>
      </c>
      <c r="D182" s="190">
        <f>SUM(D175:D181)</f>
        <v>278.21395898153503</v>
      </c>
      <c r="E182" s="190"/>
      <c r="F182" s="190"/>
      <c r="G182" s="18"/>
      <c r="H182" s="18"/>
      <c r="I182" s="271"/>
      <c r="J182" s="271"/>
      <c r="K182" s="271"/>
      <c r="L182" s="271"/>
      <c r="M182" s="271"/>
      <c r="N182" s="271"/>
      <c r="O182" s="190"/>
      <c r="P182" s="18"/>
      <c r="Q182" s="18"/>
      <c r="R182" s="18"/>
      <c r="S182" s="190"/>
      <c r="T182" s="190"/>
      <c r="U182" s="190"/>
      <c r="V182" s="190"/>
      <c r="W182" s="190"/>
      <c r="X182" s="190"/>
      <c r="Y182" s="336"/>
    </row>
    <row r="183" spans="1:25" ht="14.4" customHeight="1">
      <c r="A183" s="552"/>
      <c r="B183" s="553"/>
      <c r="C183" s="17"/>
      <c r="D183" s="190"/>
      <c r="E183" s="190"/>
      <c r="F183" s="190"/>
      <c r="G183" s="561" t="s">
        <v>744</v>
      </c>
      <c r="H183" s="561"/>
      <c r="I183" s="561"/>
      <c r="J183" s="561"/>
      <c r="K183" s="561"/>
      <c r="L183" s="561"/>
      <c r="M183" s="561"/>
      <c r="N183" s="561"/>
      <c r="O183" s="561"/>
      <c r="P183" s="561"/>
      <c r="Q183" s="18"/>
      <c r="R183" s="18"/>
      <c r="S183" s="190"/>
      <c r="T183" s="190"/>
      <c r="U183" s="190"/>
      <c r="V183" s="190"/>
      <c r="W183" s="190"/>
      <c r="X183" s="190"/>
      <c r="Y183" s="336"/>
    </row>
    <row r="184" spans="1:25">
      <c r="A184" s="552"/>
      <c r="B184" s="553"/>
      <c r="C184" s="17"/>
      <c r="D184" s="190"/>
      <c r="E184" s="190"/>
      <c r="F184" s="190"/>
      <c r="G184" s="561"/>
      <c r="H184" s="561"/>
      <c r="I184" s="561"/>
      <c r="J184" s="561"/>
      <c r="K184" s="561"/>
      <c r="L184" s="561"/>
      <c r="M184" s="561"/>
      <c r="N184" s="561"/>
      <c r="O184" s="561"/>
      <c r="P184" s="561"/>
      <c r="Q184" s="18"/>
      <c r="R184" s="18"/>
      <c r="S184" s="190"/>
      <c r="T184" s="190"/>
      <c r="U184" s="190"/>
      <c r="V184" s="190"/>
      <c r="W184" s="190"/>
      <c r="X184" s="190"/>
      <c r="Y184" s="336"/>
    </row>
    <row r="185" spans="1:25">
      <c r="A185" s="552"/>
      <c r="B185" s="553"/>
      <c r="E185" s="18"/>
      <c r="F185" s="190"/>
      <c r="G185" s="561"/>
      <c r="H185" s="561"/>
      <c r="I185" s="561"/>
      <c r="J185" s="561"/>
      <c r="K185" s="561"/>
      <c r="L185" s="561"/>
      <c r="M185" s="561"/>
      <c r="N185" s="561"/>
      <c r="O185" s="561"/>
      <c r="P185" s="561"/>
      <c r="Q185" s="190"/>
      <c r="R185" s="190"/>
      <c r="S185" s="190"/>
      <c r="T185" s="190"/>
      <c r="U185" s="18"/>
      <c r="V185" s="18"/>
      <c r="W185" s="18"/>
      <c r="X185" s="187"/>
      <c r="Y185" s="19"/>
    </row>
    <row r="186" spans="1:25" ht="15" thickBot="1">
      <c r="A186" s="554"/>
      <c r="B186" s="555"/>
      <c r="C186" s="331"/>
      <c r="D186" s="202"/>
      <c r="E186" s="21"/>
      <c r="F186" s="202"/>
      <c r="G186" s="21"/>
      <c r="H186" s="21"/>
      <c r="I186" s="333"/>
      <c r="J186" s="333"/>
      <c r="K186" s="333"/>
      <c r="L186" s="333"/>
      <c r="M186" s="333"/>
      <c r="N186" s="333"/>
      <c r="O186" s="202"/>
      <c r="P186" s="202"/>
      <c r="Q186" s="202"/>
      <c r="R186" s="202"/>
      <c r="S186" s="202"/>
      <c r="T186" s="202"/>
      <c r="U186" s="202"/>
      <c r="V186" s="21"/>
      <c r="W186" s="21"/>
      <c r="X186" s="298"/>
      <c r="Y186" s="28"/>
    </row>
    <row r="187" spans="1:25">
      <c r="A187" s="294"/>
      <c r="B187" s="294"/>
      <c r="C187" s="292"/>
      <c r="D187" s="190"/>
      <c r="E187" s="18"/>
      <c r="F187" s="190"/>
      <c r="G187" s="18"/>
      <c r="H187" s="18"/>
      <c r="I187" s="271"/>
      <c r="J187" s="271"/>
      <c r="K187" s="271"/>
      <c r="L187" s="271"/>
      <c r="M187" s="271"/>
      <c r="N187" s="271"/>
      <c r="O187" s="190"/>
      <c r="P187" s="190"/>
      <c r="Q187" s="190"/>
      <c r="R187" s="190"/>
      <c r="S187" s="190"/>
      <c r="T187" s="190"/>
      <c r="U187" s="190"/>
      <c r="V187" s="18"/>
      <c r="W187" s="18"/>
      <c r="X187" s="187"/>
      <c r="Y187" s="18"/>
    </row>
    <row r="188" spans="1:25">
      <c r="B188" s="294"/>
      <c r="C188" s="292"/>
      <c r="D188" s="190"/>
      <c r="E188" s="18"/>
      <c r="F188" s="190"/>
      <c r="G188" s="18"/>
      <c r="H188" s="18"/>
      <c r="I188" s="271"/>
      <c r="J188" s="271"/>
      <c r="K188" s="271"/>
      <c r="L188" s="271"/>
      <c r="M188" s="271"/>
      <c r="N188" s="271"/>
      <c r="O188" s="190"/>
      <c r="P188" s="190"/>
      <c r="Q188" s="190"/>
      <c r="R188" s="190"/>
      <c r="S188" s="190"/>
      <c r="T188" s="190"/>
      <c r="U188" s="190"/>
      <c r="V188" s="18"/>
      <c r="W188" s="18"/>
      <c r="X188" s="187"/>
      <c r="Y188" s="18"/>
    </row>
  </sheetData>
  <mergeCells count="33">
    <mergeCell ref="T79:T84"/>
    <mergeCell ref="T85:T90"/>
    <mergeCell ref="P77:R77"/>
    <mergeCell ref="N77:O77"/>
    <mergeCell ref="H47:I47"/>
    <mergeCell ref="D69:F69"/>
    <mergeCell ref="A93:B106"/>
    <mergeCell ref="A62:B74"/>
    <mergeCell ref="I44:J44"/>
    <mergeCell ref="D44:E44"/>
    <mergeCell ref="A77:B90"/>
    <mergeCell ref="A28:A30"/>
    <mergeCell ref="A157:B170"/>
    <mergeCell ref="A173:B186"/>
    <mergeCell ref="A109:B122"/>
    <mergeCell ref="L77:M77"/>
    <mergeCell ref="A32:A34"/>
    <mergeCell ref="A36:A39"/>
    <mergeCell ref="A41:A43"/>
    <mergeCell ref="G183:P185"/>
    <mergeCell ref="K176:V180"/>
    <mergeCell ref="R47:T47"/>
    <mergeCell ref="U47:X47"/>
    <mergeCell ref="A47:B59"/>
    <mergeCell ref="O44:S45"/>
    <mergeCell ref="A125:B138"/>
    <mergeCell ref="A141:B154"/>
    <mergeCell ref="A1:D4"/>
    <mergeCell ref="A10:A12"/>
    <mergeCell ref="A7:A8"/>
    <mergeCell ref="A14:A16"/>
    <mergeCell ref="A24:A26"/>
    <mergeCell ref="A18:A22"/>
  </mergeCells>
  <pageMargins left="0.7" right="0.7" top="0.75" bottom="0.75" header="0.3" footer="0.3"/>
  <pageSetup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63D24-0C40-4CCF-A988-6EC444B7C713}">
  <dimension ref="A1:S63"/>
  <sheetViews>
    <sheetView showGridLines="0" topLeftCell="B1" workbookViewId="0">
      <selection activeCell="F35" sqref="F35"/>
    </sheetView>
  </sheetViews>
  <sheetFormatPr defaultRowHeight="14.4"/>
  <cols>
    <col min="1" max="1" width="21.21875" customWidth="1"/>
    <col min="2" max="2" width="39" customWidth="1"/>
  </cols>
  <sheetData>
    <row r="1" spans="1:18">
      <c r="B1" t="s">
        <v>1</v>
      </c>
      <c r="C1" t="s">
        <v>90</v>
      </c>
      <c r="D1" t="s">
        <v>86</v>
      </c>
      <c r="E1" t="s">
        <v>93</v>
      </c>
      <c r="F1" t="s">
        <v>88</v>
      </c>
      <c r="G1" t="s">
        <v>89</v>
      </c>
      <c r="H1" t="s">
        <v>213</v>
      </c>
      <c r="I1" t="s">
        <v>501</v>
      </c>
      <c r="J1" t="s">
        <v>91</v>
      </c>
      <c r="K1" t="s">
        <v>94</v>
      </c>
      <c r="L1" t="s">
        <v>546</v>
      </c>
      <c r="M1" t="s">
        <v>92</v>
      </c>
      <c r="N1" t="s">
        <v>99</v>
      </c>
      <c r="O1" t="s">
        <v>97</v>
      </c>
      <c r="P1" t="s">
        <v>96</v>
      </c>
      <c r="Q1" t="s">
        <v>218</v>
      </c>
      <c r="R1" t="s">
        <v>98</v>
      </c>
    </row>
    <row r="2" spans="1:18">
      <c r="B2" s="18" t="s">
        <v>557</v>
      </c>
      <c r="C2" s="18">
        <v>1</v>
      </c>
      <c r="D2" s="18">
        <v>1</v>
      </c>
      <c r="E2" s="18">
        <v>1</v>
      </c>
      <c r="F2" s="18">
        <v>1</v>
      </c>
      <c r="G2" s="18">
        <v>1</v>
      </c>
      <c r="H2" s="18">
        <v>1</v>
      </c>
      <c r="I2" s="18">
        <v>1</v>
      </c>
      <c r="J2" s="18">
        <v>1</v>
      </c>
      <c r="K2" s="18">
        <v>1</v>
      </c>
      <c r="L2" s="18">
        <v>1</v>
      </c>
      <c r="M2" s="18">
        <v>1</v>
      </c>
      <c r="N2" s="18">
        <v>1</v>
      </c>
      <c r="O2" s="18">
        <v>1</v>
      </c>
      <c r="P2" s="18">
        <v>1</v>
      </c>
      <c r="Q2" s="18">
        <v>1</v>
      </c>
      <c r="R2" s="18">
        <v>1</v>
      </c>
    </row>
    <row r="3" spans="1:18">
      <c r="A3" s="547" t="s">
        <v>674</v>
      </c>
      <c r="B3" s="193" t="s">
        <v>558</v>
      </c>
      <c r="C3" s="387">
        <f>'A2-4 Derived trans.coefficients'!D36</f>
        <v>0.19</v>
      </c>
      <c r="D3" s="387">
        <f>'A2-4 Derived trans.coefficients'!E36</f>
        <v>0.17071990320629157</v>
      </c>
      <c r="E3" s="387">
        <f>'A2-4 Derived trans.coefficients'!F36</f>
        <v>1</v>
      </c>
      <c r="F3" s="387">
        <f>'A2-4 Derived trans.coefficients'!G36</f>
        <v>0</v>
      </c>
      <c r="G3" s="387">
        <f>'A2-4 Derived trans.coefficients'!H36</f>
        <v>1</v>
      </c>
      <c r="H3" s="387">
        <f>'A2-4 Derived trans.coefficients'!I36</f>
        <v>0.40031217481789805</v>
      </c>
      <c r="I3" s="387">
        <f>'A2-4 Derived trans.coefficients'!J36</f>
        <v>0.40031217481789805</v>
      </c>
      <c r="J3" s="387">
        <f>'A2-4 Derived trans.coefficients'!K36</f>
        <v>1</v>
      </c>
      <c r="K3" s="387">
        <f>'A2-4 Derived trans.coefficients'!L36</f>
        <v>1</v>
      </c>
      <c r="L3" s="387">
        <f>'A2-4 Derived trans.coefficients'!M36</f>
        <v>1</v>
      </c>
      <c r="M3" s="387">
        <f>'A2-4 Derived trans.coefficients'!N36</f>
        <v>1</v>
      </c>
      <c r="N3" s="387">
        <f>'A2-4 Derived trans.coefficients'!O36</f>
        <v>1</v>
      </c>
      <c r="O3" s="387">
        <f>'A2-4 Derived trans.coefficients'!P36</f>
        <v>1</v>
      </c>
      <c r="P3" s="387">
        <f>'A2-4 Derived trans.coefficients'!Q36</f>
        <v>0.17071990320629157</v>
      </c>
      <c r="Q3" s="387">
        <f>'A2-4 Derived trans.coefficients'!R36</f>
        <v>0.40031217481789805</v>
      </c>
      <c r="R3" s="387">
        <f>'A2-4 Derived trans.coefficients'!S36</f>
        <v>0.40031217481789805</v>
      </c>
    </row>
    <row r="4" spans="1:18">
      <c r="A4" s="547"/>
      <c r="B4" s="193" t="s">
        <v>559</v>
      </c>
      <c r="C4" s="387">
        <f>'A2-4 Derived trans.coefficients'!D37</f>
        <v>0</v>
      </c>
      <c r="D4" s="387">
        <f>'A2-4 Derived trans.coefficients'!E37</f>
        <v>0</v>
      </c>
      <c r="E4" s="387">
        <f>'A2-4 Derived trans.coefficients'!F37</f>
        <v>0</v>
      </c>
      <c r="F4" s="387">
        <f>'A2-4 Derived trans.coefficients'!G37</f>
        <v>0.1873637159683392</v>
      </c>
      <c r="G4" s="387">
        <f>'A2-4 Derived trans.coefficients'!H37</f>
        <v>0</v>
      </c>
      <c r="H4" s="387">
        <f>'A2-4 Derived trans.coefficients'!I37</f>
        <v>0</v>
      </c>
      <c r="I4" s="387">
        <f>'A2-4 Derived trans.coefficients'!J37</f>
        <v>0</v>
      </c>
      <c r="J4" s="387">
        <f>'A2-4 Derived trans.coefficients'!K37</f>
        <v>0</v>
      </c>
      <c r="K4" s="387">
        <f>'A2-4 Derived trans.coefficients'!L37</f>
        <v>0</v>
      </c>
      <c r="L4" s="387">
        <f>'A2-4 Derived trans.coefficients'!M37</f>
        <v>0</v>
      </c>
      <c r="M4" s="387">
        <f>'A2-4 Derived trans.coefficients'!N37</f>
        <v>0</v>
      </c>
      <c r="N4" s="387">
        <f>'A2-4 Derived trans.coefficients'!O37</f>
        <v>0</v>
      </c>
      <c r="O4" s="387">
        <f>'A2-4 Derived trans.coefficients'!P37</f>
        <v>0</v>
      </c>
      <c r="P4" s="387">
        <f>'A2-4 Derived trans.coefficients'!Q37</f>
        <v>0</v>
      </c>
      <c r="Q4" s="387">
        <f>'A2-4 Derived trans.coefficients'!R37</f>
        <v>0</v>
      </c>
      <c r="R4" s="387">
        <f>'A2-4 Derived trans.coefficients'!S37</f>
        <v>0</v>
      </c>
    </row>
    <row r="5" spans="1:18">
      <c r="A5" s="547"/>
      <c r="B5" s="193" t="s">
        <v>560</v>
      </c>
      <c r="C5" s="387">
        <f>'A2-4 Derived trans.coefficients'!D38</f>
        <v>0</v>
      </c>
      <c r="D5" s="387">
        <f>'A2-4 Derived trans.coefficients'!E38</f>
        <v>0</v>
      </c>
      <c r="E5" s="387">
        <f>'A2-4 Derived trans.coefficients'!F38</f>
        <v>0</v>
      </c>
      <c r="F5" s="387">
        <f>'A2-4 Derived trans.coefficients'!G38</f>
        <v>0.15667298127936727</v>
      </c>
      <c r="G5" s="387">
        <f>'A2-4 Derived trans.coefficients'!H38</f>
        <v>0</v>
      </c>
      <c r="H5" s="387">
        <f>'A2-4 Derived trans.coefficients'!I38</f>
        <v>0</v>
      </c>
      <c r="I5" s="387">
        <f>'A2-4 Derived trans.coefficients'!J38</f>
        <v>0</v>
      </c>
      <c r="J5" s="387">
        <f>'A2-4 Derived trans.coefficients'!K38</f>
        <v>0</v>
      </c>
      <c r="K5" s="387">
        <f>'A2-4 Derived trans.coefficients'!L38</f>
        <v>0</v>
      </c>
      <c r="L5" s="387">
        <f>'A2-4 Derived trans.coefficients'!M38</f>
        <v>0</v>
      </c>
      <c r="M5" s="387">
        <f>'A2-4 Derived trans.coefficients'!N38</f>
        <v>0</v>
      </c>
      <c r="N5" s="387">
        <f>'A2-4 Derived trans.coefficients'!O38</f>
        <v>0</v>
      </c>
      <c r="O5" s="387">
        <f>'A2-4 Derived trans.coefficients'!P38</f>
        <v>0</v>
      </c>
      <c r="P5" s="387">
        <f>'A2-4 Derived trans.coefficients'!Q38</f>
        <v>0</v>
      </c>
      <c r="Q5" s="387">
        <f>'A2-4 Derived trans.coefficients'!R38</f>
        <v>0</v>
      </c>
      <c r="R5" s="387">
        <f>'A2-4 Derived trans.coefficients'!S38</f>
        <v>0</v>
      </c>
    </row>
    <row r="6" spans="1:18">
      <c r="A6" s="547"/>
      <c r="B6" s="193" t="s">
        <v>564</v>
      </c>
      <c r="C6" s="387">
        <f>'A2-4 Derived trans.coefficients'!D39</f>
        <v>0.81</v>
      </c>
      <c r="D6" s="387">
        <f>'A2-4 Derived trans.coefficients'!E39</f>
        <v>0.8292800967937084</v>
      </c>
      <c r="E6" s="387">
        <f>'A2-4 Derived trans.coefficients'!F39</f>
        <v>0</v>
      </c>
      <c r="F6" s="387">
        <f>'A2-4 Derived trans.coefficients'!G39</f>
        <v>0.65596330275229353</v>
      </c>
      <c r="G6" s="387">
        <f>'A2-4 Derived trans.coefficients'!H39</f>
        <v>0</v>
      </c>
      <c r="H6" s="387">
        <f>'A2-4 Derived trans.coefficients'!I39</f>
        <v>0.59968782518210195</v>
      </c>
      <c r="I6" s="387">
        <f>'A2-4 Derived trans.coefficients'!J39</f>
        <v>0.59968782518210195</v>
      </c>
      <c r="J6" s="387">
        <f>'A2-4 Derived trans.coefficients'!K39</f>
        <v>0</v>
      </c>
      <c r="K6" s="387">
        <f>'A2-4 Derived trans.coefficients'!L39</f>
        <v>0</v>
      </c>
      <c r="L6" s="387">
        <f>'A2-4 Derived trans.coefficients'!M39</f>
        <v>0</v>
      </c>
      <c r="M6" s="387">
        <f>'A2-4 Derived trans.coefficients'!N39</f>
        <v>0</v>
      </c>
      <c r="N6" s="387">
        <f>'A2-4 Derived trans.coefficients'!O39</f>
        <v>0</v>
      </c>
      <c r="O6" s="387">
        <f>'A2-4 Derived trans.coefficients'!P39</f>
        <v>0</v>
      </c>
      <c r="P6" s="387">
        <f>'A2-4 Derived trans.coefficients'!Q39</f>
        <v>0.8292800967937084</v>
      </c>
      <c r="Q6" s="387">
        <f>'A2-4 Derived trans.coefficients'!R39</f>
        <v>0.59968782518210195</v>
      </c>
      <c r="R6" s="387">
        <f>'A2-4 Derived trans.coefficients'!S39</f>
        <v>0.59968782518210195</v>
      </c>
    </row>
    <row r="7" spans="1:18">
      <c r="A7" s="547" t="s">
        <v>673</v>
      </c>
      <c r="B7" s="194" t="s">
        <v>561</v>
      </c>
      <c r="C7" s="388">
        <f>'A2-4 Derived trans.coefficients'!D41</f>
        <v>0.97</v>
      </c>
      <c r="D7" s="388">
        <f>'A2-4 Derived trans.coefficients'!E41</f>
        <v>0.97</v>
      </c>
      <c r="E7" s="388">
        <f>'A2-4 Derived trans.coefficients'!F41</f>
        <v>0</v>
      </c>
      <c r="F7" s="388">
        <f>'A2-4 Derived trans.coefficients'!G41</f>
        <v>0</v>
      </c>
      <c r="G7" s="388">
        <f>'A2-4 Derived trans.coefficients'!H41</f>
        <v>0</v>
      </c>
      <c r="H7" s="388">
        <f>'A2-4 Derived trans.coefficients'!I41</f>
        <v>0.01</v>
      </c>
      <c r="I7" s="388">
        <f>'A2-4 Derived trans.coefficients'!J41</f>
        <v>0.01</v>
      </c>
      <c r="J7" s="388">
        <f>'A2-4 Derived trans.coefficients'!K41</f>
        <v>0.1</v>
      </c>
      <c r="K7" s="388">
        <f>'A2-4 Derived trans.coefficients'!L41</f>
        <v>0</v>
      </c>
      <c r="L7" s="388">
        <f>'A2-4 Derived trans.coefficients'!M41</f>
        <v>0</v>
      </c>
      <c r="M7" s="388">
        <f>'A2-4 Derived trans.coefficients'!N41</f>
        <v>0</v>
      </c>
      <c r="N7" s="388">
        <f>'A2-4 Derived trans.coefficients'!O41</f>
        <v>0.1</v>
      </c>
      <c r="O7" s="388">
        <f>'A2-4 Derived trans.coefficients'!P41</f>
        <v>0.1</v>
      </c>
      <c r="P7" s="388">
        <f>'A2-4 Derived trans.coefficients'!Q41</f>
        <v>0.4</v>
      </c>
      <c r="Q7" s="388">
        <f>'A2-4 Derived trans.coefficients'!R41</f>
        <v>0.1</v>
      </c>
      <c r="R7" s="388">
        <f>'A2-4 Derived trans.coefficients'!S41</f>
        <v>0.1</v>
      </c>
    </row>
    <row r="8" spans="1:18">
      <c r="A8" s="547"/>
      <c r="B8" s="194" t="s">
        <v>562</v>
      </c>
      <c r="C8" s="388">
        <f>'A2-4 Derived trans.coefficients'!D42</f>
        <v>1.4999999999999999E-2</v>
      </c>
      <c r="D8" s="388">
        <f>'A2-4 Derived trans.coefficients'!E42</f>
        <v>1.4999999999999999E-2</v>
      </c>
      <c r="E8" s="388">
        <f>'A2-4 Derived trans.coefficients'!F42</f>
        <v>0.5</v>
      </c>
      <c r="F8" s="388">
        <f>'A2-4 Derived trans.coefficients'!G42</f>
        <v>0.6</v>
      </c>
      <c r="G8" s="388">
        <f>'A2-4 Derived trans.coefficients'!H42</f>
        <v>0.99</v>
      </c>
      <c r="H8" s="388">
        <f>'A2-4 Derived trans.coefficients'!I42</f>
        <v>0.98</v>
      </c>
      <c r="I8" s="388">
        <f>'A2-4 Derived trans.coefficients'!J42</f>
        <v>0.98</v>
      </c>
      <c r="J8" s="388">
        <f>'A2-4 Derived trans.coefficients'!K42</f>
        <v>0.1</v>
      </c>
      <c r="K8" s="388">
        <f>'A2-4 Derived trans.coefficients'!L42</f>
        <v>0.01</v>
      </c>
      <c r="L8" s="388">
        <f>'A2-4 Derived trans.coefficients'!M42</f>
        <v>0.01</v>
      </c>
      <c r="M8" s="388">
        <f>'A2-4 Derived trans.coefficients'!N42</f>
        <v>1</v>
      </c>
      <c r="N8" s="388">
        <f>'A2-4 Derived trans.coefficients'!O42</f>
        <v>0.5</v>
      </c>
      <c r="O8" s="388">
        <f>'A2-4 Derived trans.coefficients'!P42</f>
        <v>0.5</v>
      </c>
      <c r="P8" s="388">
        <f>'A2-4 Derived trans.coefficients'!Q42</f>
        <v>0.3</v>
      </c>
      <c r="Q8" s="388">
        <f>'A2-4 Derived trans.coefficients'!R42</f>
        <v>0.5</v>
      </c>
      <c r="R8" s="388">
        <f>'A2-4 Derived trans.coefficients'!S42</f>
        <v>0.5</v>
      </c>
    </row>
    <row r="9" spans="1:18">
      <c r="A9" s="547"/>
      <c r="B9" s="194" t="s">
        <v>563</v>
      </c>
      <c r="C9" s="388">
        <f>'A2-4 Derived trans.coefficients'!D43</f>
        <v>1.4999999999999999E-2</v>
      </c>
      <c r="D9" s="388">
        <f>'A2-4 Derived trans.coefficients'!E43</f>
        <v>1.4999999999999999E-2</v>
      </c>
      <c r="E9" s="388">
        <f>'A2-4 Derived trans.coefficients'!F43</f>
        <v>0.5</v>
      </c>
      <c r="F9" s="388">
        <f>'A2-4 Derived trans.coefficients'!G43</f>
        <v>0.4</v>
      </c>
      <c r="G9" s="388">
        <f>'A2-4 Derived trans.coefficients'!H43</f>
        <v>0.01</v>
      </c>
      <c r="H9" s="388">
        <f>'A2-4 Derived trans.coefficients'!I43</f>
        <v>0.01</v>
      </c>
      <c r="I9" s="388">
        <f>'A2-4 Derived trans.coefficients'!J43</f>
        <v>0.01</v>
      </c>
      <c r="J9" s="388">
        <f>'A2-4 Derived trans.coefficients'!K43</f>
        <v>0.8</v>
      </c>
      <c r="K9" s="388">
        <f>'A2-4 Derived trans.coefficients'!L43</f>
        <v>0.99</v>
      </c>
      <c r="L9" s="388">
        <f>'A2-4 Derived trans.coefficients'!M43</f>
        <v>0.99</v>
      </c>
      <c r="M9" s="388">
        <f>'A2-4 Derived trans.coefficients'!N43</f>
        <v>0</v>
      </c>
      <c r="N9" s="388">
        <f>'A2-4 Derived trans.coefficients'!O43</f>
        <v>0.4</v>
      </c>
      <c r="O9" s="388">
        <f>'A2-4 Derived trans.coefficients'!P43</f>
        <v>0.4</v>
      </c>
      <c r="P9" s="388">
        <f>'A2-4 Derived trans.coefficients'!Q43</f>
        <v>0.3</v>
      </c>
      <c r="Q9" s="388">
        <f>'A2-4 Derived trans.coefficients'!R43</f>
        <v>0.4</v>
      </c>
      <c r="R9" s="388">
        <f>'A2-4 Derived trans.coefficients'!S43</f>
        <v>0.4</v>
      </c>
    </row>
    <row r="10" spans="1:18">
      <c r="A10" s="548" t="s">
        <v>9</v>
      </c>
      <c r="B10" s="27" t="s">
        <v>496</v>
      </c>
      <c r="C10" s="389">
        <f>'A2-4 Derived trans.coefficients'!D7</f>
        <v>0.96777296374010613</v>
      </c>
      <c r="D10" s="389">
        <v>0.96747597600000002</v>
      </c>
      <c r="E10" s="389">
        <v>0.13126188999999999</v>
      </c>
      <c r="F10" s="389">
        <v>0.5</v>
      </c>
      <c r="G10" s="389">
        <v>0.2</v>
      </c>
      <c r="H10" s="389">
        <v>0.66780799099999999</v>
      </c>
      <c r="I10" s="389">
        <v>0.66780799099999999</v>
      </c>
      <c r="J10" s="389">
        <v>7.0945945999999996E-2</v>
      </c>
      <c r="K10" s="389">
        <v>0</v>
      </c>
      <c r="L10" s="389">
        <v>0</v>
      </c>
      <c r="M10" s="389">
        <v>0.5</v>
      </c>
      <c r="N10" s="389">
        <v>0.13126188999999999</v>
      </c>
      <c r="O10" s="389">
        <v>0.13126188999999999</v>
      </c>
      <c r="P10" s="389">
        <v>0.96747597600000002</v>
      </c>
      <c r="Q10" s="389">
        <v>0.66780799099999999</v>
      </c>
      <c r="R10" s="389">
        <v>0.66780799099999999</v>
      </c>
    </row>
    <row r="11" spans="1:18">
      <c r="A11" s="548"/>
      <c r="B11" s="27" t="s">
        <v>497</v>
      </c>
      <c r="C11" s="389">
        <f>'A2-4 Derived trans.coefficients'!D8</f>
        <v>3.2227036259893878E-2</v>
      </c>
      <c r="D11" s="389">
        <v>3.2524023999999999E-2</v>
      </c>
      <c r="E11" s="389">
        <v>0.86873811000000001</v>
      </c>
      <c r="F11" s="389">
        <v>0.5</v>
      </c>
      <c r="G11" s="389">
        <v>0.8</v>
      </c>
      <c r="H11" s="389">
        <v>0.33219200900000001</v>
      </c>
      <c r="I11" s="389">
        <v>0.33219200900000001</v>
      </c>
      <c r="J11" s="389">
        <v>0.92905405399999996</v>
      </c>
      <c r="K11" s="389">
        <v>1</v>
      </c>
      <c r="L11" s="389">
        <v>1</v>
      </c>
      <c r="M11" s="389">
        <v>0.5</v>
      </c>
      <c r="N11" s="389">
        <v>0.86873811000000001</v>
      </c>
      <c r="O11" s="389">
        <v>0.86873811000000001</v>
      </c>
      <c r="P11" s="389">
        <v>3.2524023999999999E-2</v>
      </c>
      <c r="Q11" s="389">
        <v>0.33219200900000001</v>
      </c>
      <c r="R11" s="389">
        <v>0.33219200900000001</v>
      </c>
    </row>
    <row r="12" spans="1:18">
      <c r="A12" s="547" t="s">
        <v>19</v>
      </c>
      <c r="B12" s="195" t="s">
        <v>553</v>
      </c>
      <c r="C12" s="390">
        <f>'A2-4 Derived trans.coefficients'!D10</f>
        <v>0.17089652330548616</v>
      </c>
      <c r="D12" s="390">
        <f>'A2-4 Derived trans.coefficients'!E10</f>
        <v>0.17089652330548616</v>
      </c>
      <c r="E12" s="390">
        <f>'A2-4 Derived trans.coefficients'!F10</f>
        <v>0</v>
      </c>
      <c r="F12" s="390">
        <f>'A2-4 Derived trans.coefficients'!G10</f>
        <v>5.5871158110802559E-2</v>
      </c>
      <c r="G12" s="390">
        <f>'A2-4 Derived trans.coefficients'!H10</f>
        <v>0</v>
      </c>
      <c r="H12" s="390">
        <f>'A2-4 Derived trans.coefficients'!I10</f>
        <v>9.63859743998573E-4</v>
      </c>
      <c r="I12" s="390">
        <f>'A2-4 Derived trans.coefficients'!J10</f>
        <v>9.6385974399857321E-4</v>
      </c>
      <c r="J12" s="390">
        <f>'A2-4 Derived trans.coefficients'!K10</f>
        <v>1.7232135944878844E-2</v>
      </c>
      <c r="K12" s="390">
        <f>'A2-4 Derived trans.coefficients'!L10</f>
        <v>0</v>
      </c>
      <c r="L12" s="390">
        <f>'A2-4 Derived trans.coefficients'!M10</f>
        <v>0</v>
      </c>
      <c r="M12" s="390">
        <f>'A2-4 Derived trans.coefficients'!N10</f>
        <v>0</v>
      </c>
      <c r="N12" s="390">
        <f>'A2-4 Derived trans.coefficients'!O10</f>
        <v>0</v>
      </c>
      <c r="O12" s="390">
        <f>'A2-4 Derived trans.coefficients'!P10</f>
        <v>0</v>
      </c>
      <c r="P12" s="390">
        <f>'A2-4 Derived trans.coefficients'!Q10</f>
        <v>0.17089652330548616</v>
      </c>
      <c r="Q12" s="390">
        <f>'A2-4 Derived trans.coefficients'!R10</f>
        <v>9.63859743998573E-4</v>
      </c>
      <c r="R12" s="390">
        <f>'A2-4 Derived trans.coefficients'!S10</f>
        <v>9.63859743998573E-4</v>
      </c>
    </row>
    <row r="13" spans="1:18">
      <c r="A13" s="547"/>
      <c r="B13" s="195" t="s">
        <v>508</v>
      </c>
      <c r="C13" s="390">
        <f>'A2-4 Derived trans.coefficients'!D11</f>
        <v>0.82083499420424133</v>
      </c>
      <c r="D13" s="390">
        <f>'A2-4 Derived trans.coefficients'!E11</f>
        <v>0.82083499420424133</v>
      </c>
      <c r="E13" s="390">
        <f>'A2-4 Derived trans.coefficients'!F11</f>
        <v>0</v>
      </c>
      <c r="F13" s="390">
        <f>'A2-4 Derived trans.coefficients'!G11</f>
        <v>0.26835538170712819</v>
      </c>
      <c r="G13" s="390">
        <f>'A2-4 Derived trans.coefficients'!H11</f>
        <v>0</v>
      </c>
      <c r="H13" s="390">
        <f>'A2-4 Derived trans.coefficients'!I11</f>
        <v>4.6295254700092084E-3</v>
      </c>
      <c r="I13" s="390">
        <f>'A2-4 Derived trans.coefficients'!J11</f>
        <v>4.6295254700092076E-3</v>
      </c>
      <c r="J13" s="390">
        <f>'A2-4 Derived trans.coefficients'!K11</f>
        <v>8.2767864055121168E-2</v>
      </c>
      <c r="K13" s="390">
        <f>'A2-4 Derived trans.coefficients'!L11</f>
        <v>0</v>
      </c>
      <c r="L13" s="390">
        <f>'A2-4 Derived trans.coefficients'!M11</f>
        <v>0</v>
      </c>
      <c r="M13" s="390">
        <f>'A2-4 Derived trans.coefficients'!N11</f>
        <v>0</v>
      </c>
      <c r="N13" s="390">
        <f>'A2-4 Derived trans.coefficients'!O11</f>
        <v>0</v>
      </c>
      <c r="O13" s="390">
        <f>'A2-4 Derived trans.coefficients'!P11</f>
        <v>0</v>
      </c>
      <c r="P13" s="390">
        <f>'A2-4 Derived trans.coefficients'!Q11</f>
        <v>0.82083499420424133</v>
      </c>
      <c r="Q13" s="390">
        <f>'A2-4 Derived trans.coefficients'!R11</f>
        <v>4.6295254700092084E-3</v>
      </c>
      <c r="R13" s="390">
        <f>'A2-4 Derived trans.coefficients'!S11</f>
        <v>4.6295254700092084E-3</v>
      </c>
    </row>
    <row r="14" spans="1:18">
      <c r="A14" s="547"/>
      <c r="B14" s="195" t="s">
        <v>509</v>
      </c>
      <c r="C14" s="390">
        <f>'A2-4 Derived trans.coefficients'!D12</f>
        <v>8.2684824902724552E-3</v>
      </c>
      <c r="D14" s="390">
        <f>'A2-4 Derived trans.coefficients'!E12</f>
        <v>8.2684824902724552E-3</v>
      </c>
      <c r="E14" s="390">
        <f>'A2-4 Derived trans.coefficients'!F12</f>
        <v>1</v>
      </c>
      <c r="F14" s="390">
        <f>'A2-4 Derived trans.coefficients'!G12</f>
        <v>0.6757734601820693</v>
      </c>
      <c r="G14" s="390">
        <f>'A2-4 Derived trans.coefficients'!H12</f>
        <v>1</v>
      </c>
      <c r="H14" s="390">
        <f>'A2-4 Derived trans.coefficients'!I12</f>
        <v>0.99440661478599224</v>
      </c>
      <c r="I14" s="390">
        <f>'A2-4 Derived trans.coefficients'!J12</f>
        <v>0.99440661478599224</v>
      </c>
      <c r="J14" s="390">
        <f>'A2-4 Derived trans.coefficients'!K12</f>
        <v>0.9</v>
      </c>
      <c r="K14" s="390">
        <f>'A2-4 Derived trans.coefficients'!L12</f>
        <v>1</v>
      </c>
      <c r="L14" s="390">
        <f>'A2-4 Derived trans.coefficients'!M12</f>
        <v>1</v>
      </c>
      <c r="M14" s="390">
        <f>'A2-4 Derived trans.coefficients'!N12</f>
        <v>1</v>
      </c>
      <c r="N14" s="390">
        <f>'A2-4 Derived trans.coefficients'!O12</f>
        <v>1</v>
      </c>
      <c r="O14" s="390">
        <f>'A2-4 Derived trans.coefficients'!P12</f>
        <v>1</v>
      </c>
      <c r="P14" s="390">
        <f>'A2-4 Derived trans.coefficients'!Q12</f>
        <v>8.2684824902724552E-3</v>
      </c>
      <c r="Q14" s="390">
        <f>'A2-4 Derived trans.coefficients'!R12</f>
        <v>0.99440661478599224</v>
      </c>
      <c r="R14" s="390">
        <f>'A2-4 Derived trans.coefficients'!S12</f>
        <v>0.99440661478599224</v>
      </c>
    </row>
    <row r="15" spans="1:18">
      <c r="A15" s="547" t="s">
        <v>20</v>
      </c>
      <c r="B15" s="196" t="s">
        <v>514</v>
      </c>
      <c r="C15" s="391">
        <f>'A2-4 Derived trans.coefficients'!D14</f>
        <v>0.86445375655789092</v>
      </c>
      <c r="D15" s="391">
        <f>'A2-4 Derived trans.coefficients'!E14</f>
        <v>0.86445375655789092</v>
      </c>
      <c r="E15" s="391">
        <f>'A2-4 Derived trans.coefficients'!F14</f>
        <v>0.67757695168781029</v>
      </c>
      <c r="F15" s="391">
        <f>'A2-4 Derived trans.coefficients'!G14</f>
        <v>0.28910079914042036</v>
      </c>
      <c r="G15" s="391">
        <f>'A2-4 Derived trans.coefficients'!H14</f>
        <v>0.15650586412923209</v>
      </c>
      <c r="H15" s="391">
        <f>'A2-4 Derived trans.coefficients'!I14</f>
        <v>0</v>
      </c>
      <c r="I15" s="391">
        <f>'A2-4 Derived trans.coefficients'!J14</f>
        <v>0</v>
      </c>
      <c r="J15" s="391">
        <f>'A2-4 Derived trans.coefficients'!K14</f>
        <v>0.6775769516878104</v>
      </c>
      <c r="K15" s="391">
        <f>'A2-4 Derived trans.coefficients'!L14</f>
        <v>0.22520438287725678</v>
      </c>
      <c r="L15" s="391">
        <f>'A2-4 Derived trans.coefficients'!M14</f>
        <v>0.2252043828772568</v>
      </c>
      <c r="M15" s="391">
        <f>'A2-4 Derived trans.coefficients'!N14</f>
        <v>0.05</v>
      </c>
      <c r="N15" s="391">
        <f>'A2-4 Derived trans.coefficients'!O14</f>
        <v>0.67757695168781029</v>
      </c>
      <c r="O15" s="391">
        <f>'A2-4 Derived trans.coefficients'!P14</f>
        <v>0.33333333333333331</v>
      </c>
      <c r="P15" s="391">
        <f>'A2-4 Derived trans.coefficients'!Q14</f>
        <v>0.33333333333333331</v>
      </c>
      <c r="Q15" s="391">
        <f>'A2-4 Derived trans.coefficients'!R14</f>
        <v>0.33333333333333331</v>
      </c>
      <c r="R15" s="391">
        <f>'A2-4 Derived trans.coefficients'!S14</f>
        <v>0.33333333333333331</v>
      </c>
    </row>
    <row r="16" spans="1:18">
      <c r="A16" s="547"/>
      <c r="B16" s="196" t="s">
        <v>515</v>
      </c>
      <c r="C16" s="391">
        <f>'A2-4 Derived trans.coefficients'!D15</f>
        <v>0.13554624344210911</v>
      </c>
      <c r="D16" s="391">
        <f>'A2-4 Derived trans.coefficients'!E15</f>
        <v>0.13554624344210911</v>
      </c>
      <c r="E16" s="391">
        <f>'A2-4 Derived trans.coefficients'!F15</f>
        <v>0.32242304831218965</v>
      </c>
      <c r="F16" s="391">
        <f>'A2-4 Derived trans.coefficients'!G15</f>
        <v>0.71089920085957958</v>
      </c>
      <c r="G16" s="391">
        <f>'A2-4 Derived trans.coefficients'!H15</f>
        <v>0.84349413587076782</v>
      </c>
      <c r="H16" s="391">
        <f>'A2-4 Derived trans.coefficients'!I15</f>
        <v>0</v>
      </c>
      <c r="I16" s="391">
        <f>'A2-4 Derived trans.coefficients'!J15</f>
        <v>0</v>
      </c>
      <c r="J16" s="391">
        <f>'A2-4 Derived trans.coefficients'!K15</f>
        <v>0.32242304831218965</v>
      </c>
      <c r="K16" s="391">
        <f>'A2-4 Derived trans.coefficients'!L15</f>
        <v>0.77479561712274325</v>
      </c>
      <c r="L16" s="391">
        <f>'A2-4 Derived trans.coefficients'!M15</f>
        <v>0.77479561712274325</v>
      </c>
      <c r="M16" s="391">
        <f>'A2-4 Derived trans.coefficients'!N15</f>
        <v>0.95</v>
      </c>
      <c r="N16" s="391">
        <f>'A2-4 Derived trans.coefficients'!O15</f>
        <v>0.32242304831218965</v>
      </c>
      <c r="O16" s="391">
        <f>'A2-4 Derived trans.coefficients'!P15</f>
        <v>0.33333333333333331</v>
      </c>
      <c r="P16" s="391">
        <f>'A2-4 Derived trans.coefficients'!Q15</f>
        <v>0.33333333333333331</v>
      </c>
      <c r="Q16" s="391">
        <f>'A2-4 Derived trans.coefficients'!R15</f>
        <v>0.33333333333333331</v>
      </c>
      <c r="R16" s="391">
        <f>'A2-4 Derived trans.coefficients'!S15</f>
        <v>0.33333333333333331</v>
      </c>
    </row>
    <row r="17" spans="1:18">
      <c r="A17" s="547"/>
      <c r="B17" s="196" t="s">
        <v>516</v>
      </c>
      <c r="C17" s="391">
        <f>'A2-4 Derived trans.coefficients'!D16</f>
        <v>0</v>
      </c>
      <c r="D17" s="391">
        <f>'A2-4 Derived trans.coefficients'!E16</f>
        <v>0</v>
      </c>
      <c r="E17" s="391">
        <f>'A2-4 Derived trans.coefficients'!F16</f>
        <v>0</v>
      </c>
      <c r="F17" s="391">
        <f>'A2-4 Derived trans.coefficients'!G16</f>
        <v>0</v>
      </c>
      <c r="G17" s="391">
        <f>'A2-4 Derived trans.coefficients'!H16</f>
        <v>0</v>
      </c>
      <c r="H17" s="391">
        <f>'A2-4 Derived trans.coefficients'!I16</f>
        <v>1</v>
      </c>
      <c r="I17" s="391">
        <f>'A2-4 Derived trans.coefficients'!J16</f>
        <v>1</v>
      </c>
      <c r="J17" s="391">
        <f>'A2-4 Derived trans.coefficients'!K16</f>
        <v>0</v>
      </c>
      <c r="K17" s="391">
        <f>'A2-4 Derived trans.coefficients'!L16</f>
        <v>0</v>
      </c>
      <c r="L17" s="391">
        <f>'A2-4 Derived trans.coefficients'!M16</f>
        <v>0</v>
      </c>
      <c r="M17" s="391">
        <f>'A2-4 Derived trans.coefficients'!N16</f>
        <v>0</v>
      </c>
      <c r="N17" s="391">
        <f>'A2-4 Derived trans.coefficients'!O16</f>
        <v>0</v>
      </c>
      <c r="O17" s="391">
        <f>'A2-4 Derived trans.coefficients'!P16</f>
        <v>0.33333333333333331</v>
      </c>
      <c r="P17" s="391">
        <f>'A2-4 Derived trans.coefficients'!Q16</f>
        <v>0.33333333333333331</v>
      </c>
      <c r="Q17" s="391">
        <f>'A2-4 Derived trans.coefficients'!R16</f>
        <v>0.33333333333333331</v>
      </c>
      <c r="R17" s="391">
        <f>'A2-4 Derived trans.coefficients'!S16</f>
        <v>0.33333333333333331</v>
      </c>
    </row>
    <row r="18" spans="1:18" ht="14.4" customHeight="1">
      <c r="A18" s="585" t="s">
        <v>512</v>
      </c>
      <c r="B18" s="31" t="s">
        <v>522</v>
      </c>
      <c r="C18" s="392">
        <f>'A2-4 Derived trans.coefficients'!D18</f>
        <v>0.01</v>
      </c>
      <c r="D18" s="392">
        <f>'A2-4 Derived trans.coefficients'!E18</f>
        <v>0.01</v>
      </c>
      <c r="E18" s="392">
        <f>'A2-4 Derived trans.coefficients'!F18</f>
        <v>0.1062</v>
      </c>
      <c r="F18" s="392">
        <f>'A2-4 Derived trans.coefficients'!G18</f>
        <v>0.1447</v>
      </c>
      <c r="G18" s="392">
        <f>'A2-4 Derived trans.coefficients'!H18</f>
        <v>0.5</v>
      </c>
      <c r="H18" s="392">
        <f>'A2-4 Derived trans.coefficients'!I18</f>
        <v>1.3664844375991759E-3</v>
      </c>
      <c r="I18" s="392">
        <f>'A2-4 Derived trans.coefficients'!J18</f>
        <v>1.901796315641224E-3</v>
      </c>
      <c r="J18" s="392">
        <f>'A2-4 Derived trans.coefficients'!K18</f>
        <v>0.35</v>
      </c>
      <c r="K18" s="392">
        <f>'A2-4 Derived trans.coefficients'!L18</f>
        <v>0.1062</v>
      </c>
      <c r="L18" s="392">
        <f>'A2-4 Derived trans.coefficients'!M18</f>
        <v>0.10000000000000002</v>
      </c>
      <c r="M18" s="392">
        <f>'A2-4 Derived trans.coefficients'!N18</f>
        <v>0.95</v>
      </c>
      <c r="N18" s="392">
        <f>'A2-4 Derived trans.coefficients'!O18</f>
        <v>0.1062</v>
      </c>
      <c r="O18" s="392">
        <f>'A2-4 Derived trans.coefficients'!P18</f>
        <v>0.5</v>
      </c>
      <c r="P18" s="392">
        <f>'A2-4 Derived trans.coefficients'!Q18</f>
        <v>0.01</v>
      </c>
      <c r="Q18" s="392">
        <f>'A2-4 Derived trans.coefficients'!R18</f>
        <v>1.3664844375991759E-3</v>
      </c>
      <c r="R18" s="392">
        <f>'A2-4 Derived trans.coefficients'!S18</f>
        <v>1.3664844375991759E-3</v>
      </c>
    </row>
    <row r="19" spans="1:18">
      <c r="A19" s="586"/>
      <c r="B19" s="31" t="s">
        <v>523</v>
      </c>
      <c r="C19" s="392">
        <f>'A2-4 Derived trans.coefficients'!D19</f>
        <v>0.01</v>
      </c>
      <c r="D19" s="392">
        <f>'A2-4 Derived trans.coefficients'!E19</f>
        <v>0.01</v>
      </c>
      <c r="E19" s="392">
        <f>'A2-4 Derived trans.coefficients'!F19</f>
        <v>0</v>
      </c>
      <c r="F19" s="392">
        <f>'A2-4 Derived trans.coefficients'!G19</f>
        <v>0.01</v>
      </c>
      <c r="G19" s="392">
        <f>'A2-4 Derived trans.coefficients'!H19</f>
        <v>0</v>
      </c>
      <c r="H19" s="392">
        <f>'A2-4 Derived trans.coefficients'!I19</f>
        <v>0.25000000000000006</v>
      </c>
      <c r="I19" s="392">
        <f>'A2-4 Derived trans.coefficients'!J19</f>
        <v>0.24999999999999992</v>
      </c>
      <c r="J19" s="392">
        <f>'A2-4 Derived trans.coefficients'!K19</f>
        <v>0.1</v>
      </c>
      <c r="K19" s="392">
        <f>'A2-4 Derived trans.coefficients'!L19</f>
        <v>0</v>
      </c>
      <c r="L19" s="392">
        <f>'A2-4 Derived trans.coefficients'!M19</f>
        <v>0</v>
      </c>
      <c r="M19" s="392">
        <f>'A2-4 Derived trans.coefficients'!N19</f>
        <v>0</v>
      </c>
      <c r="N19" s="392">
        <f>'A2-4 Derived trans.coefficients'!O19</f>
        <v>0</v>
      </c>
      <c r="O19" s="392">
        <f>'A2-4 Derived trans.coefficients'!P19</f>
        <v>0</v>
      </c>
      <c r="P19" s="392">
        <f>'A2-4 Derived trans.coefficients'!Q19</f>
        <v>0.01</v>
      </c>
      <c r="Q19" s="392">
        <f>'A2-4 Derived trans.coefficients'!R19</f>
        <v>0.25000000000000006</v>
      </c>
      <c r="R19" s="392">
        <f>'A2-4 Derived trans.coefficients'!S19</f>
        <v>0.25000000000000006</v>
      </c>
    </row>
    <row r="20" spans="1:18">
      <c r="A20" s="586"/>
      <c r="B20" s="31" t="s">
        <v>524</v>
      </c>
      <c r="C20" s="392">
        <f>'A2-4 Derived trans.coefficients'!D20</f>
        <v>0.96</v>
      </c>
      <c r="D20" s="392">
        <f>'A2-4 Derived trans.coefficients'!E20</f>
        <v>0.96000000000000008</v>
      </c>
      <c r="E20" s="392">
        <f>'A2-4 Derived trans.coefficients'!F20</f>
        <v>0</v>
      </c>
      <c r="F20" s="392">
        <f>'A2-4 Derived trans.coefficients'!G20</f>
        <v>0.01</v>
      </c>
      <c r="G20" s="392">
        <f>'A2-4 Derived trans.coefficients'!H20</f>
        <v>0</v>
      </c>
      <c r="H20" s="392">
        <f>'A2-4 Derived trans.coefficients'!I20</f>
        <v>0</v>
      </c>
      <c r="I20" s="392">
        <f>'A2-4 Derived trans.coefficients'!J20</f>
        <v>0</v>
      </c>
      <c r="J20" s="392">
        <f>'A2-4 Derived trans.coefficients'!K20</f>
        <v>0.1</v>
      </c>
      <c r="K20" s="392">
        <f>'A2-4 Derived trans.coefficients'!L20</f>
        <v>0</v>
      </c>
      <c r="L20" s="392">
        <f>'A2-4 Derived trans.coefficients'!M20</f>
        <v>0</v>
      </c>
      <c r="M20" s="392">
        <f>'A2-4 Derived trans.coefficients'!N20</f>
        <v>0</v>
      </c>
      <c r="N20" s="392">
        <f>'A2-4 Derived trans.coefficients'!O20</f>
        <v>0</v>
      </c>
      <c r="O20" s="392">
        <f>'A2-4 Derived trans.coefficients'!P20</f>
        <v>0</v>
      </c>
      <c r="P20" s="392">
        <f>'A2-4 Derived trans.coefficients'!Q20</f>
        <v>0.96000000000000008</v>
      </c>
      <c r="Q20" s="392">
        <f>'A2-4 Derived trans.coefficients'!R20</f>
        <v>0</v>
      </c>
      <c r="R20" s="392">
        <f>'A2-4 Derived trans.coefficients'!S20</f>
        <v>0</v>
      </c>
    </row>
    <row r="21" spans="1:18">
      <c r="A21" s="586"/>
      <c r="B21" s="31" t="s">
        <v>131</v>
      </c>
      <c r="C21" s="392">
        <f>'A2-4 Derived trans.coefficients'!D21</f>
        <v>0.01</v>
      </c>
      <c r="D21" s="392">
        <f>'A2-4 Derived trans.coefficients'!E21</f>
        <v>0.01</v>
      </c>
      <c r="E21" s="392">
        <f>'A2-4 Derived trans.coefficients'!F21</f>
        <v>0.89380000000000004</v>
      </c>
      <c r="F21" s="392">
        <f>'A2-4 Derived trans.coefficients'!G21</f>
        <v>0.82530000000000003</v>
      </c>
      <c r="G21" s="392">
        <f>'A2-4 Derived trans.coefficients'!H21</f>
        <v>0.5</v>
      </c>
      <c r="H21" s="392">
        <f>'A2-4 Derived trans.coefficients'!I21</f>
        <v>1.9017963156412246E-3</v>
      </c>
      <c r="I21" s="392">
        <f>'A2-4 Derived trans.coefficients'!J21</f>
        <v>1.901796315641224E-3</v>
      </c>
      <c r="J21" s="392">
        <f>'A2-4 Derived trans.coefficients'!K21</f>
        <v>0.35</v>
      </c>
      <c r="K21" s="392">
        <f>'A2-4 Derived trans.coefficients'!L21</f>
        <v>0.89380000000000004</v>
      </c>
      <c r="L21" s="392">
        <f>'A2-4 Derived trans.coefficients'!M21</f>
        <v>0.9</v>
      </c>
      <c r="M21" s="392">
        <f>'A2-4 Derived trans.coefficients'!N21</f>
        <v>0.05</v>
      </c>
      <c r="N21" s="392">
        <f>'A2-4 Derived trans.coefficients'!O21</f>
        <v>0.89380000000000004</v>
      </c>
      <c r="O21" s="392">
        <f>'A2-4 Derived trans.coefficients'!P21</f>
        <v>0.5</v>
      </c>
      <c r="P21" s="392">
        <f>'A2-4 Derived trans.coefficients'!Q21</f>
        <v>0.01</v>
      </c>
      <c r="Q21" s="392">
        <f>'A2-4 Derived trans.coefficients'!R21</f>
        <v>1.9017963156412246E-3</v>
      </c>
      <c r="R21" s="392">
        <f>'A2-4 Derived trans.coefficients'!S21</f>
        <v>1.9017963156412246E-3</v>
      </c>
    </row>
    <row r="22" spans="1:18">
      <c r="A22" s="587"/>
      <c r="B22" s="31" t="s">
        <v>526</v>
      </c>
      <c r="C22" s="392">
        <f>'A2-4 Derived trans.coefficients'!D22</f>
        <v>0.01</v>
      </c>
      <c r="D22" s="392">
        <f>'A2-4 Derived trans.coefficients'!E22</f>
        <v>0.01</v>
      </c>
      <c r="E22" s="392">
        <f>'A2-4 Derived trans.coefficients'!F22</f>
        <v>0</v>
      </c>
      <c r="F22" s="392">
        <f>'A2-4 Derived trans.coefficients'!G22</f>
        <v>0.01</v>
      </c>
      <c r="G22" s="392">
        <f>'A2-4 Derived trans.coefficients'!H22</f>
        <v>0</v>
      </c>
      <c r="H22" s="392">
        <f>'A2-4 Derived trans.coefficients'!I22</f>
        <v>0.74673171924675963</v>
      </c>
      <c r="I22" s="392">
        <f>'A2-4 Derived trans.coefficients'!J22</f>
        <v>0.74619640736871751</v>
      </c>
      <c r="J22" s="392">
        <f>'A2-4 Derived trans.coefficients'!K22</f>
        <v>0.1</v>
      </c>
      <c r="K22" s="392">
        <f>'A2-4 Derived trans.coefficients'!L22</f>
        <v>0</v>
      </c>
      <c r="L22" s="392">
        <f>'A2-4 Derived trans.coefficients'!M22</f>
        <v>0</v>
      </c>
      <c r="M22" s="392">
        <f>'A2-4 Derived trans.coefficients'!N22</f>
        <v>0</v>
      </c>
      <c r="N22" s="392">
        <f>'A2-4 Derived trans.coefficients'!O22</f>
        <v>0</v>
      </c>
      <c r="O22" s="392">
        <f>'A2-4 Derived trans.coefficients'!P22</f>
        <v>0</v>
      </c>
      <c r="P22" s="392">
        <f>'A2-4 Derived trans.coefficients'!Q22</f>
        <v>0.01</v>
      </c>
      <c r="Q22" s="392">
        <f>'A2-4 Derived trans.coefficients'!R22</f>
        <v>0.74673171924675963</v>
      </c>
      <c r="R22" s="392">
        <f>'A2-4 Derived trans.coefficients'!S22</f>
        <v>0.74673171924675963</v>
      </c>
    </row>
    <row r="23" spans="1:18">
      <c r="A23" s="548" t="s">
        <v>594</v>
      </c>
      <c r="B23" s="197" t="s">
        <v>530</v>
      </c>
      <c r="C23" s="393">
        <f>'A2-4 Derived trans.coefficients'!D24</f>
        <v>0.6667930660888407</v>
      </c>
      <c r="D23" s="393">
        <f>'A2-4 Derived trans.coefficients'!E24</f>
        <v>0.6667930660888407</v>
      </c>
      <c r="E23" s="393">
        <f>'A2-4 Derived trans.coefficients'!F24</f>
        <v>0</v>
      </c>
      <c r="F23" s="393">
        <f>'A2-4 Derived trans.coefficients'!G24</f>
        <v>0.75</v>
      </c>
      <c r="G23" s="393">
        <f>'A2-4 Derived trans.coefficients'!H24</f>
        <v>0</v>
      </c>
      <c r="H23" s="393">
        <f>'A2-4 Derived trans.coefficients'!I24</f>
        <v>0</v>
      </c>
      <c r="I23" s="393">
        <f>'A2-4 Derived trans.coefficients'!J24</f>
        <v>0</v>
      </c>
      <c r="J23" s="393">
        <f>'A2-4 Derived trans.coefficients'!K24</f>
        <v>0</v>
      </c>
      <c r="K23" s="393">
        <f>'A2-4 Derived trans.coefficients'!L24</f>
        <v>0</v>
      </c>
      <c r="L23" s="393">
        <f>'A2-4 Derived trans.coefficients'!M24</f>
        <v>0</v>
      </c>
      <c r="M23" s="393">
        <f>'A2-4 Derived trans.coefficients'!N24</f>
        <v>0.9</v>
      </c>
      <c r="N23" s="393">
        <f>'A2-4 Derived trans.coefficients'!O24</f>
        <v>0</v>
      </c>
      <c r="O23" s="393">
        <f>'A2-4 Derived trans.coefficients'!P24</f>
        <v>0</v>
      </c>
      <c r="P23" s="393">
        <f>'A2-4 Derived trans.coefficients'!Q24</f>
        <v>0.6667930660888407</v>
      </c>
      <c r="Q23" s="393">
        <f>'A2-4 Derived trans.coefficients'!R24</f>
        <v>0</v>
      </c>
      <c r="R23" s="393">
        <f>'A2-4 Derived trans.coefficients'!S24</f>
        <v>0</v>
      </c>
    </row>
    <row r="24" spans="1:18">
      <c r="A24" s="548"/>
      <c r="B24" s="197" t="s">
        <v>531</v>
      </c>
      <c r="C24" s="393">
        <f>'A2-4 Derived trans.coefficients'!D25</f>
        <v>0.11094257854821231</v>
      </c>
      <c r="D24" s="393">
        <f>'A2-4 Derived trans.coefficients'!E25</f>
        <v>0.11094257854821232</v>
      </c>
      <c r="E24" s="393">
        <f>'A2-4 Derived trans.coefficients'!F25</f>
        <v>1</v>
      </c>
      <c r="F24" s="393">
        <f>'A2-4 Derived trans.coefficients'!G25</f>
        <v>0</v>
      </c>
      <c r="G24" s="393">
        <f>'A2-4 Derived trans.coefficients'!H25</f>
        <v>1</v>
      </c>
      <c r="H24" s="393">
        <f>'A2-4 Derived trans.coefficients'!I25</f>
        <v>1</v>
      </c>
      <c r="I24" s="393">
        <f>'A2-4 Derived trans.coefficients'!J25</f>
        <v>1</v>
      </c>
      <c r="J24" s="393">
        <f>'A2-4 Derived trans.coefficients'!K25</f>
        <v>1</v>
      </c>
      <c r="K24" s="393">
        <f>'A2-4 Derived trans.coefficients'!L25</f>
        <v>1</v>
      </c>
      <c r="L24" s="393">
        <f>'A2-4 Derived trans.coefficients'!M25</f>
        <v>1</v>
      </c>
      <c r="M24" s="393">
        <f>'A2-4 Derived trans.coefficients'!N25</f>
        <v>0.1</v>
      </c>
      <c r="N24" s="393">
        <f>'A2-4 Derived trans.coefficients'!O25</f>
        <v>1</v>
      </c>
      <c r="O24" s="393">
        <f>'A2-4 Derived trans.coefficients'!P25</f>
        <v>1</v>
      </c>
      <c r="P24" s="393">
        <f>'A2-4 Derived trans.coefficients'!Q25</f>
        <v>0.11094257854821232</v>
      </c>
      <c r="Q24" s="393">
        <f>'A2-4 Derived trans.coefficients'!R25</f>
        <v>1</v>
      </c>
      <c r="R24" s="393">
        <f>'A2-4 Derived trans.coefficients'!S25</f>
        <v>1</v>
      </c>
    </row>
    <row r="25" spans="1:18">
      <c r="A25" s="548"/>
      <c r="B25" s="197" t="s">
        <v>532</v>
      </c>
      <c r="C25" s="393">
        <f>'A2-4 Derived trans.coefficients'!D26</f>
        <v>0.22226435536294689</v>
      </c>
      <c r="D25" s="393">
        <f>'A2-4 Derived trans.coefficients'!E26</f>
        <v>0.22226435536294692</v>
      </c>
      <c r="E25" s="393">
        <f>'A2-4 Derived trans.coefficients'!F26</f>
        <v>0</v>
      </c>
      <c r="F25" s="393">
        <f>'A2-4 Derived trans.coefficients'!G26</f>
        <v>0.25</v>
      </c>
      <c r="G25" s="393">
        <f>'A2-4 Derived trans.coefficients'!H26</f>
        <v>0</v>
      </c>
      <c r="H25" s="393">
        <f>'A2-4 Derived trans.coefficients'!I26</f>
        <v>0</v>
      </c>
      <c r="I25" s="393">
        <f>'A2-4 Derived trans.coefficients'!J26</f>
        <v>0</v>
      </c>
      <c r="J25" s="393">
        <f>'A2-4 Derived trans.coefficients'!K26</f>
        <v>0</v>
      </c>
      <c r="K25" s="393">
        <f>'A2-4 Derived trans.coefficients'!L26</f>
        <v>0</v>
      </c>
      <c r="L25" s="393">
        <f>'A2-4 Derived trans.coefficients'!M26</f>
        <v>0</v>
      </c>
      <c r="M25" s="393">
        <f>'A2-4 Derived trans.coefficients'!N26</f>
        <v>0</v>
      </c>
      <c r="N25" s="393">
        <f>'A2-4 Derived trans.coefficients'!O26</f>
        <v>0</v>
      </c>
      <c r="O25" s="393">
        <f>'A2-4 Derived trans.coefficients'!P26</f>
        <v>0</v>
      </c>
      <c r="P25" s="393">
        <f>'A2-4 Derived trans.coefficients'!Q26</f>
        <v>0.22226435536294692</v>
      </c>
      <c r="Q25" s="393">
        <f>'A2-4 Derived trans.coefficients'!R26</f>
        <v>0</v>
      </c>
      <c r="R25" s="393">
        <f>'A2-4 Derived trans.coefficients'!S26</f>
        <v>0</v>
      </c>
    </row>
    <row r="26" spans="1:18">
      <c r="A26" s="549" t="s">
        <v>536</v>
      </c>
      <c r="B26" s="30" t="s">
        <v>537</v>
      </c>
      <c r="C26" s="394">
        <f>'A2-4 Derived trans.coefficients'!D28</f>
        <v>0</v>
      </c>
      <c r="D26" s="394">
        <f>'A2-4 Derived trans.coefficients'!E28</f>
        <v>0</v>
      </c>
      <c r="E26" s="394">
        <f>'A2-4 Derived trans.coefficients'!F28</f>
        <v>0</v>
      </c>
      <c r="F26" s="394">
        <f>'A2-4 Derived trans.coefficients'!G28</f>
        <v>0.3</v>
      </c>
      <c r="G26" s="394">
        <f>'A2-4 Derived trans.coefficients'!H28</f>
        <v>0</v>
      </c>
      <c r="H26" s="394">
        <f>'A2-4 Derived trans.coefficients'!I28</f>
        <v>0.52757267785393536</v>
      </c>
      <c r="I26" s="394">
        <f>'A2-4 Derived trans.coefficients'!J28</f>
        <v>0.52757267785393536</v>
      </c>
      <c r="J26" s="394">
        <f>'A2-4 Derived trans.coefficients'!K28</f>
        <v>0</v>
      </c>
      <c r="K26" s="394">
        <f>'A2-4 Derived trans.coefficients'!L28</f>
        <v>0</v>
      </c>
      <c r="L26" s="394">
        <f>'A2-4 Derived trans.coefficients'!M28</f>
        <v>0</v>
      </c>
      <c r="M26" s="394">
        <f>'A2-4 Derived trans.coefficients'!N28</f>
        <v>0</v>
      </c>
      <c r="N26" s="394">
        <f>'A2-4 Derived trans.coefficients'!O28</f>
        <v>0</v>
      </c>
      <c r="O26" s="394">
        <f>'A2-4 Derived trans.coefficients'!P28</f>
        <v>0</v>
      </c>
      <c r="P26" s="394">
        <f>'A2-4 Derived trans.coefficients'!Q28</f>
        <v>0</v>
      </c>
      <c r="Q26" s="394">
        <f>'A2-4 Derived trans.coefficients'!R28</f>
        <v>0.52757267785393536</v>
      </c>
      <c r="R26" s="394">
        <f>'A2-4 Derived trans.coefficients'!S28</f>
        <v>0.52757267785393536</v>
      </c>
    </row>
    <row r="27" spans="1:18">
      <c r="A27" s="549"/>
      <c r="B27" s="30" t="s">
        <v>538</v>
      </c>
      <c r="C27" s="394">
        <f>'A2-4 Derived trans.coefficients'!D29</f>
        <v>1</v>
      </c>
      <c r="D27" s="394">
        <f>'A2-4 Derived trans.coefficients'!E29</f>
        <v>1</v>
      </c>
      <c r="E27" s="394">
        <f>'A2-4 Derived trans.coefficients'!F29</f>
        <v>1</v>
      </c>
      <c r="F27" s="394">
        <f>'A2-4 Derived trans.coefficients'!G29</f>
        <v>0.4</v>
      </c>
      <c r="G27" s="394">
        <f>'A2-4 Derived trans.coefficients'!H29</f>
        <v>1</v>
      </c>
      <c r="H27" s="394">
        <f>'A2-4 Derived trans.coefficients'!I29</f>
        <v>5.7905932403686987E-2</v>
      </c>
      <c r="I27" s="394">
        <f>'A2-4 Derived trans.coefficients'!J29</f>
        <v>5.7905932403686994E-2</v>
      </c>
      <c r="J27" s="394">
        <f>'A2-4 Derived trans.coefficients'!K29</f>
        <v>1</v>
      </c>
      <c r="K27" s="394">
        <f>'A2-4 Derived trans.coefficients'!L29</f>
        <v>1</v>
      </c>
      <c r="L27" s="394">
        <f>'A2-4 Derived trans.coefficients'!M29</f>
        <v>1</v>
      </c>
      <c r="M27" s="394">
        <f>'A2-4 Derived trans.coefficients'!N29</f>
        <v>1</v>
      </c>
      <c r="N27" s="394">
        <f>'A2-4 Derived trans.coefficients'!O29</f>
        <v>1</v>
      </c>
      <c r="O27" s="394">
        <f>'A2-4 Derived trans.coefficients'!P29</f>
        <v>1</v>
      </c>
      <c r="P27" s="394">
        <f>'A2-4 Derived trans.coefficients'!Q29</f>
        <v>1</v>
      </c>
      <c r="Q27" s="394">
        <f>'A2-4 Derived trans.coefficients'!R29</f>
        <v>5.7905932403686987E-2</v>
      </c>
      <c r="R27" s="394">
        <f>'A2-4 Derived trans.coefficients'!S29</f>
        <v>5.7905932403686987E-2</v>
      </c>
    </row>
    <row r="28" spans="1:18">
      <c r="A28" s="549"/>
      <c r="B28" s="30" t="s">
        <v>539</v>
      </c>
      <c r="C28" s="394">
        <f>'A2-4 Derived trans.coefficients'!D30</f>
        <v>0</v>
      </c>
      <c r="D28" s="394">
        <f>'A2-4 Derived trans.coefficients'!E30</f>
        <v>0</v>
      </c>
      <c r="E28" s="394">
        <f>'A2-4 Derived trans.coefficients'!F30</f>
        <v>0</v>
      </c>
      <c r="F28" s="394">
        <f>'A2-4 Derived trans.coefficients'!G30</f>
        <v>0.3</v>
      </c>
      <c r="G28" s="394">
        <f>'A2-4 Derived trans.coefficients'!H30</f>
        <v>0</v>
      </c>
      <c r="H28" s="394">
        <f>'A2-4 Derived trans.coefficients'!I30</f>
        <v>0.41452138974237768</v>
      </c>
      <c r="I28" s="394">
        <f>'A2-4 Derived trans.coefficients'!J30</f>
        <v>0.41452138974237768</v>
      </c>
      <c r="J28" s="394">
        <f>'A2-4 Derived trans.coefficients'!K30</f>
        <v>0</v>
      </c>
      <c r="K28" s="394">
        <f>'A2-4 Derived trans.coefficients'!L30</f>
        <v>0</v>
      </c>
      <c r="L28" s="394">
        <f>'A2-4 Derived trans.coefficients'!M30</f>
        <v>0</v>
      </c>
      <c r="M28" s="394">
        <f>'A2-4 Derived trans.coefficients'!N30</f>
        <v>0</v>
      </c>
      <c r="N28" s="394">
        <f>'A2-4 Derived trans.coefficients'!O30</f>
        <v>0</v>
      </c>
      <c r="O28" s="394">
        <f>'A2-4 Derived trans.coefficients'!P30</f>
        <v>0</v>
      </c>
      <c r="P28" s="394">
        <f>'A2-4 Derived trans.coefficients'!Q30</f>
        <v>0</v>
      </c>
      <c r="Q28" s="394">
        <f>'A2-4 Derived trans.coefficients'!R30</f>
        <v>0.41452138974237768</v>
      </c>
      <c r="R28" s="394">
        <f>'A2-4 Derived trans.coefficients'!S30</f>
        <v>0.41452138974237768</v>
      </c>
    </row>
    <row r="29" spans="1:18">
      <c r="A29" s="547" t="s">
        <v>144</v>
      </c>
      <c r="B29" s="200" t="s">
        <v>503</v>
      </c>
      <c r="C29" s="395">
        <f>'A2-4 Derived trans.coefficients'!D32</f>
        <v>1.4999999999999999E-2</v>
      </c>
      <c r="D29" s="395">
        <f>'A2-4 Derived trans.coefficients'!E32</f>
        <v>1.4999999999999999E-2</v>
      </c>
      <c r="E29" s="395">
        <f>'A2-4 Derived trans.coefficients'!F32</f>
        <v>0.5</v>
      </c>
      <c r="F29" s="395">
        <f>'A2-4 Derived trans.coefficients'!G32</f>
        <v>0.98</v>
      </c>
      <c r="G29" s="395">
        <f>'A2-4 Derived trans.coefficients'!H32</f>
        <v>0.99</v>
      </c>
      <c r="H29" s="395">
        <f>'A2-4 Derived trans.coefficients'!I32</f>
        <v>0.98</v>
      </c>
      <c r="I29" s="395">
        <f>'A2-4 Derived trans.coefficients'!J32</f>
        <v>0.98</v>
      </c>
      <c r="J29" s="395">
        <f>'A2-4 Derived trans.coefficients'!K32</f>
        <v>0.1</v>
      </c>
      <c r="K29" s="395">
        <f>'A2-4 Derived trans.coefficients'!L32</f>
        <v>0.01</v>
      </c>
      <c r="L29" s="395">
        <f>'A2-4 Derived trans.coefficients'!M32</f>
        <v>0.01</v>
      </c>
      <c r="M29" s="395">
        <f>'A2-4 Derived trans.coefficients'!N32</f>
        <v>1</v>
      </c>
      <c r="N29" s="395">
        <f>'A2-4 Derived trans.coefficients'!O32</f>
        <v>0.5</v>
      </c>
      <c r="O29" s="395">
        <f>'A2-4 Derived trans.coefficients'!P32</f>
        <v>1</v>
      </c>
      <c r="P29" s="395">
        <f>'A2-4 Derived trans.coefficients'!Q32</f>
        <v>1.4999999999999999E-2</v>
      </c>
      <c r="Q29" s="395">
        <f>'A2-4 Derived trans.coefficients'!R32</f>
        <v>0.98</v>
      </c>
      <c r="R29" s="395">
        <f>'A2-4 Derived trans.coefficients'!S32</f>
        <v>0.98</v>
      </c>
    </row>
    <row r="30" spans="1:18">
      <c r="A30" s="547"/>
      <c r="B30" s="200" t="s">
        <v>504</v>
      </c>
      <c r="C30" s="395">
        <f>'A2-4 Derived trans.coefficients'!D33</f>
        <v>1.4999999999999999E-2</v>
      </c>
      <c r="D30" s="395">
        <f>'A2-4 Derived trans.coefficients'!E33</f>
        <v>1.4999999999999999E-2</v>
      </c>
      <c r="E30" s="395">
        <f>'A2-4 Derived trans.coefficients'!F33</f>
        <v>0.5</v>
      </c>
      <c r="F30" s="395">
        <f>'A2-4 Derived trans.coefficients'!G33</f>
        <v>0.01</v>
      </c>
      <c r="G30" s="395">
        <f>'A2-4 Derived trans.coefficients'!H33</f>
        <v>0.01</v>
      </c>
      <c r="H30" s="395">
        <f>'A2-4 Derived trans.coefficients'!I33</f>
        <v>0.01</v>
      </c>
      <c r="I30" s="395">
        <f>'A2-4 Derived trans.coefficients'!J33</f>
        <v>0.01</v>
      </c>
      <c r="J30" s="395">
        <f>'A2-4 Derived trans.coefficients'!K33</f>
        <v>0.8</v>
      </c>
      <c r="K30" s="395">
        <f>'A2-4 Derived trans.coefficients'!L33</f>
        <v>0.99</v>
      </c>
      <c r="L30" s="395">
        <f>'A2-4 Derived trans.coefficients'!M33</f>
        <v>0.99</v>
      </c>
      <c r="M30" s="395">
        <f>'A2-4 Derived trans.coefficients'!N33</f>
        <v>0</v>
      </c>
      <c r="N30" s="395">
        <f>'A2-4 Derived trans.coefficients'!O33</f>
        <v>0.5</v>
      </c>
      <c r="O30" s="395">
        <f>'A2-4 Derived trans.coefficients'!P33</f>
        <v>0</v>
      </c>
      <c r="P30" s="395">
        <f>'A2-4 Derived trans.coefficients'!Q33</f>
        <v>1.4999999999999999E-2</v>
      </c>
      <c r="Q30" s="395">
        <f>'A2-4 Derived trans.coefficients'!R33</f>
        <v>0.01</v>
      </c>
      <c r="R30" s="395">
        <f>'A2-4 Derived trans.coefficients'!S33</f>
        <v>0.01</v>
      </c>
    </row>
    <row r="31" spans="1:18">
      <c r="A31" s="547"/>
      <c r="B31" s="200" t="s">
        <v>554</v>
      </c>
      <c r="C31" s="395">
        <f>'A2-4 Derived trans.coefficients'!D34</f>
        <v>0.97</v>
      </c>
      <c r="D31" s="395">
        <f>'A2-4 Derived trans.coefficients'!E34</f>
        <v>0.97</v>
      </c>
      <c r="E31" s="395">
        <f>'A2-4 Derived trans.coefficients'!F34</f>
        <v>0</v>
      </c>
      <c r="F31" s="395">
        <f>'A2-4 Derived trans.coefficients'!G34</f>
        <v>0.01</v>
      </c>
      <c r="G31" s="395">
        <f>'A2-4 Derived trans.coefficients'!H34</f>
        <v>0</v>
      </c>
      <c r="H31" s="395">
        <f>'A2-4 Derived trans.coefficients'!I34</f>
        <v>0.01</v>
      </c>
      <c r="I31" s="395">
        <f>'A2-4 Derived trans.coefficients'!J34</f>
        <v>0.01</v>
      </c>
      <c r="J31" s="395">
        <f>'A2-4 Derived trans.coefficients'!K34</f>
        <v>0.1</v>
      </c>
      <c r="K31" s="395">
        <f>'A2-4 Derived trans.coefficients'!L34</f>
        <v>0</v>
      </c>
      <c r="L31" s="395">
        <f>'A2-4 Derived trans.coefficients'!M34</f>
        <v>0</v>
      </c>
      <c r="M31" s="395">
        <f>'A2-4 Derived trans.coefficients'!N34</f>
        <v>0</v>
      </c>
      <c r="N31" s="395">
        <f>'A2-4 Derived trans.coefficients'!O34</f>
        <v>0</v>
      </c>
      <c r="O31" s="395">
        <f>'A2-4 Derived trans.coefficients'!P34</f>
        <v>0</v>
      </c>
      <c r="P31" s="395">
        <f>'A2-4 Derived trans.coefficients'!Q34</f>
        <v>0.97</v>
      </c>
      <c r="Q31" s="395">
        <f>'A2-4 Derived trans.coefficients'!R34</f>
        <v>0.01</v>
      </c>
      <c r="R31" s="395">
        <f>'A2-4 Derived trans.coefficients'!S34</f>
        <v>0.01</v>
      </c>
    </row>
    <row r="33" spans="2:18">
      <c r="B33" s="11" t="s">
        <v>749</v>
      </c>
      <c r="C33" t="s">
        <v>90</v>
      </c>
      <c r="D33" t="s">
        <v>86</v>
      </c>
      <c r="E33" t="s">
        <v>93</v>
      </c>
      <c r="F33" t="s">
        <v>88</v>
      </c>
      <c r="G33" t="s">
        <v>89</v>
      </c>
      <c r="H33" t="s">
        <v>213</v>
      </c>
      <c r="I33" t="s">
        <v>501</v>
      </c>
      <c r="J33" t="s">
        <v>91</v>
      </c>
      <c r="K33" t="s">
        <v>94</v>
      </c>
      <c r="L33" t="s">
        <v>546</v>
      </c>
      <c r="M33" t="s">
        <v>92</v>
      </c>
      <c r="N33" t="s">
        <v>99</v>
      </c>
      <c r="O33" t="s">
        <v>97</v>
      </c>
      <c r="P33" t="s">
        <v>96</v>
      </c>
      <c r="Q33" t="s">
        <v>218</v>
      </c>
      <c r="R33" t="s">
        <v>98</v>
      </c>
    </row>
    <row r="34" spans="2:18">
      <c r="B34" s="18" t="s">
        <v>557</v>
      </c>
    </row>
    <row r="35" spans="2:18">
      <c r="B35" s="193" t="s">
        <v>558</v>
      </c>
    </row>
    <row r="36" spans="2:18">
      <c r="B36" s="193" t="s">
        <v>559</v>
      </c>
      <c r="C36" s="66"/>
      <c r="D36" s="66"/>
      <c r="E36" s="66"/>
      <c r="F36" s="66"/>
      <c r="G36" s="66"/>
      <c r="H36" s="66"/>
      <c r="I36" s="66"/>
      <c r="J36" s="66"/>
      <c r="K36" s="66"/>
      <c r="L36" s="66"/>
      <c r="M36" s="66"/>
      <c r="N36" s="66"/>
      <c r="O36" s="66"/>
      <c r="P36" s="66"/>
      <c r="Q36" s="66"/>
      <c r="R36" s="66"/>
    </row>
    <row r="37" spans="2:18">
      <c r="B37" s="193" t="s">
        <v>560</v>
      </c>
      <c r="C37" s="66"/>
      <c r="D37" s="66"/>
      <c r="E37" s="66"/>
      <c r="F37" s="66"/>
      <c r="G37" s="66"/>
      <c r="H37" s="66"/>
      <c r="I37" s="66"/>
      <c r="J37" s="66"/>
      <c r="K37" s="66"/>
      <c r="L37" s="66"/>
      <c r="M37" s="66"/>
      <c r="N37" s="66"/>
      <c r="O37" s="66"/>
      <c r="P37" s="66"/>
      <c r="Q37" s="66"/>
      <c r="R37" s="66"/>
    </row>
    <row r="38" spans="2:18">
      <c r="B38" s="193" t="s">
        <v>564</v>
      </c>
      <c r="C38" s="66">
        <f>SUM(C3:C6)</f>
        <v>1</v>
      </c>
      <c r="D38" s="66">
        <f t="shared" ref="D38:R38" si="0">SUM(D3:D6)</f>
        <v>1</v>
      </c>
      <c r="E38" s="66">
        <f t="shared" si="0"/>
        <v>1</v>
      </c>
      <c r="F38" s="66">
        <f t="shared" si="0"/>
        <v>1</v>
      </c>
      <c r="G38" s="66">
        <f t="shared" si="0"/>
        <v>1</v>
      </c>
      <c r="H38" s="66">
        <f t="shared" si="0"/>
        <v>1</v>
      </c>
      <c r="I38" s="66">
        <f t="shared" si="0"/>
        <v>1</v>
      </c>
      <c r="J38" s="66">
        <f t="shared" si="0"/>
        <v>1</v>
      </c>
      <c r="K38" s="66">
        <f t="shared" si="0"/>
        <v>1</v>
      </c>
      <c r="L38" s="66">
        <f t="shared" si="0"/>
        <v>1</v>
      </c>
      <c r="M38" s="66">
        <f t="shared" si="0"/>
        <v>1</v>
      </c>
      <c r="N38" s="66">
        <f t="shared" si="0"/>
        <v>1</v>
      </c>
      <c r="O38" s="66">
        <f t="shared" si="0"/>
        <v>1</v>
      </c>
      <c r="P38" s="66">
        <f t="shared" si="0"/>
        <v>1</v>
      </c>
      <c r="Q38" s="66">
        <f t="shared" si="0"/>
        <v>1</v>
      </c>
      <c r="R38" s="66">
        <f t="shared" si="0"/>
        <v>1</v>
      </c>
    </row>
    <row r="39" spans="2:18">
      <c r="B39" s="194" t="s">
        <v>561</v>
      </c>
      <c r="C39" s="66"/>
      <c r="D39" s="66"/>
      <c r="E39" s="66"/>
      <c r="F39" s="66"/>
      <c r="G39" s="66"/>
      <c r="H39" s="66"/>
      <c r="I39" s="66"/>
      <c r="J39" s="66"/>
      <c r="K39" s="66"/>
      <c r="L39" s="66"/>
      <c r="M39" s="66"/>
      <c r="N39" s="66"/>
      <c r="O39" s="66"/>
      <c r="P39" s="66"/>
      <c r="Q39" s="66"/>
      <c r="R39" s="66"/>
    </row>
    <row r="40" spans="2:18">
      <c r="B40" s="194" t="s">
        <v>562</v>
      </c>
      <c r="C40" s="66"/>
      <c r="D40" s="66"/>
      <c r="E40" s="66"/>
      <c r="F40" s="66"/>
      <c r="G40" s="66"/>
      <c r="H40" s="66"/>
      <c r="I40" s="66"/>
      <c r="J40" s="66"/>
      <c r="K40" s="66"/>
      <c r="L40" s="66"/>
      <c r="M40" s="66"/>
      <c r="N40" s="66"/>
      <c r="O40" s="66"/>
      <c r="P40" s="66"/>
      <c r="Q40" s="66"/>
      <c r="R40" s="66"/>
    </row>
    <row r="41" spans="2:18">
      <c r="B41" s="194" t="s">
        <v>563</v>
      </c>
      <c r="C41" s="66">
        <f>SUM(C7:C9)</f>
        <v>1</v>
      </c>
      <c r="D41" s="66">
        <f t="shared" ref="D41:R41" si="1">SUM(D7:D9)</f>
        <v>1</v>
      </c>
      <c r="E41" s="66">
        <f t="shared" si="1"/>
        <v>1</v>
      </c>
      <c r="F41" s="66">
        <f t="shared" si="1"/>
        <v>1</v>
      </c>
      <c r="G41" s="66">
        <f t="shared" si="1"/>
        <v>1</v>
      </c>
      <c r="H41" s="66">
        <f t="shared" si="1"/>
        <v>1</v>
      </c>
      <c r="I41" s="66">
        <f t="shared" si="1"/>
        <v>1</v>
      </c>
      <c r="J41" s="66">
        <f t="shared" si="1"/>
        <v>1</v>
      </c>
      <c r="K41" s="66">
        <f t="shared" si="1"/>
        <v>1</v>
      </c>
      <c r="L41" s="66">
        <f t="shared" si="1"/>
        <v>1</v>
      </c>
      <c r="M41" s="66">
        <f t="shared" si="1"/>
        <v>1</v>
      </c>
      <c r="N41" s="66">
        <f t="shared" si="1"/>
        <v>1</v>
      </c>
      <c r="O41" s="66">
        <f t="shared" si="1"/>
        <v>1</v>
      </c>
      <c r="P41" s="66">
        <f t="shared" si="1"/>
        <v>1</v>
      </c>
      <c r="Q41" s="66">
        <f t="shared" si="1"/>
        <v>1</v>
      </c>
      <c r="R41" s="66">
        <f t="shared" si="1"/>
        <v>1</v>
      </c>
    </row>
    <row r="42" spans="2:18">
      <c r="B42" s="27" t="s">
        <v>496</v>
      </c>
      <c r="C42" s="66"/>
      <c r="D42" s="66"/>
      <c r="E42" s="66"/>
      <c r="F42" s="66"/>
      <c r="G42" s="66"/>
      <c r="H42" s="66"/>
      <c r="I42" s="66"/>
      <c r="J42" s="66"/>
      <c r="K42" s="66"/>
      <c r="L42" s="66"/>
      <c r="M42" s="66"/>
      <c r="N42" s="66"/>
      <c r="O42" s="66"/>
      <c r="P42" s="66"/>
      <c r="Q42" s="66"/>
      <c r="R42" s="66"/>
    </row>
    <row r="43" spans="2:18">
      <c r="B43" s="27" t="s">
        <v>497</v>
      </c>
      <c r="C43" s="66">
        <f>SUM(C10:C11)</f>
        <v>1</v>
      </c>
      <c r="D43" s="66">
        <f t="shared" ref="D43:R43" si="2">SUM(D10:D11)</f>
        <v>1</v>
      </c>
      <c r="E43" s="66">
        <f t="shared" si="2"/>
        <v>1</v>
      </c>
      <c r="F43" s="66">
        <f t="shared" si="2"/>
        <v>1</v>
      </c>
      <c r="G43" s="66">
        <f t="shared" si="2"/>
        <v>1</v>
      </c>
      <c r="H43" s="66">
        <f t="shared" si="2"/>
        <v>1</v>
      </c>
      <c r="I43" s="66">
        <f t="shared" si="2"/>
        <v>1</v>
      </c>
      <c r="J43" s="66">
        <f t="shared" si="2"/>
        <v>1</v>
      </c>
      <c r="K43" s="66">
        <f t="shared" si="2"/>
        <v>1</v>
      </c>
      <c r="L43" s="66">
        <f t="shared" si="2"/>
        <v>1</v>
      </c>
      <c r="M43" s="66">
        <f t="shared" si="2"/>
        <v>1</v>
      </c>
      <c r="N43" s="66">
        <f t="shared" si="2"/>
        <v>1</v>
      </c>
      <c r="O43" s="66">
        <f t="shared" si="2"/>
        <v>1</v>
      </c>
      <c r="P43" s="66">
        <f t="shared" si="2"/>
        <v>1</v>
      </c>
      <c r="Q43" s="66">
        <f t="shared" si="2"/>
        <v>1</v>
      </c>
      <c r="R43" s="66">
        <f t="shared" si="2"/>
        <v>1</v>
      </c>
    </row>
    <row r="44" spans="2:18">
      <c r="B44" s="195" t="s">
        <v>553</v>
      </c>
      <c r="C44" s="66"/>
      <c r="D44" s="66"/>
      <c r="E44" s="66"/>
      <c r="F44" s="66"/>
      <c r="G44" s="66"/>
      <c r="H44" s="66"/>
      <c r="I44" s="66"/>
      <c r="J44" s="66"/>
      <c r="K44" s="66"/>
      <c r="L44" s="66"/>
      <c r="M44" s="66"/>
      <c r="N44" s="66"/>
      <c r="O44" s="66"/>
      <c r="P44" s="66"/>
      <c r="Q44" s="66"/>
      <c r="R44" s="66"/>
    </row>
    <row r="45" spans="2:18">
      <c r="B45" s="195" t="s">
        <v>508</v>
      </c>
      <c r="C45" s="66"/>
      <c r="D45" s="66"/>
      <c r="E45" s="66"/>
      <c r="F45" s="66"/>
      <c r="G45" s="66"/>
      <c r="H45" s="66"/>
      <c r="I45" s="66"/>
      <c r="J45" s="66"/>
      <c r="K45" s="66"/>
      <c r="L45" s="66"/>
      <c r="M45" s="66"/>
      <c r="N45" s="66"/>
      <c r="O45" s="66"/>
      <c r="P45" s="66"/>
      <c r="Q45" s="66"/>
      <c r="R45" s="66"/>
    </row>
    <row r="46" spans="2:18">
      <c r="B46" s="195" t="s">
        <v>509</v>
      </c>
      <c r="C46" s="66">
        <f>SUM(C12:C14)</f>
        <v>0.99999999999999989</v>
      </c>
      <c r="D46" s="66">
        <f t="shared" ref="D46:P46" si="3">SUM(D12:D14)</f>
        <v>0.99999999999999989</v>
      </c>
      <c r="E46" s="66">
        <f t="shared" si="3"/>
        <v>1</v>
      </c>
      <c r="F46" s="66">
        <f t="shared" si="3"/>
        <v>1</v>
      </c>
      <c r="G46" s="66">
        <f t="shared" si="3"/>
        <v>1</v>
      </c>
      <c r="H46" s="66">
        <f t="shared" si="3"/>
        <v>1</v>
      </c>
      <c r="I46" s="66">
        <f t="shared" si="3"/>
        <v>1</v>
      </c>
      <c r="J46" s="66">
        <f t="shared" si="3"/>
        <v>1</v>
      </c>
      <c r="K46" s="66">
        <f t="shared" si="3"/>
        <v>1</v>
      </c>
      <c r="L46" s="66">
        <f t="shared" si="3"/>
        <v>1</v>
      </c>
      <c r="M46" s="66">
        <f t="shared" si="3"/>
        <v>1</v>
      </c>
      <c r="N46" s="66">
        <f t="shared" si="3"/>
        <v>1</v>
      </c>
      <c r="O46" s="66">
        <f t="shared" si="3"/>
        <v>1</v>
      </c>
      <c r="P46" s="66">
        <f t="shared" si="3"/>
        <v>0.99999999999999989</v>
      </c>
      <c r="Q46" s="66">
        <f>SUM(Q12:Q14)</f>
        <v>1</v>
      </c>
      <c r="R46" s="66">
        <f>SUM(R12:R14)</f>
        <v>1</v>
      </c>
    </row>
    <row r="47" spans="2:18">
      <c r="B47" s="196" t="s">
        <v>514</v>
      </c>
      <c r="C47" s="66"/>
      <c r="D47" s="66"/>
      <c r="E47" s="66"/>
      <c r="F47" s="66"/>
      <c r="G47" s="66"/>
      <c r="H47" s="66"/>
      <c r="I47" s="66"/>
      <c r="J47" s="66"/>
      <c r="K47" s="66"/>
      <c r="L47" s="66"/>
      <c r="M47" s="66"/>
      <c r="N47" s="66"/>
      <c r="O47" s="66"/>
      <c r="P47" s="66"/>
      <c r="Q47" s="66"/>
      <c r="R47" s="66"/>
    </row>
    <row r="48" spans="2:18">
      <c r="B48" s="196" t="s">
        <v>515</v>
      </c>
      <c r="C48" s="66"/>
      <c r="D48" s="66"/>
      <c r="E48" s="66"/>
      <c r="F48" s="66"/>
      <c r="G48" s="66"/>
      <c r="H48" s="66"/>
      <c r="I48" s="66"/>
      <c r="J48" s="66"/>
      <c r="K48" s="66"/>
      <c r="L48" s="66"/>
      <c r="M48" s="66"/>
      <c r="N48" s="66"/>
      <c r="O48" s="66"/>
      <c r="P48" s="66"/>
      <c r="Q48" s="66"/>
      <c r="R48" s="66"/>
    </row>
    <row r="49" spans="2:19">
      <c r="B49" s="196" t="s">
        <v>516</v>
      </c>
      <c r="C49" s="66">
        <f>SUM(C15:C17)</f>
        <v>1</v>
      </c>
      <c r="D49" s="66">
        <f t="shared" ref="D49:R49" si="4">SUM(D15:D17)</f>
        <v>1</v>
      </c>
      <c r="E49" s="66">
        <f t="shared" si="4"/>
        <v>1</v>
      </c>
      <c r="F49" s="66">
        <f t="shared" si="4"/>
        <v>1</v>
      </c>
      <c r="G49" s="66">
        <f t="shared" si="4"/>
        <v>0.99999999999999989</v>
      </c>
      <c r="H49" s="66">
        <f>SUM(H15:H17)</f>
        <v>1</v>
      </c>
      <c r="I49" s="66">
        <f t="shared" si="4"/>
        <v>1</v>
      </c>
      <c r="J49" s="66">
        <f t="shared" si="4"/>
        <v>1</v>
      </c>
      <c r="K49" s="66">
        <f t="shared" si="4"/>
        <v>1</v>
      </c>
      <c r="L49" s="66">
        <f t="shared" si="4"/>
        <v>1</v>
      </c>
      <c r="M49" s="66">
        <f t="shared" si="4"/>
        <v>1</v>
      </c>
      <c r="N49" s="66">
        <f t="shared" si="4"/>
        <v>1</v>
      </c>
      <c r="O49" s="66">
        <f t="shared" si="4"/>
        <v>1</v>
      </c>
      <c r="P49" s="66">
        <f t="shared" si="4"/>
        <v>1</v>
      </c>
      <c r="Q49" s="66">
        <f t="shared" si="4"/>
        <v>1</v>
      </c>
      <c r="R49" s="66">
        <f t="shared" si="4"/>
        <v>1</v>
      </c>
    </row>
    <row r="50" spans="2:19">
      <c r="B50" s="31" t="s">
        <v>522</v>
      </c>
      <c r="C50" s="66"/>
      <c r="D50" s="66"/>
      <c r="E50" s="66"/>
      <c r="F50" s="66"/>
      <c r="G50" s="66"/>
      <c r="H50" s="66"/>
      <c r="I50" s="66"/>
      <c r="J50" s="66"/>
      <c r="K50" s="66"/>
      <c r="L50" s="66"/>
      <c r="M50" s="66"/>
      <c r="N50" s="66"/>
      <c r="O50" s="66"/>
      <c r="P50" s="66"/>
      <c r="Q50" s="66"/>
      <c r="R50" s="66"/>
    </row>
    <row r="51" spans="2:19">
      <c r="B51" s="31" t="s">
        <v>523</v>
      </c>
      <c r="C51" s="66"/>
      <c r="D51" s="66"/>
      <c r="E51" s="66"/>
      <c r="F51" s="66"/>
      <c r="G51" s="66"/>
      <c r="H51" s="66"/>
      <c r="I51" s="66"/>
      <c r="J51" s="66"/>
      <c r="K51" s="66"/>
      <c r="L51" s="66"/>
      <c r="M51" s="66"/>
      <c r="N51" s="66"/>
      <c r="O51" s="66"/>
      <c r="P51" s="66"/>
      <c r="Q51" s="66"/>
      <c r="R51" s="66"/>
    </row>
    <row r="52" spans="2:19">
      <c r="B52" s="31" t="s">
        <v>524</v>
      </c>
      <c r="C52" s="66"/>
      <c r="D52" s="66"/>
      <c r="E52" s="66"/>
      <c r="F52" s="66"/>
      <c r="G52" s="66"/>
      <c r="H52" s="66"/>
      <c r="I52" s="66"/>
      <c r="J52" s="66"/>
      <c r="K52" s="66"/>
      <c r="L52" s="66"/>
      <c r="M52" s="66"/>
      <c r="N52" s="66"/>
      <c r="O52" s="66"/>
      <c r="P52" s="66"/>
      <c r="Q52" s="66"/>
      <c r="R52" s="66"/>
    </row>
    <row r="53" spans="2:19">
      <c r="B53" s="31" t="s">
        <v>131</v>
      </c>
      <c r="C53" s="66"/>
      <c r="D53" s="66"/>
      <c r="E53" s="66"/>
      <c r="F53" s="66"/>
      <c r="G53" s="66"/>
      <c r="H53" s="66"/>
      <c r="I53" s="66"/>
      <c r="J53" s="66"/>
      <c r="K53" s="66"/>
      <c r="L53" s="66"/>
      <c r="M53" s="66"/>
      <c r="N53" s="66"/>
      <c r="O53" s="66"/>
      <c r="P53" s="66"/>
      <c r="Q53" s="66"/>
      <c r="R53" s="66"/>
    </row>
    <row r="54" spans="2:19">
      <c r="B54" s="31" t="s">
        <v>526</v>
      </c>
      <c r="C54" s="66">
        <f>SUM(C18:C22)</f>
        <v>1</v>
      </c>
      <c r="D54" s="66">
        <f t="shared" ref="D54:R54" si="5">SUM(D18:D22)</f>
        <v>1</v>
      </c>
      <c r="E54" s="66">
        <f t="shared" si="5"/>
        <v>1</v>
      </c>
      <c r="F54" s="66">
        <f t="shared" si="5"/>
        <v>1</v>
      </c>
      <c r="G54" s="66">
        <f t="shared" si="5"/>
        <v>1</v>
      </c>
      <c r="H54" s="66">
        <f t="shared" si="5"/>
        <v>1</v>
      </c>
      <c r="I54" s="66">
        <f t="shared" si="5"/>
        <v>0.99999999999999989</v>
      </c>
      <c r="J54" s="66">
        <f t="shared" si="5"/>
        <v>0.99999999999999989</v>
      </c>
      <c r="K54" s="66">
        <f t="shared" si="5"/>
        <v>1</v>
      </c>
      <c r="L54" s="66">
        <f t="shared" si="5"/>
        <v>1</v>
      </c>
      <c r="M54" s="66">
        <f t="shared" si="5"/>
        <v>1</v>
      </c>
      <c r="N54" s="66">
        <f t="shared" si="5"/>
        <v>1</v>
      </c>
      <c r="O54" s="66">
        <f t="shared" si="5"/>
        <v>1</v>
      </c>
      <c r="P54" s="66">
        <f t="shared" si="5"/>
        <v>1</v>
      </c>
      <c r="Q54" s="66">
        <f t="shared" si="5"/>
        <v>1</v>
      </c>
      <c r="R54" s="66">
        <f t="shared" si="5"/>
        <v>1</v>
      </c>
      <c r="S54" s="23"/>
    </row>
    <row r="55" spans="2:19">
      <c r="B55" s="197" t="s">
        <v>530</v>
      </c>
      <c r="C55" s="66"/>
      <c r="D55" s="66"/>
      <c r="E55" s="66"/>
      <c r="F55" s="66"/>
      <c r="G55" s="66"/>
      <c r="H55" s="66"/>
      <c r="I55" s="66"/>
      <c r="J55" s="66"/>
      <c r="K55" s="66"/>
      <c r="L55" s="66"/>
      <c r="M55" s="66"/>
      <c r="N55" s="66"/>
      <c r="O55" s="66"/>
      <c r="P55" s="66"/>
      <c r="Q55" s="66"/>
      <c r="R55" s="66"/>
    </row>
    <row r="56" spans="2:19">
      <c r="B56" s="197" t="s">
        <v>531</v>
      </c>
      <c r="C56" s="66"/>
      <c r="D56" s="66"/>
      <c r="E56" s="66"/>
      <c r="F56" s="66"/>
      <c r="G56" s="66"/>
      <c r="H56" s="66"/>
      <c r="I56" s="66"/>
      <c r="J56" s="66"/>
      <c r="K56" s="66"/>
      <c r="L56" s="66"/>
      <c r="M56" s="66"/>
      <c r="N56" s="66"/>
      <c r="O56" s="66"/>
      <c r="P56" s="66"/>
      <c r="Q56" s="66"/>
      <c r="R56" s="66"/>
    </row>
    <row r="57" spans="2:19">
      <c r="B57" s="197" t="s">
        <v>532</v>
      </c>
      <c r="C57" s="66">
        <f>SUM(C23:C25)</f>
        <v>0.99999999999999989</v>
      </c>
      <c r="D57" s="66">
        <f t="shared" ref="D57:R57" si="6">SUM(D23:D25)</f>
        <v>1</v>
      </c>
      <c r="E57" s="66">
        <f t="shared" si="6"/>
        <v>1</v>
      </c>
      <c r="F57" s="66">
        <f t="shared" si="6"/>
        <v>1</v>
      </c>
      <c r="G57" s="66">
        <f t="shared" si="6"/>
        <v>1</v>
      </c>
      <c r="H57" s="66">
        <f t="shared" si="6"/>
        <v>1</v>
      </c>
      <c r="I57" s="66">
        <f t="shared" si="6"/>
        <v>1</v>
      </c>
      <c r="J57" s="66">
        <f t="shared" si="6"/>
        <v>1</v>
      </c>
      <c r="K57" s="66">
        <f t="shared" si="6"/>
        <v>1</v>
      </c>
      <c r="L57" s="66">
        <f t="shared" si="6"/>
        <v>1</v>
      </c>
      <c r="M57" s="66">
        <f t="shared" si="6"/>
        <v>1</v>
      </c>
      <c r="N57" s="66">
        <f t="shared" si="6"/>
        <v>1</v>
      </c>
      <c r="O57" s="66">
        <f t="shared" si="6"/>
        <v>1</v>
      </c>
      <c r="P57" s="66">
        <f t="shared" si="6"/>
        <v>1</v>
      </c>
      <c r="Q57" s="66">
        <f t="shared" si="6"/>
        <v>1</v>
      </c>
      <c r="R57" s="66">
        <f t="shared" si="6"/>
        <v>1</v>
      </c>
    </row>
    <row r="58" spans="2:19">
      <c r="B58" s="30" t="s">
        <v>537</v>
      </c>
      <c r="C58" s="66"/>
      <c r="D58" s="66"/>
      <c r="E58" s="66"/>
      <c r="F58" s="66"/>
      <c r="G58" s="66"/>
      <c r="H58" s="66"/>
      <c r="I58" s="66"/>
      <c r="J58" s="66"/>
      <c r="K58" s="66"/>
      <c r="L58" s="66"/>
      <c r="M58" s="66"/>
      <c r="N58" s="66"/>
      <c r="O58" s="66"/>
      <c r="P58" s="66"/>
      <c r="Q58" s="66"/>
      <c r="R58" s="66"/>
    </row>
    <row r="59" spans="2:19">
      <c r="B59" s="30" t="s">
        <v>538</v>
      </c>
      <c r="C59" s="66"/>
      <c r="D59" s="66"/>
      <c r="E59" s="66"/>
      <c r="F59" s="66"/>
      <c r="G59" s="66"/>
      <c r="H59" s="66"/>
      <c r="I59" s="66"/>
      <c r="J59" s="66"/>
      <c r="K59" s="66"/>
      <c r="L59" s="66"/>
      <c r="M59" s="66"/>
      <c r="N59" s="66"/>
      <c r="O59" s="66"/>
      <c r="P59" s="66"/>
      <c r="Q59" s="66"/>
      <c r="R59" s="66"/>
    </row>
    <row r="60" spans="2:19">
      <c r="B60" s="30" t="s">
        <v>539</v>
      </c>
      <c r="C60" s="66">
        <f>SUM(C26:C28)</f>
        <v>1</v>
      </c>
      <c r="D60" s="66">
        <f t="shared" ref="D60:R60" si="7">SUM(D26:D28)</f>
        <v>1</v>
      </c>
      <c r="E60" s="66">
        <f t="shared" si="7"/>
        <v>1</v>
      </c>
      <c r="F60" s="66">
        <f t="shared" si="7"/>
        <v>1</v>
      </c>
      <c r="G60" s="66">
        <f t="shared" si="7"/>
        <v>1</v>
      </c>
      <c r="H60" s="66">
        <f t="shared" si="7"/>
        <v>1</v>
      </c>
      <c r="I60" s="66">
        <f t="shared" si="7"/>
        <v>1</v>
      </c>
      <c r="J60" s="66">
        <f t="shared" si="7"/>
        <v>1</v>
      </c>
      <c r="K60" s="66">
        <f t="shared" si="7"/>
        <v>1</v>
      </c>
      <c r="L60" s="66">
        <f t="shared" si="7"/>
        <v>1</v>
      </c>
      <c r="M60" s="66">
        <f>SUM(M26:M28)</f>
        <v>1</v>
      </c>
      <c r="N60" s="66">
        <f t="shared" si="7"/>
        <v>1</v>
      </c>
      <c r="O60" s="66">
        <f t="shared" si="7"/>
        <v>1</v>
      </c>
      <c r="P60" s="66">
        <f t="shared" si="7"/>
        <v>1</v>
      </c>
      <c r="Q60" s="66">
        <f t="shared" si="7"/>
        <v>1</v>
      </c>
      <c r="R60" s="66">
        <f t="shared" si="7"/>
        <v>1</v>
      </c>
    </row>
    <row r="61" spans="2:19">
      <c r="B61" s="200" t="s">
        <v>503</v>
      </c>
      <c r="C61" s="66"/>
      <c r="D61" s="66"/>
      <c r="E61" s="66"/>
      <c r="F61" s="66"/>
      <c r="G61" s="66"/>
      <c r="H61" s="66"/>
      <c r="I61" s="66"/>
      <c r="J61" s="66"/>
      <c r="K61" s="66"/>
      <c r="L61" s="66"/>
      <c r="M61" s="66"/>
      <c r="N61" s="66"/>
      <c r="O61" s="66"/>
      <c r="P61" s="66"/>
      <c r="Q61" s="66"/>
      <c r="R61" s="66"/>
    </row>
    <row r="62" spans="2:19">
      <c r="B62" s="200" t="s">
        <v>504</v>
      </c>
      <c r="C62" s="66"/>
      <c r="D62" s="66"/>
      <c r="E62" s="66"/>
      <c r="F62" s="66"/>
      <c r="G62" s="66"/>
      <c r="H62" s="66"/>
      <c r="I62" s="66"/>
      <c r="J62" s="66"/>
      <c r="K62" s="66"/>
      <c r="L62" s="66"/>
      <c r="M62" s="66"/>
      <c r="N62" s="66"/>
      <c r="O62" s="66"/>
      <c r="P62" s="66"/>
      <c r="Q62" s="66"/>
      <c r="R62" s="66"/>
    </row>
    <row r="63" spans="2:19">
      <c r="B63" s="200" t="s">
        <v>554</v>
      </c>
      <c r="C63" s="66">
        <f>SUM(C29:C31)</f>
        <v>1</v>
      </c>
      <c r="D63" s="66">
        <f t="shared" ref="D63:R63" si="8">SUM(D29:D31)</f>
        <v>1</v>
      </c>
      <c r="E63" s="66">
        <f t="shared" si="8"/>
        <v>1</v>
      </c>
      <c r="F63" s="66">
        <f t="shared" si="8"/>
        <v>1</v>
      </c>
      <c r="G63" s="66">
        <f t="shared" si="8"/>
        <v>1</v>
      </c>
      <c r="H63" s="66">
        <f t="shared" si="8"/>
        <v>1</v>
      </c>
      <c r="I63" s="66">
        <f t="shared" si="8"/>
        <v>1</v>
      </c>
      <c r="J63" s="66">
        <f t="shared" si="8"/>
        <v>1</v>
      </c>
      <c r="K63" s="66">
        <f t="shared" si="8"/>
        <v>1</v>
      </c>
      <c r="L63" s="66">
        <f t="shared" si="8"/>
        <v>1</v>
      </c>
      <c r="M63" s="66">
        <f t="shared" si="8"/>
        <v>1</v>
      </c>
      <c r="N63" s="66">
        <f t="shared" si="8"/>
        <v>1</v>
      </c>
      <c r="O63" s="66">
        <f t="shared" si="8"/>
        <v>1</v>
      </c>
      <c r="P63" s="66">
        <f t="shared" si="8"/>
        <v>1</v>
      </c>
      <c r="Q63" s="66">
        <f t="shared" si="8"/>
        <v>1</v>
      </c>
      <c r="R63" s="66">
        <f t="shared" si="8"/>
        <v>1</v>
      </c>
    </row>
  </sheetData>
  <mergeCells count="9">
    <mergeCell ref="A23:A25"/>
    <mergeCell ref="A26:A28"/>
    <mergeCell ref="A29:A31"/>
    <mergeCell ref="A18:A22"/>
    <mergeCell ref="A10:A11"/>
    <mergeCell ref="A12:A14"/>
    <mergeCell ref="A3:A6"/>
    <mergeCell ref="A7:A9"/>
    <mergeCell ref="A15:A17"/>
  </mergeCells>
  <conditionalFormatting sqref="B55:B63 B42:B53">
    <cfRule type="duplicateValues" dxfId="15" priority="1"/>
    <cfRule type="uniqueValues" dxfId="14" priority="2"/>
    <cfRule type="duplicateValues" dxfId="13" priority="3"/>
  </conditionalFormatting>
  <conditionalFormatting sqref="B23:B31 B10:B21">
    <cfRule type="duplicateValues" dxfId="12" priority="41"/>
    <cfRule type="uniqueValues" dxfId="11" priority="42"/>
    <cfRule type="duplicateValues" dxfId="10" priority="43"/>
  </conditionalFormatting>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0AE72-9C32-488B-8FF9-529E83D706EC}">
  <dimension ref="A1:AE106"/>
  <sheetViews>
    <sheetView showGridLines="0" topLeftCell="B1" workbookViewId="0">
      <selection activeCell="X34" sqref="X34"/>
    </sheetView>
  </sheetViews>
  <sheetFormatPr defaultRowHeight="14.4"/>
  <cols>
    <col min="1" max="1" width="21.21875" hidden="1" customWidth="1"/>
    <col min="2" max="2" width="39" customWidth="1"/>
    <col min="23" max="23" width="34.109375" customWidth="1"/>
  </cols>
  <sheetData>
    <row r="1" spans="1:31">
      <c r="B1" t="s">
        <v>1</v>
      </c>
      <c r="C1" t="s">
        <v>90</v>
      </c>
      <c r="D1" t="s">
        <v>86</v>
      </c>
      <c r="E1" t="s">
        <v>93</v>
      </c>
      <c r="F1" t="s">
        <v>88</v>
      </c>
      <c r="G1" t="s">
        <v>89</v>
      </c>
      <c r="H1" t="s">
        <v>213</v>
      </c>
      <c r="I1" t="s">
        <v>501</v>
      </c>
      <c r="J1" t="s">
        <v>91</v>
      </c>
      <c r="K1" t="s">
        <v>94</v>
      </c>
      <c r="L1" t="s">
        <v>546</v>
      </c>
      <c r="M1" t="s">
        <v>92</v>
      </c>
      <c r="N1" t="s">
        <v>99</v>
      </c>
      <c r="O1" t="s">
        <v>97</v>
      </c>
      <c r="P1" t="s">
        <v>96</v>
      </c>
      <c r="Q1" t="s">
        <v>218</v>
      </c>
      <c r="R1" t="s">
        <v>98</v>
      </c>
      <c r="T1" s="588" t="s">
        <v>757</v>
      </c>
      <c r="U1" s="588"/>
      <c r="V1" s="588"/>
      <c r="W1" s="588"/>
      <c r="X1" s="592" t="s">
        <v>766</v>
      </c>
      <c r="Y1" s="592"/>
      <c r="Z1" s="592"/>
      <c r="AA1" s="592"/>
      <c r="AB1" s="592"/>
      <c r="AC1" s="592"/>
    </row>
    <row r="2" spans="1:31">
      <c r="B2" s="18" t="s">
        <v>557</v>
      </c>
      <c r="C2" s="18">
        <v>1</v>
      </c>
      <c r="D2" s="18">
        <v>1</v>
      </c>
      <c r="E2" s="18">
        <v>1</v>
      </c>
      <c r="F2" s="18">
        <v>1</v>
      </c>
      <c r="G2" s="18">
        <v>1</v>
      </c>
      <c r="H2" s="18">
        <v>1</v>
      </c>
      <c r="I2" s="18">
        <v>1</v>
      </c>
      <c r="J2" s="18">
        <v>1</v>
      </c>
      <c r="K2" s="18">
        <v>1</v>
      </c>
      <c r="L2" s="18">
        <v>1</v>
      </c>
      <c r="M2" s="18">
        <v>1</v>
      </c>
      <c r="N2" s="18">
        <v>1</v>
      </c>
      <c r="O2" s="18">
        <v>1</v>
      </c>
      <c r="P2" s="18">
        <v>1</v>
      </c>
      <c r="Q2" s="18">
        <v>1</v>
      </c>
      <c r="R2" s="18">
        <v>1</v>
      </c>
      <c r="T2" s="589" t="s">
        <v>758</v>
      </c>
      <c r="U2" s="589"/>
      <c r="V2" s="589"/>
      <c r="W2" s="589"/>
      <c r="X2" s="605"/>
      <c r="Y2" s="605"/>
      <c r="Z2" s="605"/>
      <c r="AA2" s="605"/>
      <c r="AB2" s="605"/>
      <c r="AC2" s="605"/>
      <c r="AD2" s="356" t="s">
        <v>611</v>
      </c>
      <c r="AE2" t="s">
        <v>768</v>
      </c>
    </row>
    <row r="3" spans="1:31">
      <c r="A3" s="547" t="s">
        <v>674</v>
      </c>
      <c r="B3" s="193" t="s">
        <v>558</v>
      </c>
      <c r="C3" s="387">
        <f>1-SUM(C4:C6)</f>
        <v>0.10899999999999987</v>
      </c>
      <c r="D3" s="387">
        <f t="shared" ref="D3:R3" si="0">1-SUM(D4:D6)</f>
        <v>8.7791893526920739E-2</v>
      </c>
      <c r="E3" s="387">
        <f t="shared" si="0"/>
        <v>1</v>
      </c>
      <c r="F3" s="387">
        <v>0</v>
      </c>
      <c r="G3" s="387">
        <f t="shared" si="0"/>
        <v>1</v>
      </c>
      <c r="H3" s="387">
        <f t="shared" si="0"/>
        <v>0.3403433922996878</v>
      </c>
      <c r="I3" s="387">
        <f t="shared" si="0"/>
        <v>0.3403433922996878</v>
      </c>
      <c r="J3" s="387">
        <f t="shared" si="0"/>
        <v>1</v>
      </c>
      <c r="K3" s="387">
        <f t="shared" si="0"/>
        <v>1</v>
      </c>
      <c r="L3" s="387">
        <f t="shared" si="0"/>
        <v>1</v>
      </c>
      <c r="M3" s="387">
        <f t="shared" si="0"/>
        <v>1</v>
      </c>
      <c r="N3" s="387">
        <f t="shared" si="0"/>
        <v>1</v>
      </c>
      <c r="O3" s="387">
        <f t="shared" si="0"/>
        <v>1</v>
      </c>
      <c r="P3" s="387">
        <f t="shared" si="0"/>
        <v>0.1707199032062916</v>
      </c>
      <c r="Q3" s="387">
        <f t="shared" si="0"/>
        <v>0.40031217481789805</v>
      </c>
      <c r="R3" s="387">
        <f t="shared" si="0"/>
        <v>0.40031217481789805</v>
      </c>
      <c r="T3" s="590" t="s">
        <v>761</v>
      </c>
      <c r="U3" s="590"/>
      <c r="V3" s="590"/>
      <c r="W3" s="590"/>
      <c r="X3" s="591" t="s">
        <v>824</v>
      </c>
      <c r="Y3" s="591"/>
      <c r="Z3" s="591"/>
      <c r="AA3" s="591"/>
      <c r="AB3" s="591"/>
      <c r="AC3" s="591"/>
      <c r="AD3" s="356" t="s">
        <v>614</v>
      </c>
      <c r="AE3" s="604" t="s">
        <v>818</v>
      </c>
    </row>
    <row r="4" spans="1:31">
      <c r="A4" s="547"/>
      <c r="B4" s="193" t="s">
        <v>559</v>
      </c>
      <c r="C4" s="387">
        <f>'A2-4 Derived trans.coefficients'!D37</f>
        <v>0</v>
      </c>
      <c r="D4" s="387">
        <f>'A2-4 Derived trans.coefficients'!E37</f>
        <v>0</v>
      </c>
      <c r="E4" s="387">
        <f>'A2-4 Derived trans.coefficients'!F37</f>
        <v>0</v>
      </c>
      <c r="F4" s="387">
        <f>1-F5-F6</f>
        <v>0.12176738569310985</v>
      </c>
      <c r="G4" s="387">
        <f>'A2-4 Derived trans.coefficients'!H37</f>
        <v>0</v>
      </c>
      <c r="H4" s="387">
        <f>'A2-4 Derived trans.coefficients'!I37</f>
        <v>0</v>
      </c>
      <c r="I4" s="387">
        <f>'A2-4 Derived trans.coefficients'!J37</f>
        <v>0</v>
      </c>
      <c r="J4" s="387">
        <f>'A2-4 Derived trans.coefficients'!K37</f>
        <v>0</v>
      </c>
      <c r="K4" s="387">
        <f>'A2-4 Derived trans.coefficients'!L37</f>
        <v>0</v>
      </c>
      <c r="L4" s="387">
        <f>'A2-4 Derived trans.coefficients'!M37</f>
        <v>0</v>
      </c>
      <c r="M4" s="387">
        <f>'A2-4 Derived trans.coefficients'!N37</f>
        <v>0</v>
      </c>
      <c r="N4" s="387">
        <f>'A2-4 Derived trans.coefficients'!O37</f>
        <v>0</v>
      </c>
      <c r="O4" s="387">
        <f>'A2-4 Derived trans.coefficients'!P37</f>
        <v>0</v>
      </c>
      <c r="P4" s="387">
        <f>'A2-4 Derived trans.coefficients'!Q37</f>
        <v>0</v>
      </c>
      <c r="Q4" s="387">
        <f>'A2-4 Derived trans.coefficients'!R37</f>
        <v>0</v>
      </c>
      <c r="R4" s="387">
        <f>'A2-4 Derived trans.coefficients'!S37</f>
        <v>0</v>
      </c>
      <c r="T4" s="590"/>
      <c r="U4" s="590"/>
      <c r="V4" s="590"/>
      <c r="W4" s="590"/>
      <c r="X4" s="591"/>
      <c r="Y4" s="591"/>
      <c r="Z4" s="591"/>
      <c r="AA4" s="591"/>
      <c r="AB4" s="591"/>
      <c r="AC4" s="591"/>
      <c r="AD4" s="356" t="s">
        <v>635</v>
      </c>
      <c r="AE4" s="604" t="s">
        <v>821</v>
      </c>
    </row>
    <row r="5" spans="1:31">
      <c r="A5" s="547"/>
      <c r="B5" s="193" t="s">
        <v>560</v>
      </c>
      <c r="C5" s="387">
        <f>'A2-4 Derived trans.coefficients'!D38</f>
        <v>0</v>
      </c>
      <c r="D5" s="387">
        <f>'A2-4 Derived trans.coefficients'!E38</f>
        <v>0</v>
      </c>
      <c r="E5" s="387">
        <f>'A2-4 Derived trans.coefficients'!F38</f>
        <v>0</v>
      </c>
      <c r="F5" s="387">
        <f>'A2-4 Derived trans.coefficients'!G38</f>
        <v>0.15667298127936727</v>
      </c>
      <c r="G5" s="387">
        <f>'A2-4 Derived trans.coefficients'!H38</f>
        <v>0</v>
      </c>
      <c r="H5" s="387">
        <f>'A2-4 Derived trans.coefficients'!I38</f>
        <v>0</v>
      </c>
      <c r="I5" s="387">
        <f>'A2-4 Derived trans.coefficients'!J38</f>
        <v>0</v>
      </c>
      <c r="J5" s="387">
        <f>'A2-4 Derived trans.coefficients'!K38</f>
        <v>0</v>
      </c>
      <c r="K5" s="387">
        <f>'A2-4 Derived trans.coefficients'!L38</f>
        <v>0</v>
      </c>
      <c r="L5" s="387">
        <f>'A2-4 Derived trans.coefficients'!M38</f>
        <v>0</v>
      </c>
      <c r="M5" s="387">
        <f>'A2-4 Derived trans.coefficients'!N38</f>
        <v>0</v>
      </c>
      <c r="N5" s="387">
        <f>'A2-4 Derived trans.coefficients'!O38</f>
        <v>0</v>
      </c>
      <c r="O5" s="387">
        <f>'A2-4 Derived trans.coefficients'!P38</f>
        <v>0</v>
      </c>
      <c r="P5" s="387">
        <f>'A2-4 Derived trans.coefficients'!Q38</f>
        <v>0</v>
      </c>
      <c r="Q5" s="387">
        <f>'A2-4 Derived trans.coefficients'!R38</f>
        <v>0</v>
      </c>
      <c r="R5" s="387">
        <f>'A2-4 Derived trans.coefficients'!S38</f>
        <v>0</v>
      </c>
      <c r="T5" s="590"/>
      <c r="U5" s="590"/>
      <c r="V5" s="590"/>
      <c r="W5" s="590"/>
      <c r="X5" s="591"/>
      <c r="Y5" s="591"/>
      <c r="Z5" s="591"/>
      <c r="AA5" s="591"/>
      <c r="AB5" s="591"/>
      <c r="AC5" s="591"/>
      <c r="AD5" s="356" t="s">
        <v>642</v>
      </c>
      <c r="AE5" s="604" t="s">
        <v>823</v>
      </c>
    </row>
    <row r="6" spans="1:31">
      <c r="A6" s="547"/>
      <c r="B6" s="193" t="s">
        <v>564</v>
      </c>
      <c r="C6" s="387">
        <f>'A2-4 Derived trans.coefficients'!D39*1.1</f>
        <v>0.89100000000000013</v>
      </c>
      <c r="D6" s="387">
        <f>'A2-4 Derived trans.coefficients'!E39*1.1</f>
        <v>0.91220810647307926</v>
      </c>
      <c r="E6" s="387">
        <f>'A2-4 Derived trans.coefficients'!F39</f>
        <v>0</v>
      </c>
      <c r="F6" s="387">
        <f>'A2-4 Derived trans.coefficients'!G39*1.1</f>
        <v>0.72155963302752291</v>
      </c>
      <c r="G6" s="387">
        <f>'A2-4 Derived trans.coefficients'!H39</f>
        <v>0</v>
      </c>
      <c r="H6" s="387">
        <f>'A2-4 Derived trans.coefficients'!I39*1.1</f>
        <v>0.6596566077003122</v>
      </c>
      <c r="I6" s="387">
        <f>'A2-4 Derived trans.coefficients'!J39*1.1</f>
        <v>0.6596566077003122</v>
      </c>
      <c r="J6" s="387">
        <f>'A2-4 Derived trans.coefficients'!K39</f>
        <v>0</v>
      </c>
      <c r="K6" s="387">
        <f>'A2-4 Derived trans.coefficients'!L39</f>
        <v>0</v>
      </c>
      <c r="L6" s="387">
        <f>'A2-4 Derived trans.coefficients'!M39</f>
        <v>0</v>
      </c>
      <c r="M6" s="387">
        <f>'A2-4 Derived trans.coefficients'!N39</f>
        <v>0</v>
      </c>
      <c r="N6" s="387">
        <f>'A2-4 Derived trans.coefficients'!O39</f>
        <v>0</v>
      </c>
      <c r="O6" s="387">
        <f>'A2-4 Derived trans.coefficients'!P39</f>
        <v>0</v>
      </c>
      <c r="P6" s="387">
        <f>'A2-4 Derived trans.coefficients'!Q39</f>
        <v>0.8292800967937084</v>
      </c>
      <c r="Q6" s="387">
        <f>'A2-4 Derived trans.coefficients'!R39</f>
        <v>0.59968782518210195</v>
      </c>
      <c r="R6" s="387">
        <f>'A2-4 Derived trans.coefficients'!S39</f>
        <v>0.59968782518210195</v>
      </c>
      <c r="T6" s="590"/>
      <c r="U6" s="590"/>
      <c r="V6" s="590"/>
      <c r="W6" s="590"/>
      <c r="X6" s="591"/>
      <c r="Y6" s="591"/>
      <c r="Z6" s="591"/>
      <c r="AA6" s="591"/>
      <c r="AB6" s="591"/>
      <c r="AC6" s="591"/>
      <c r="AD6" s="356" t="s">
        <v>643</v>
      </c>
      <c r="AE6" s="604" t="s">
        <v>829</v>
      </c>
    </row>
    <row r="7" spans="1:31">
      <c r="A7" s="547" t="s">
        <v>673</v>
      </c>
      <c r="B7" s="194" t="s">
        <v>561</v>
      </c>
      <c r="C7" s="388">
        <f>'A2-4 Derived trans.coefficients'!D41</f>
        <v>0.97</v>
      </c>
      <c r="D7" s="388">
        <f>'A2-4 Derived trans.coefficients'!E41</f>
        <v>0.97</v>
      </c>
      <c r="E7" s="388">
        <f>'A2-4 Derived trans.coefficients'!F41</f>
        <v>0</v>
      </c>
      <c r="F7" s="388">
        <f>'A2-4 Derived trans.coefficients'!G41</f>
        <v>0</v>
      </c>
      <c r="G7" s="388">
        <f>'A2-4 Derived trans.coefficients'!H41</f>
        <v>0</v>
      </c>
      <c r="H7" s="388">
        <f>'A2-4 Derived trans.coefficients'!I41</f>
        <v>0.01</v>
      </c>
      <c r="I7" s="388">
        <f>'A2-4 Derived trans.coefficients'!J41</f>
        <v>0.01</v>
      </c>
      <c r="J7" s="388">
        <f>'A2-4 Derived trans.coefficients'!K41</f>
        <v>0.1</v>
      </c>
      <c r="K7" s="388">
        <f>'A2-4 Derived trans.coefficients'!L41</f>
        <v>0</v>
      </c>
      <c r="L7" s="388">
        <f>'A2-4 Derived trans.coefficients'!M41</f>
        <v>0</v>
      </c>
      <c r="M7" s="388">
        <f>'A2-4 Derived trans.coefficients'!N41</f>
        <v>0</v>
      </c>
      <c r="N7" s="388">
        <v>0.1</v>
      </c>
      <c r="O7" s="388">
        <v>0.1</v>
      </c>
      <c r="P7" s="388">
        <v>0.4</v>
      </c>
      <c r="Q7" s="388">
        <v>0.1</v>
      </c>
      <c r="R7" s="388">
        <v>0.1</v>
      </c>
      <c r="T7" s="590" t="s">
        <v>759</v>
      </c>
      <c r="U7" s="590"/>
      <c r="V7" s="590"/>
      <c r="W7" s="590"/>
      <c r="X7" s="591" t="s">
        <v>820</v>
      </c>
      <c r="Y7" s="591"/>
      <c r="Z7" s="591"/>
      <c r="AA7" s="591"/>
      <c r="AB7" s="591"/>
      <c r="AC7" s="591"/>
      <c r="AD7" s="356" t="s">
        <v>652</v>
      </c>
      <c r="AE7" s="604" t="s">
        <v>827</v>
      </c>
    </row>
    <row r="8" spans="1:31">
      <c r="A8" s="547"/>
      <c r="B8" s="194" t="s">
        <v>562</v>
      </c>
      <c r="C8" s="388">
        <f>'A2-4 Derived trans.coefficients'!D42</f>
        <v>1.4999999999999999E-2</v>
      </c>
      <c r="D8" s="388">
        <f>'A2-4 Derived trans.coefficients'!E42</f>
        <v>1.4999999999999999E-2</v>
      </c>
      <c r="E8" s="388">
        <f>'A2-4 Derived trans.coefficients'!F42</f>
        <v>0.5</v>
      </c>
      <c r="F8" s="388">
        <f>'A2-4 Derived trans.coefficients'!G42</f>
        <v>0.6</v>
      </c>
      <c r="G8" s="388">
        <f>'A2-4 Derived trans.coefficients'!H42</f>
        <v>0.99</v>
      </c>
      <c r="H8" s="388">
        <f>'A2-4 Derived trans.coefficients'!I42</f>
        <v>0.98</v>
      </c>
      <c r="I8" s="388">
        <f>'A2-4 Derived trans.coefficients'!J42</f>
        <v>0.98</v>
      </c>
      <c r="J8" s="388">
        <f>'A2-4 Derived trans.coefficients'!K42</f>
        <v>0.1</v>
      </c>
      <c r="K8" s="388">
        <f>'A2-4 Derived trans.coefficients'!L42</f>
        <v>0.01</v>
      </c>
      <c r="L8" s="388">
        <f>'A2-4 Derived trans.coefficients'!M42</f>
        <v>0.01</v>
      </c>
      <c r="M8" s="388">
        <f>'A2-4 Derived trans.coefficients'!N42</f>
        <v>1</v>
      </c>
      <c r="N8" s="388">
        <v>9.9999999999999978E-2</v>
      </c>
      <c r="O8" s="388">
        <v>9.9999999999999978E-2</v>
      </c>
      <c r="P8" s="388">
        <v>0</v>
      </c>
      <c r="Q8" s="388">
        <v>9.9999999999999978E-2</v>
      </c>
      <c r="R8" s="388">
        <v>9.9999999999999978E-2</v>
      </c>
      <c r="T8" s="590"/>
      <c r="U8" s="590"/>
      <c r="V8" s="590"/>
      <c r="W8" s="590"/>
      <c r="X8" s="591"/>
      <c r="Y8" s="591"/>
      <c r="Z8" s="591"/>
      <c r="AA8" s="591"/>
      <c r="AB8" s="591"/>
      <c r="AC8" s="591"/>
      <c r="AD8" s="356"/>
      <c r="AE8" s="604"/>
    </row>
    <row r="9" spans="1:31">
      <c r="A9" s="547"/>
      <c r="B9" s="194" t="s">
        <v>563</v>
      </c>
      <c r="C9" s="388">
        <f>'A2-4 Derived trans.coefficients'!D43</f>
        <v>1.4999999999999999E-2</v>
      </c>
      <c r="D9" s="388">
        <f>'A2-4 Derived trans.coefficients'!E43</f>
        <v>1.4999999999999999E-2</v>
      </c>
      <c r="E9" s="388">
        <f>'A2-4 Derived trans.coefficients'!F43</f>
        <v>0.5</v>
      </c>
      <c r="F9" s="388">
        <f>'A2-4 Derived trans.coefficients'!G43</f>
        <v>0.4</v>
      </c>
      <c r="G9" s="388">
        <f>'A2-4 Derived trans.coefficients'!H43</f>
        <v>0.01</v>
      </c>
      <c r="H9" s="388">
        <f>'A2-4 Derived trans.coefficients'!I43</f>
        <v>0.01</v>
      </c>
      <c r="I9" s="388">
        <f>'A2-4 Derived trans.coefficients'!J43</f>
        <v>0.01</v>
      </c>
      <c r="J9" s="388">
        <f>'A2-4 Derived trans.coefficients'!K43</f>
        <v>0.8</v>
      </c>
      <c r="K9" s="388">
        <f>'A2-4 Derived trans.coefficients'!L43</f>
        <v>0.99</v>
      </c>
      <c r="L9" s="388">
        <f>'A2-4 Derived trans.coefficients'!M43</f>
        <v>0.99</v>
      </c>
      <c r="M9" s="388">
        <f>'A2-4 Derived trans.coefficients'!N43</f>
        <v>0</v>
      </c>
      <c r="N9" s="388">
        <v>0.8</v>
      </c>
      <c r="O9" s="388">
        <v>0.8</v>
      </c>
      <c r="P9" s="388">
        <v>0.6</v>
      </c>
      <c r="Q9" s="388">
        <v>0.8</v>
      </c>
      <c r="R9" s="388">
        <v>0.8</v>
      </c>
      <c r="T9" s="590"/>
      <c r="U9" s="590"/>
      <c r="V9" s="590"/>
      <c r="W9" s="590"/>
      <c r="X9" s="591"/>
      <c r="Y9" s="591"/>
      <c r="Z9" s="591"/>
      <c r="AA9" s="591"/>
      <c r="AB9" s="591"/>
      <c r="AC9" s="591"/>
      <c r="AD9" s="356"/>
      <c r="AE9" s="604"/>
    </row>
    <row r="10" spans="1:31">
      <c r="A10" s="548" t="s">
        <v>9</v>
      </c>
      <c r="B10" s="27" t="s">
        <v>496</v>
      </c>
      <c r="C10" s="389">
        <v>0.97</v>
      </c>
      <c r="D10" s="389">
        <v>0.97</v>
      </c>
      <c r="E10" s="389">
        <f>1-E11</f>
        <v>9.9999999999999978E-2</v>
      </c>
      <c r="F10" s="389">
        <f>'A2-4 Derived trans.coefficients'!G7</f>
        <v>0.5</v>
      </c>
      <c r="G10" s="389">
        <f>'A2-4 Derived trans.coefficients'!H7</f>
        <v>0.5</v>
      </c>
      <c r="H10" s="389">
        <f>'A2-4 Derived trans.coefficients'!I7</f>
        <v>0.67084134643691384</v>
      </c>
      <c r="I10" s="389">
        <f>'A2-4 Derived trans.coefficients'!J7</f>
        <v>0.67084134643691384</v>
      </c>
      <c r="J10" s="389">
        <f>'A2-4 Derived trans.coefficients'!K7</f>
        <v>0.13300610062639795</v>
      </c>
      <c r="K10" s="389">
        <f>'A2-4 Derived trans.coefficients'!L7</f>
        <v>5.0000000000000044E-2</v>
      </c>
      <c r="L10" s="389">
        <f>'A2-4 Derived trans.coefficients'!M7</f>
        <v>5.0000000000000044E-2</v>
      </c>
      <c r="M10" s="389">
        <f>'A2-4 Derived trans.coefficients'!N7</f>
        <v>0.95</v>
      </c>
      <c r="N10" s="389">
        <f>'A2-4 Derived trans.coefficients'!O7</f>
        <v>0.13300610062639795</v>
      </c>
      <c r="O10" s="389">
        <f>'A2-4 Derived trans.coefficients'!P7</f>
        <v>0.67084134643691384</v>
      </c>
      <c r="P10" s="389">
        <f>'A2-4 Derived trans.coefficients'!Q7</f>
        <v>0.96777296374010613</v>
      </c>
      <c r="Q10" s="389">
        <f>'A2-4 Derived trans.coefficients'!R7</f>
        <v>0.67084134643691384</v>
      </c>
      <c r="R10" s="389">
        <f>'A2-4 Derived trans.coefficients'!S7</f>
        <v>0.67084134643691384</v>
      </c>
      <c r="T10" s="590" t="s">
        <v>764</v>
      </c>
      <c r="U10" s="590"/>
      <c r="V10" s="590"/>
      <c r="W10" s="590"/>
      <c r="X10" s="591" t="s">
        <v>770</v>
      </c>
      <c r="Y10" s="591"/>
      <c r="Z10" s="591"/>
      <c r="AA10" s="591"/>
      <c r="AB10" s="591"/>
      <c r="AC10" s="591"/>
      <c r="AD10" s="356"/>
      <c r="AE10" s="604"/>
    </row>
    <row r="11" spans="1:31">
      <c r="A11" s="548"/>
      <c r="B11" s="27" t="s">
        <v>497</v>
      </c>
      <c r="C11" s="389">
        <f>1-C10</f>
        <v>3.0000000000000027E-2</v>
      </c>
      <c r="D11" s="389">
        <f>1-D10</f>
        <v>3.0000000000000027E-2</v>
      </c>
      <c r="E11" s="389">
        <v>0.9</v>
      </c>
      <c r="F11" s="389">
        <f>'A2-4 Derived trans.coefficients'!G8</f>
        <v>0.5</v>
      </c>
      <c r="G11" s="389">
        <f>'A2-4 Derived trans.coefficients'!H8</f>
        <v>0.5</v>
      </c>
      <c r="H11" s="389">
        <f>'A2-4 Derived trans.coefficients'!I8</f>
        <v>0.32915865356308616</v>
      </c>
      <c r="I11" s="389">
        <f>'A2-4 Derived trans.coefficients'!J8</f>
        <v>0.32915865356308621</v>
      </c>
      <c r="J11" s="389">
        <f>'A2-4 Derived trans.coefficients'!K8</f>
        <v>0.86699389937360205</v>
      </c>
      <c r="K11" s="389">
        <f>'A2-4 Derived trans.coefficients'!L8</f>
        <v>0.95</v>
      </c>
      <c r="L11" s="389">
        <f>'A2-4 Derived trans.coefficients'!M8</f>
        <v>0.95</v>
      </c>
      <c r="M11" s="389">
        <f>'A2-4 Derived trans.coefficients'!N8</f>
        <v>0.05</v>
      </c>
      <c r="N11" s="389">
        <f>'A2-4 Derived trans.coefficients'!O8</f>
        <v>0.86699389937360205</v>
      </c>
      <c r="O11" s="389">
        <f>'A2-4 Derived trans.coefficients'!P8</f>
        <v>0.32915865356308616</v>
      </c>
      <c r="P11" s="389">
        <f>'A2-4 Derived trans.coefficients'!Q8</f>
        <v>3.2227036259893878E-2</v>
      </c>
      <c r="Q11" s="389">
        <f>'A2-4 Derived trans.coefficients'!R8</f>
        <v>0.32915865356308616</v>
      </c>
      <c r="R11" s="389">
        <f>'A2-4 Derived trans.coefficients'!S8</f>
        <v>0.32915865356308616</v>
      </c>
      <c r="T11" s="590"/>
      <c r="U11" s="590"/>
      <c r="V11" s="590"/>
      <c r="W11" s="590"/>
      <c r="X11" s="591"/>
      <c r="Y11" s="591"/>
      <c r="Z11" s="591"/>
      <c r="AA11" s="591"/>
      <c r="AB11" s="591"/>
      <c r="AC11" s="591"/>
      <c r="AD11" s="356"/>
      <c r="AE11" s="604"/>
    </row>
    <row r="12" spans="1:31">
      <c r="A12" s="547" t="s">
        <v>19</v>
      </c>
      <c r="B12" s="195" t="s">
        <v>553</v>
      </c>
      <c r="C12" s="390">
        <f>1-C13-C14</f>
        <v>8.8813023885061959E-2</v>
      </c>
      <c r="D12" s="390">
        <f>1-D13-D14</f>
        <v>8.8813023885061959E-2</v>
      </c>
      <c r="E12" s="390">
        <f>'A2-4 Derived trans.coefficients'!F10</f>
        <v>0</v>
      </c>
      <c r="F12" s="390">
        <f>'A2-4 Derived trans.coefficients'!G10</f>
        <v>5.5871158110802559E-2</v>
      </c>
      <c r="G12" s="390">
        <f>'A2-4 Derived trans.coefficients'!H10</f>
        <v>0</v>
      </c>
      <c r="H12" s="390">
        <f>'A2-4 Derived trans.coefficients'!I10</f>
        <v>9.63859743998573E-4</v>
      </c>
      <c r="I12" s="390">
        <f>'A2-4 Derived trans.coefficients'!J10</f>
        <v>9.6385974399857321E-4</v>
      </c>
      <c r="J12" s="390">
        <f>'A2-4 Derived trans.coefficients'!K10</f>
        <v>1.7232135944878844E-2</v>
      </c>
      <c r="K12" s="390">
        <f>'A2-4 Derived trans.coefficients'!L10</f>
        <v>0</v>
      </c>
      <c r="L12" s="390">
        <f>'A2-4 Derived trans.coefficients'!M10</f>
        <v>0</v>
      </c>
      <c r="M12" s="390">
        <f>'A2-4 Derived trans.coefficients'!N10</f>
        <v>0</v>
      </c>
      <c r="N12" s="390">
        <f>'A2-4 Derived trans.coefficients'!O10</f>
        <v>0</v>
      </c>
      <c r="O12" s="390">
        <f>'A2-4 Derived trans.coefficients'!P10</f>
        <v>0</v>
      </c>
      <c r="P12" s="390">
        <f>'A2-4 Derived trans.coefficients'!Q10</f>
        <v>0.17089652330548616</v>
      </c>
      <c r="Q12" s="390">
        <f>'A2-4 Derived trans.coefficients'!R10</f>
        <v>9.63859743998573E-4</v>
      </c>
      <c r="R12" s="390">
        <f>'A2-4 Derived trans.coefficients'!S10</f>
        <v>9.63859743998573E-4</v>
      </c>
      <c r="T12" s="590" t="s">
        <v>762</v>
      </c>
      <c r="U12" s="590"/>
      <c r="V12" s="590"/>
      <c r="W12" s="590"/>
      <c r="X12" s="591" t="s">
        <v>819</v>
      </c>
      <c r="Y12" s="591"/>
      <c r="Z12" s="591"/>
      <c r="AA12" s="591"/>
      <c r="AB12" s="591"/>
      <c r="AC12" s="591"/>
      <c r="AD12" s="356"/>
      <c r="AE12" s="604"/>
    </row>
    <row r="13" spans="1:31">
      <c r="A13" s="547"/>
      <c r="B13" s="195" t="s">
        <v>508</v>
      </c>
      <c r="C13" s="390">
        <f>'A2-4 Derived trans.coefficients'!D11*1.1</f>
        <v>0.90291849362466559</v>
      </c>
      <c r="D13" s="390">
        <f>'A2-4 Derived trans.coefficients'!E11*1.1</f>
        <v>0.90291849362466559</v>
      </c>
      <c r="E13" s="390">
        <f>'A2-4 Derived trans.coefficients'!F11</f>
        <v>0</v>
      </c>
      <c r="F13" s="390">
        <f>1-F14-F12</f>
        <v>0.20077803568892116</v>
      </c>
      <c r="G13" s="390">
        <f>'A2-4 Derived trans.coefficients'!H11</f>
        <v>0</v>
      </c>
      <c r="H13" s="390">
        <f>'A2-4 Derived trans.coefficients'!I11</f>
        <v>4.6295254700092084E-3</v>
      </c>
      <c r="I13" s="390">
        <f>'A2-4 Derived trans.coefficients'!J11</f>
        <v>4.6295254700092076E-3</v>
      </c>
      <c r="J13" s="390">
        <f>'A2-4 Derived trans.coefficients'!K11</f>
        <v>8.2767864055121168E-2</v>
      </c>
      <c r="K13" s="390">
        <f>'A2-4 Derived trans.coefficients'!L11</f>
        <v>0</v>
      </c>
      <c r="L13" s="390">
        <f>'A2-4 Derived trans.coefficients'!M11</f>
        <v>0</v>
      </c>
      <c r="M13" s="390">
        <f>'A2-4 Derived trans.coefficients'!N11</f>
        <v>0</v>
      </c>
      <c r="N13" s="390">
        <f>'A2-4 Derived trans.coefficients'!O11</f>
        <v>0</v>
      </c>
      <c r="O13" s="390">
        <f>'A2-4 Derived trans.coefficients'!P11</f>
        <v>0</v>
      </c>
      <c r="P13" s="390">
        <f>'A2-4 Derived trans.coefficients'!Q11</f>
        <v>0.82083499420424133</v>
      </c>
      <c r="Q13" s="390">
        <f>'A2-4 Derived trans.coefficients'!R11</f>
        <v>4.6295254700092084E-3</v>
      </c>
      <c r="R13" s="390">
        <f>'A2-4 Derived trans.coefficients'!S11</f>
        <v>4.6295254700092084E-3</v>
      </c>
      <c r="T13" s="590"/>
      <c r="U13" s="590"/>
      <c r="V13" s="590"/>
      <c r="W13" s="590"/>
      <c r="X13" s="591"/>
      <c r="Y13" s="591"/>
      <c r="Z13" s="591"/>
      <c r="AA13" s="591"/>
      <c r="AB13" s="591"/>
      <c r="AC13" s="591"/>
      <c r="AD13" s="356"/>
      <c r="AE13" s="604"/>
    </row>
    <row r="14" spans="1:31">
      <c r="A14" s="547"/>
      <c r="B14" s="195" t="s">
        <v>509</v>
      </c>
      <c r="C14" s="390">
        <f>'A2-4 Derived trans.coefficients'!D12</f>
        <v>8.2684824902724552E-3</v>
      </c>
      <c r="D14" s="390">
        <f>'A2-4 Derived trans.coefficients'!E12</f>
        <v>8.2684824902724552E-3</v>
      </c>
      <c r="E14" s="390">
        <f>'A2-4 Derived trans.coefficients'!F12</f>
        <v>1</v>
      </c>
      <c r="F14" s="390">
        <f>'A2-4 Derived trans.coefficients'!G12*1.1</f>
        <v>0.74335080620027627</v>
      </c>
      <c r="G14" s="390">
        <f>'A2-4 Derived trans.coefficients'!H12</f>
        <v>1</v>
      </c>
      <c r="H14" s="390">
        <f>'A2-4 Derived trans.coefficients'!I12</f>
        <v>0.99440661478599224</v>
      </c>
      <c r="I14" s="390">
        <f>'A2-4 Derived trans.coefficients'!J12</f>
        <v>0.99440661478599224</v>
      </c>
      <c r="J14" s="390">
        <f>'A2-4 Derived trans.coefficients'!K12</f>
        <v>0.9</v>
      </c>
      <c r="K14" s="390">
        <f>'A2-4 Derived trans.coefficients'!L12</f>
        <v>1</v>
      </c>
      <c r="L14" s="390">
        <f>'A2-4 Derived trans.coefficients'!M12</f>
        <v>1</v>
      </c>
      <c r="M14" s="390">
        <f>'A2-4 Derived trans.coefficients'!N12</f>
        <v>1</v>
      </c>
      <c r="N14" s="390">
        <f>'A2-4 Derived trans.coefficients'!O12</f>
        <v>1</v>
      </c>
      <c r="O14" s="390">
        <f>'A2-4 Derived trans.coefficients'!P12</f>
        <v>1</v>
      </c>
      <c r="P14" s="390">
        <f>'A2-4 Derived trans.coefficients'!Q12</f>
        <v>8.2684824902724552E-3</v>
      </c>
      <c r="Q14" s="390">
        <f>'A2-4 Derived trans.coefficients'!R12</f>
        <v>0.99440661478599224</v>
      </c>
      <c r="R14" s="390">
        <f>'A2-4 Derived trans.coefficients'!S12</f>
        <v>0.99440661478599224</v>
      </c>
      <c r="T14" s="590"/>
      <c r="U14" s="590"/>
      <c r="V14" s="590"/>
      <c r="W14" s="590"/>
      <c r="X14" s="591"/>
      <c r="Y14" s="591"/>
      <c r="Z14" s="591"/>
      <c r="AA14" s="591"/>
      <c r="AB14" s="591"/>
      <c r="AC14" s="591"/>
      <c r="AD14" s="356"/>
      <c r="AE14" s="604"/>
    </row>
    <row r="15" spans="1:31">
      <c r="A15" s="547" t="s">
        <v>20</v>
      </c>
      <c r="B15" s="196" t="s">
        <v>514</v>
      </c>
      <c r="C15" s="391">
        <f>'A2-4 Derived trans.coefficients'!D14</f>
        <v>0.86445375655789092</v>
      </c>
      <c r="D15" s="391">
        <f>'A2-4 Derived trans.coefficients'!E14</f>
        <v>0.86445375655789092</v>
      </c>
      <c r="E15" s="391">
        <f>'A2-4 Derived trans.coefficients'!F14</f>
        <v>0.67757695168781029</v>
      </c>
      <c r="F15" s="391">
        <f>'A2-4 Derived trans.coefficients'!G14</f>
        <v>0.28910079914042036</v>
      </c>
      <c r="G15" s="391">
        <f>'A2-4 Derived trans.coefficients'!H14</f>
        <v>0.15650586412923209</v>
      </c>
      <c r="H15" s="391">
        <f>'A2-4 Derived trans.coefficients'!I14</f>
        <v>0</v>
      </c>
      <c r="I15" s="391">
        <f>'A2-4 Derived trans.coefficients'!J14</f>
        <v>0</v>
      </c>
      <c r="J15" s="391">
        <f>'A2-4 Derived trans.coefficients'!K14</f>
        <v>0.6775769516878104</v>
      </c>
      <c r="K15" s="391">
        <f>'A2-4 Derived trans.coefficients'!L14</f>
        <v>0.22520438287725678</v>
      </c>
      <c r="L15" s="391">
        <f>'A2-4 Derived trans.coefficients'!M14</f>
        <v>0.2252043828772568</v>
      </c>
      <c r="M15" s="391">
        <f>'A2-4 Derived trans.coefficients'!N14</f>
        <v>0.05</v>
      </c>
      <c r="N15" s="391">
        <f>'A2-4 Derived trans.coefficients'!O14</f>
        <v>0.67757695168781029</v>
      </c>
      <c r="O15" s="391">
        <f>'A2-4 Derived trans.coefficients'!P14</f>
        <v>0.33333333333333331</v>
      </c>
      <c r="P15" s="391">
        <f>'A2-4 Derived trans.coefficients'!Q14</f>
        <v>0.33333333333333331</v>
      </c>
      <c r="Q15" s="391">
        <f>'A2-4 Derived trans.coefficients'!R14</f>
        <v>0.33333333333333331</v>
      </c>
      <c r="R15" s="391">
        <f>'A2-4 Derived trans.coefficients'!S14</f>
        <v>0.33333333333333331</v>
      </c>
      <c r="T15" s="590" t="s">
        <v>763</v>
      </c>
      <c r="U15" s="590"/>
      <c r="V15" s="590"/>
      <c r="W15" s="590"/>
      <c r="X15" s="591" t="s">
        <v>817</v>
      </c>
      <c r="Y15" s="591"/>
      <c r="Z15" s="591"/>
      <c r="AA15" s="591"/>
      <c r="AB15" s="591"/>
      <c r="AC15" s="591"/>
      <c r="AE15" s="356"/>
    </row>
    <row r="16" spans="1:31">
      <c r="A16" s="547"/>
      <c r="B16" s="196" t="s">
        <v>515</v>
      </c>
      <c r="C16" s="391">
        <f>'A2-4 Derived trans.coefficients'!D15</f>
        <v>0.13554624344210911</v>
      </c>
      <c r="D16" s="391">
        <f>'A2-4 Derived trans.coefficients'!E15</f>
        <v>0.13554624344210911</v>
      </c>
      <c r="E16" s="391">
        <f>'A2-4 Derived trans.coefficients'!F15</f>
        <v>0.32242304831218965</v>
      </c>
      <c r="F16" s="391">
        <f>'A2-4 Derived trans.coefficients'!G15</f>
        <v>0.71089920085957958</v>
      </c>
      <c r="G16" s="391">
        <f>'A2-4 Derived trans.coefficients'!H15</f>
        <v>0.84349413587076782</v>
      </c>
      <c r="H16" s="391">
        <f>'A2-4 Derived trans.coefficients'!I15</f>
        <v>0</v>
      </c>
      <c r="I16" s="391">
        <f>'A2-4 Derived trans.coefficients'!J15</f>
        <v>0</v>
      </c>
      <c r="J16" s="391">
        <f>'A2-4 Derived trans.coefficients'!K15</f>
        <v>0.32242304831218965</v>
      </c>
      <c r="K16" s="391">
        <f>'A2-4 Derived trans.coefficients'!L15</f>
        <v>0.77479561712274325</v>
      </c>
      <c r="L16" s="391">
        <f>'A2-4 Derived trans.coefficients'!M15</f>
        <v>0.77479561712274325</v>
      </c>
      <c r="M16" s="391">
        <f>'A2-4 Derived trans.coefficients'!N15</f>
        <v>0.95</v>
      </c>
      <c r="N16" s="391">
        <f>'A2-4 Derived trans.coefficients'!O15</f>
        <v>0.32242304831218965</v>
      </c>
      <c r="O16" s="391">
        <f>'A2-4 Derived trans.coefficients'!P15</f>
        <v>0.33333333333333331</v>
      </c>
      <c r="P16" s="391">
        <f>'A2-4 Derived trans.coefficients'!Q15</f>
        <v>0.33333333333333331</v>
      </c>
      <c r="Q16" s="391">
        <f>'A2-4 Derived trans.coefficients'!R15</f>
        <v>0.33333333333333331</v>
      </c>
      <c r="R16" s="391">
        <f>'A2-4 Derived trans.coefficients'!S15</f>
        <v>0.33333333333333331</v>
      </c>
      <c r="T16" s="590"/>
      <c r="U16" s="590"/>
      <c r="V16" s="590"/>
      <c r="W16" s="590"/>
      <c r="X16" s="591"/>
      <c r="Y16" s="591"/>
      <c r="Z16" s="591"/>
      <c r="AA16" s="591"/>
      <c r="AB16" s="591"/>
      <c r="AC16" s="591"/>
      <c r="AE16" s="356"/>
    </row>
    <row r="17" spans="1:31">
      <c r="A17" s="547"/>
      <c r="B17" s="196" t="s">
        <v>516</v>
      </c>
      <c r="C17" s="391">
        <f>'A2-4 Derived trans.coefficients'!D16</f>
        <v>0</v>
      </c>
      <c r="D17" s="391">
        <f>'A2-4 Derived trans.coefficients'!E16</f>
        <v>0</v>
      </c>
      <c r="E17" s="391">
        <f>'A2-4 Derived trans.coefficients'!F16</f>
        <v>0</v>
      </c>
      <c r="F17" s="391">
        <f>'A2-4 Derived trans.coefficients'!G16</f>
        <v>0</v>
      </c>
      <c r="G17" s="391">
        <f>'A2-4 Derived trans.coefficients'!H16</f>
        <v>0</v>
      </c>
      <c r="H17" s="391">
        <f>'A2-4 Derived trans.coefficients'!I16</f>
        <v>1</v>
      </c>
      <c r="I17" s="391">
        <f>'A2-4 Derived trans.coefficients'!J16</f>
        <v>1</v>
      </c>
      <c r="J17" s="391">
        <f>'A2-4 Derived trans.coefficients'!K16</f>
        <v>0</v>
      </c>
      <c r="K17" s="391">
        <f>'A2-4 Derived trans.coefficients'!L16</f>
        <v>0</v>
      </c>
      <c r="L17" s="391">
        <f>'A2-4 Derived trans.coefficients'!M16</f>
        <v>0</v>
      </c>
      <c r="M17" s="391">
        <f>'A2-4 Derived trans.coefficients'!N16</f>
        <v>0</v>
      </c>
      <c r="N17" s="391">
        <f>'A2-4 Derived trans.coefficients'!O16</f>
        <v>0</v>
      </c>
      <c r="O17" s="391">
        <f>'A2-4 Derived trans.coefficients'!P16</f>
        <v>0.33333333333333331</v>
      </c>
      <c r="P17" s="391">
        <f>'A2-4 Derived trans.coefficients'!Q16</f>
        <v>0.33333333333333331</v>
      </c>
      <c r="Q17" s="391">
        <f>'A2-4 Derived trans.coefficients'!R16</f>
        <v>0.33333333333333331</v>
      </c>
      <c r="R17" s="391">
        <f>'A2-4 Derived trans.coefficients'!S16</f>
        <v>0.33333333333333331</v>
      </c>
      <c r="T17" s="590"/>
      <c r="U17" s="590"/>
      <c r="V17" s="590"/>
      <c r="W17" s="590"/>
      <c r="X17" s="591"/>
      <c r="Y17" s="591"/>
      <c r="Z17" s="591"/>
      <c r="AA17" s="591"/>
      <c r="AB17" s="591"/>
      <c r="AC17" s="591"/>
      <c r="AE17" s="356"/>
    </row>
    <row r="18" spans="1:31" ht="14.4" customHeight="1">
      <c r="A18" s="585" t="s">
        <v>512</v>
      </c>
      <c r="B18" s="31" t="s">
        <v>522</v>
      </c>
      <c r="C18" s="392">
        <f>'A2-4 Derived trans.coefficients'!D18</f>
        <v>0.01</v>
      </c>
      <c r="D18" s="392">
        <f>'A2-4 Derived trans.coefficients'!E18</f>
        <v>0.01</v>
      </c>
      <c r="E18" s="392">
        <f>'A2-4 Derived trans.coefficients'!F18</f>
        <v>0.1062</v>
      </c>
      <c r="F18" s="392">
        <v>0.6</v>
      </c>
      <c r="G18" s="392">
        <v>0.2</v>
      </c>
      <c r="H18" s="392">
        <f>'A2-4 Derived trans.coefficients'!I18</f>
        <v>1.3664844375991759E-3</v>
      </c>
      <c r="I18" s="392">
        <f>'A2-4 Derived trans.coefficients'!J18</f>
        <v>1.901796315641224E-3</v>
      </c>
      <c r="J18" s="392">
        <f>'A2-4 Derived trans.coefficients'!K18</f>
        <v>0.35</v>
      </c>
      <c r="K18" s="392">
        <f>'A2-4 Derived trans.coefficients'!L18</f>
        <v>0.1062</v>
      </c>
      <c r="L18" s="392">
        <f>'A2-4 Derived trans.coefficients'!M18</f>
        <v>0.10000000000000002</v>
      </c>
      <c r="M18" s="392">
        <f>'A2-4 Derived trans.coefficients'!N18</f>
        <v>0.95</v>
      </c>
      <c r="N18" s="392">
        <f>'A2-4 Derived trans.coefficients'!O18</f>
        <v>0.1062</v>
      </c>
      <c r="O18" s="392">
        <f>'A2-4 Derived trans.coefficients'!P18</f>
        <v>0.5</v>
      </c>
      <c r="P18" s="392">
        <f>'A2-4 Derived trans.coefficients'!Q18</f>
        <v>0.01</v>
      </c>
      <c r="Q18" s="392">
        <f>'A2-4 Derived trans.coefficients'!R18</f>
        <v>1.3664844375991759E-3</v>
      </c>
      <c r="R18" s="392">
        <f>'A2-4 Derived trans.coefficients'!S18</f>
        <v>1.3664844375991759E-3</v>
      </c>
      <c r="T18" s="591" t="s">
        <v>767</v>
      </c>
      <c r="U18" s="591"/>
      <c r="V18" s="591"/>
      <c r="W18" s="591"/>
      <c r="X18" s="591" t="s">
        <v>769</v>
      </c>
      <c r="Y18" s="591"/>
      <c r="Z18" s="591"/>
      <c r="AA18" s="591"/>
      <c r="AB18" s="591"/>
      <c r="AC18" s="591"/>
      <c r="AE18" s="356"/>
    </row>
    <row r="19" spans="1:31">
      <c r="A19" s="586"/>
      <c r="B19" s="31" t="s">
        <v>523</v>
      </c>
      <c r="C19" s="392">
        <f>'A2-4 Derived trans.coefficients'!D19</f>
        <v>0.01</v>
      </c>
      <c r="D19" s="392">
        <f>'A2-4 Derived trans.coefficients'!E19</f>
        <v>0.01</v>
      </c>
      <c r="E19" s="392">
        <f>'A2-4 Derived trans.coefficients'!F19</f>
        <v>0</v>
      </c>
      <c r="F19" s="392">
        <v>0.1</v>
      </c>
      <c r="G19" s="392">
        <f>'A2-4 Derived trans.coefficients'!H19</f>
        <v>0</v>
      </c>
      <c r="H19" s="392">
        <f>'A2-4 Derived trans.coefficients'!I19</f>
        <v>0.25000000000000006</v>
      </c>
      <c r="I19" s="392">
        <f>'A2-4 Derived trans.coefficients'!J19</f>
        <v>0.24999999999999992</v>
      </c>
      <c r="J19" s="392">
        <f>'A2-4 Derived trans.coefficients'!K19</f>
        <v>0.1</v>
      </c>
      <c r="K19" s="392">
        <f>'A2-4 Derived trans.coefficients'!L19</f>
        <v>0</v>
      </c>
      <c r="L19" s="392">
        <f>'A2-4 Derived trans.coefficients'!M19</f>
        <v>0</v>
      </c>
      <c r="M19" s="392">
        <f>'A2-4 Derived trans.coefficients'!N19</f>
        <v>0</v>
      </c>
      <c r="N19" s="392">
        <f>'A2-4 Derived trans.coefficients'!O19</f>
        <v>0</v>
      </c>
      <c r="O19" s="392">
        <f>'A2-4 Derived trans.coefficients'!P19</f>
        <v>0</v>
      </c>
      <c r="P19" s="392">
        <f>'A2-4 Derived trans.coefficients'!Q19</f>
        <v>0.01</v>
      </c>
      <c r="Q19" s="392">
        <f>'A2-4 Derived trans.coefficients'!R19</f>
        <v>0.25000000000000006</v>
      </c>
      <c r="R19" s="392">
        <f>'A2-4 Derived trans.coefficients'!S19</f>
        <v>0.25000000000000006</v>
      </c>
      <c r="T19" s="591"/>
      <c r="U19" s="591"/>
      <c r="V19" s="591"/>
      <c r="W19" s="591"/>
      <c r="X19" s="591"/>
      <c r="Y19" s="591"/>
      <c r="Z19" s="591"/>
      <c r="AA19" s="591"/>
      <c r="AB19" s="591"/>
      <c r="AC19" s="591"/>
    </row>
    <row r="20" spans="1:31">
      <c r="A20" s="586"/>
      <c r="B20" s="31" t="s">
        <v>524</v>
      </c>
      <c r="C20" s="392">
        <f>'A2-4 Derived trans.coefficients'!D20</f>
        <v>0.96</v>
      </c>
      <c r="D20" s="392">
        <f>'A2-4 Derived trans.coefficients'!E20</f>
        <v>0.96000000000000008</v>
      </c>
      <c r="E20" s="392">
        <f>'A2-4 Derived trans.coefficients'!F20</f>
        <v>0</v>
      </c>
      <c r="F20" s="392">
        <v>0.1</v>
      </c>
      <c r="G20" s="392">
        <f>'A2-4 Derived trans.coefficients'!H20</f>
        <v>0</v>
      </c>
      <c r="H20" s="392">
        <f>'A2-4 Derived trans.coefficients'!I20</f>
        <v>0</v>
      </c>
      <c r="I20" s="392">
        <f>'A2-4 Derived trans.coefficients'!J20</f>
        <v>0</v>
      </c>
      <c r="J20" s="392">
        <f>'A2-4 Derived trans.coefficients'!K20</f>
        <v>0.1</v>
      </c>
      <c r="K20" s="392">
        <f>'A2-4 Derived trans.coefficients'!L20</f>
        <v>0</v>
      </c>
      <c r="L20" s="392">
        <f>'A2-4 Derived trans.coefficients'!M20</f>
        <v>0</v>
      </c>
      <c r="M20" s="392">
        <f>'A2-4 Derived trans.coefficients'!N20</f>
        <v>0</v>
      </c>
      <c r="N20" s="392">
        <f>'A2-4 Derived trans.coefficients'!O20</f>
        <v>0</v>
      </c>
      <c r="O20" s="392">
        <f>'A2-4 Derived trans.coefficients'!P20</f>
        <v>0</v>
      </c>
      <c r="P20" s="392">
        <f>'A2-4 Derived trans.coefficients'!Q20</f>
        <v>0.96000000000000008</v>
      </c>
      <c r="Q20" s="392">
        <f>'A2-4 Derived trans.coefficients'!R20</f>
        <v>0</v>
      </c>
      <c r="R20" s="392">
        <f>'A2-4 Derived trans.coefficients'!S20</f>
        <v>0</v>
      </c>
      <c r="T20" s="591"/>
      <c r="U20" s="591"/>
      <c r="V20" s="591"/>
      <c r="W20" s="591"/>
      <c r="X20" s="591"/>
      <c r="Y20" s="591"/>
      <c r="Z20" s="591"/>
      <c r="AA20" s="591"/>
      <c r="AB20" s="591"/>
      <c r="AC20" s="591"/>
    </row>
    <row r="21" spans="1:31">
      <c r="A21" s="586"/>
      <c r="B21" s="31" t="s">
        <v>131</v>
      </c>
      <c r="C21" s="392">
        <f>'A2-4 Derived trans.coefficients'!D21</f>
        <v>0.01</v>
      </c>
      <c r="D21" s="392">
        <f>'A2-4 Derived trans.coefficients'!E21</f>
        <v>0.01</v>
      </c>
      <c r="E21" s="392">
        <f>'A2-4 Derived trans.coefficients'!F21</f>
        <v>0.89380000000000004</v>
      </c>
      <c r="F21" s="392">
        <v>0.1</v>
      </c>
      <c r="G21" s="392">
        <v>0.8</v>
      </c>
      <c r="H21" s="392">
        <f>'A2-4 Derived trans.coefficients'!I21</f>
        <v>1.9017963156412246E-3</v>
      </c>
      <c r="I21" s="392">
        <f>'A2-4 Derived trans.coefficients'!J21</f>
        <v>1.901796315641224E-3</v>
      </c>
      <c r="J21" s="392">
        <f>'A2-4 Derived trans.coefficients'!K21</f>
        <v>0.35</v>
      </c>
      <c r="K21" s="392">
        <f>'A2-4 Derived trans.coefficients'!L21</f>
        <v>0.89380000000000004</v>
      </c>
      <c r="L21" s="392">
        <f>'A2-4 Derived trans.coefficients'!M21</f>
        <v>0.9</v>
      </c>
      <c r="M21" s="392">
        <f>'A2-4 Derived trans.coefficients'!N21</f>
        <v>0.05</v>
      </c>
      <c r="N21" s="392">
        <f>'A2-4 Derived trans.coefficients'!O21</f>
        <v>0.89380000000000004</v>
      </c>
      <c r="O21" s="392">
        <f>'A2-4 Derived trans.coefficients'!P21</f>
        <v>0.5</v>
      </c>
      <c r="P21" s="392">
        <f>'A2-4 Derived trans.coefficients'!Q21</f>
        <v>0.01</v>
      </c>
      <c r="Q21" s="392">
        <f>'A2-4 Derived trans.coefficients'!R21</f>
        <v>1.9017963156412246E-3</v>
      </c>
      <c r="R21" s="392">
        <f>'A2-4 Derived trans.coefficients'!S21</f>
        <v>1.9017963156412246E-3</v>
      </c>
      <c r="T21" s="591"/>
      <c r="U21" s="591"/>
      <c r="V21" s="591"/>
      <c r="W21" s="591"/>
      <c r="X21" s="591"/>
      <c r="Y21" s="591"/>
      <c r="Z21" s="591"/>
      <c r="AA21" s="591"/>
      <c r="AB21" s="591"/>
      <c r="AC21" s="591"/>
    </row>
    <row r="22" spans="1:31">
      <c r="A22" s="587"/>
      <c r="B22" s="31" t="s">
        <v>526</v>
      </c>
      <c r="C22" s="392">
        <f>'A2-4 Derived trans.coefficients'!D22</f>
        <v>0.01</v>
      </c>
      <c r="D22" s="392">
        <f>'A2-4 Derived trans.coefficients'!E22</f>
        <v>0.01</v>
      </c>
      <c r="E22" s="392">
        <f>'A2-4 Derived trans.coefficients'!F22</f>
        <v>0</v>
      </c>
      <c r="F22" s="392">
        <v>0.1</v>
      </c>
      <c r="G22" s="392">
        <f>'A2-4 Derived trans.coefficients'!H22</f>
        <v>0</v>
      </c>
      <c r="H22" s="392">
        <f>'A2-4 Derived trans.coefficients'!I22</f>
        <v>0.74673171924675963</v>
      </c>
      <c r="I22" s="392">
        <f>'A2-4 Derived trans.coefficients'!J22</f>
        <v>0.74619640736871751</v>
      </c>
      <c r="J22" s="392">
        <f>'A2-4 Derived trans.coefficients'!K22</f>
        <v>0.1</v>
      </c>
      <c r="K22" s="392">
        <f>'A2-4 Derived trans.coefficients'!L22</f>
        <v>0</v>
      </c>
      <c r="L22" s="392">
        <f>'A2-4 Derived trans.coefficients'!M22</f>
        <v>0</v>
      </c>
      <c r="M22" s="392">
        <f>'A2-4 Derived trans.coefficients'!N22</f>
        <v>0</v>
      </c>
      <c r="N22" s="392">
        <f>'A2-4 Derived trans.coefficients'!O22</f>
        <v>0</v>
      </c>
      <c r="O22" s="392">
        <f>'A2-4 Derived trans.coefficients'!P22</f>
        <v>0</v>
      </c>
      <c r="P22" s="392">
        <f>'A2-4 Derived trans.coefficients'!Q22</f>
        <v>0.01</v>
      </c>
      <c r="Q22" s="392">
        <f>'A2-4 Derived trans.coefficients'!R22</f>
        <v>0.74673171924675963</v>
      </c>
      <c r="R22" s="392">
        <f>'A2-4 Derived trans.coefficients'!S22</f>
        <v>0.74673171924675963</v>
      </c>
      <c r="T22" s="591"/>
      <c r="U22" s="591"/>
      <c r="V22" s="591"/>
      <c r="W22" s="591"/>
      <c r="X22" s="591"/>
      <c r="Y22" s="591"/>
      <c r="Z22" s="591"/>
      <c r="AA22" s="591"/>
      <c r="AB22" s="591"/>
      <c r="AC22" s="591"/>
    </row>
    <row r="23" spans="1:31">
      <c r="A23" s="548" t="s">
        <v>594</v>
      </c>
      <c r="B23" s="197" t="s">
        <v>530</v>
      </c>
      <c r="C23" s="393">
        <f>1-C24-C25</f>
        <v>0.63328277356446372</v>
      </c>
      <c r="D23" s="393">
        <f>1-D24-D25</f>
        <v>0.63328277356446372</v>
      </c>
      <c r="E23" s="393">
        <f>'A2-4 Derived trans.coefficients'!F24</f>
        <v>0</v>
      </c>
      <c r="F23" s="393">
        <f>'A2-4 Derived trans.coefficients'!G24</f>
        <v>0.75</v>
      </c>
      <c r="G23" s="393">
        <f>'A2-4 Derived trans.coefficients'!H24</f>
        <v>0</v>
      </c>
      <c r="H23" s="393">
        <f>'A2-4 Derived trans.coefficients'!I24</f>
        <v>0</v>
      </c>
      <c r="I23" s="393">
        <f>'A2-4 Derived trans.coefficients'!J24</f>
        <v>0</v>
      </c>
      <c r="J23" s="393">
        <f>'A2-4 Derived trans.coefficients'!K24</f>
        <v>0</v>
      </c>
      <c r="K23" s="393">
        <f>'A2-4 Derived trans.coefficients'!L24</f>
        <v>0</v>
      </c>
      <c r="L23" s="393">
        <f>'A2-4 Derived trans.coefficients'!M24</f>
        <v>0</v>
      </c>
      <c r="M23" s="393">
        <f>'A2-4 Derived trans.coefficients'!N24</f>
        <v>0.9</v>
      </c>
      <c r="N23" s="393">
        <f>'A2-4 Derived trans.coefficients'!O24</f>
        <v>0</v>
      </c>
      <c r="O23" s="393">
        <f>'A2-4 Derived trans.coefficients'!P24</f>
        <v>0</v>
      </c>
      <c r="P23" s="393">
        <f>'A2-4 Derived trans.coefficients'!Q24</f>
        <v>0.6667930660888407</v>
      </c>
      <c r="Q23" s="393">
        <f>'A2-4 Derived trans.coefficients'!R24</f>
        <v>0</v>
      </c>
      <c r="R23" s="393">
        <f>'A2-4 Derived trans.coefficients'!S24</f>
        <v>0</v>
      </c>
      <c r="T23" s="590" t="s">
        <v>765</v>
      </c>
      <c r="U23" s="590"/>
      <c r="V23" s="590"/>
      <c r="W23" s="590"/>
      <c r="X23" s="591" t="s">
        <v>828</v>
      </c>
      <c r="Y23" s="591"/>
      <c r="Z23" s="591"/>
      <c r="AA23" s="591"/>
      <c r="AB23" s="591"/>
      <c r="AC23" s="591"/>
    </row>
    <row r="24" spans="1:31">
      <c r="A24" s="548"/>
      <c r="B24" s="197" t="s">
        <v>531</v>
      </c>
      <c r="C24" s="393">
        <v>0.1</v>
      </c>
      <c r="D24" s="393">
        <v>0.1</v>
      </c>
      <c r="E24" s="393">
        <f>'A2-4 Derived trans.coefficients'!F25</f>
        <v>1</v>
      </c>
      <c r="F24" s="393">
        <f>'A2-4 Derived trans.coefficients'!G25</f>
        <v>0</v>
      </c>
      <c r="G24" s="393">
        <f>'A2-4 Derived trans.coefficients'!H25</f>
        <v>1</v>
      </c>
      <c r="H24" s="393">
        <f>'A2-4 Derived trans.coefficients'!I25</f>
        <v>1</v>
      </c>
      <c r="I24" s="393">
        <f>'A2-4 Derived trans.coefficients'!J25</f>
        <v>1</v>
      </c>
      <c r="J24" s="393">
        <f>'A2-4 Derived trans.coefficients'!K25</f>
        <v>1</v>
      </c>
      <c r="K24" s="393">
        <f>'A2-4 Derived trans.coefficients'!L25</f>
        <v>1</v>
      </c>
      <c r="L24" s="393">
        <f>'A2-4 Derived trans.coefficients'!M25</f>
        <v>1</v>
      </c>
      <c r="M24" s="393">
        <f>'A2-4 Derived trans.coefficients'!N25</f>
        <v>0.1</v>
      </c>
      <c r="N24" s="393">
        <f>'A2-4 Derived trans.coefficients'!O25</f>
        <v>1</v>
      </c>
      <c r="O24" s="393">
        <f>'A2-4 Derived trans.coefficients'!P25</f>
        <v>1</v>
      </c>
      <c r="P24" s="393">
        <f>'A2-4 Derived trans.coefficients'!Q25</f>
        <v>0.11094257854821232</v>
      </c>
      <c r="Q24" s="393">
        <f>'A2-4 Derived trans.coefficients'!R25</f>
        <v>1</v>
      </c>
      <c r="R24" s="393">
        <f>'A2-4 Derived trans.coefficients'!S25</f>
        <v>1</v>
      </c>
      <c r="T24" s="590"/>
      <c r="U24" s="590"/>
      <c r="V24" s="590"/>
      <c r="W24" s="590"/>
      <c r="X24" s="591"/>
      <c r="Y24" s="591"/>
      <c r="Z24" s="591"/>
      <c r="AA24" s="591"/>
      <c r="AB24" s="591"/>
      <c r="AC24" s="591"/>
    </row>
    <row r="25" spans="1:31">
      <c r="A25" s="548"/>
      <c r="B25" s="197" t="s">
        <v>532</v>
      </c>
      <c r="C25" s="393">
        <f>'A2-4 Derived trans.coefficients'!D26*1.2</f>
        <v>0.26671722643553625</v>
      </c>
      <c r="D25" s="393">
        <f>'A2-4 Derived trans.coefficients'!E26*1.2</f>
        <v>0.2667172264355363</v>
      </c>
      <c r="E25" s="393">
        <f>'A2-4 Derived trans.coefficients'!F26</f>
        <v>0</v>
      </c>
      <c r="F25" s="393">
        <f>'A2-4 Derived trans.coefficients'!G26</f>
        <v>0.25</v>
      </c>
      <c r="G25" s="393">
        <f>'A2-4 Derived trans.coefficients'!H26</f>
        <v>0</v>
      </c>
      <c r="H25" s="393">
        <f>'A2-4 Derived trans.coefficients'!I26</f>
        <v>0</v>
      </c>
      <c r="I25" s="393">
        <f>'A2-4 Derived trans.coefficients'!J26</f>
        <v>0</v>
      </c>
      <c r="J25" s="393">
        <f>'A2-4 Derived trans.coefficients'!K26</f>
        <v>0</v>
      </c>
      <c r="K25" s="393">
        <f>'A2-4 Derived trans.coefficients'!L26</f>
        <v>0</v>
      </c>
      <c r="L25" s="393">
        <f>'A2-4 Derived trans.coefficients'!M26</f>
        <v>0</v>
      </c>
      <c r="M25" s="393">
        <f>'A2-4 Derived trans.coefficients'!N26</f>
        <v>0</v>
      </c>
      <c r="N25" s="393">
        <f>'A2-4 Derived trans.coefficients'!O26</f>
        <v>0</v>
      </c>
      <c r="O25" s="393">
        <f>'A2-4 Derived trans.coefficients'!P26</f>
        <v>0</v>
      </c>
      <c r="P25" s="393">
        <f>'A2-4 Derived trans.coefficients'!Q26</f>
        <v>0.22226435536294692</v>
      </c>
      <c r="Q25" s="393">
        <f>'A2-4 Derived trans.coefficients'!R26</f>
        <v>0</v>
      </c>
      <c r="R25" s="393">
        <f>'A2-4 Derived trans.coefficients'!S26</f>
        <v>0</v>
      </c>
      <c r="T25" s="590"/>
      <c r="U25" s="590"/>
      <c r="V25" s="590"/>
      <c r="W25" s="590"/>
      <c r="X25" s="591"/>
      <c r="Y25" s="591"/>
      <c r="Z25" s="591"/>
      <c r="AA25" s="591"/>
      <c r="AB25" s="591"/>
      <c r="AC25" s="591"/>
    </row>
    <row r="26" spans="1:31">
      <c r="A26" s="549" t="s">
        <v>536</v>
      </c>
      <c r="B26" s="30" t="s">
        <v>537</v>
      </c>
      <c r="C26" s="394">
        <f>'A2-4 Derived trans.coefficients'!D28</f>
        <v>0</v>
      </c>
      <c r="D26" s="394">
        <f>'A2-4 Derived trans.coefficients'!E28</f>
        <v>0</v>
      </c>
      <c r="E26" s="394">
        <f>'A2-4 Derived trans.coefficients'!F28</f>
        <v>0</v>
      </c>
      <c r="F26" s="394">
        <f>'A2-4 Derived trans.coefficients'!G28</f>
        <v>0.3</v>
      </c>
      <c r="G26" s="394">
        <f>'A2-4 Derived trans.coefficients'!H28</f>
        <v>0</v>
      </c>
      <c r="H26" s="394">
        <f>1-H27-H28</f>
        <v>0.237407705034271</v>
      </c>
      <c r="I26" s="394">
        <f>1-I27-I28</f>
        <v>0.237407705034271</v>
      </c>
      <c r="J26" s="394">
        <f>'A2-4 Derived trans.coefficients'!K28</f>
        <v>0</v>
      </c>
      <c r="K26" s="394">
        <f>'A2-4 Derived trans.coefficients'!L28</f>
        <v>0</v>
      </c>
      <c r="L26" s="394">
        <f>'A2-4 Derived trans.coefficients'!M28</f>
        <v>0</v>
      </c>
      <c r="M26" s="394">
        <f>'A2-4 Derived trans.coefficients'!N28</f>
        <v>0</v>
      </c>
      <c r="N26" s="394">
        <f>'A2-4 Derived trans.coefficients'!O28</f>
        <v>0</v>
      </c>
      <c r="O26" s="394">
        <f>'A2-4 Derived trans.coefficients'!P28</f>
        <v>0</v>
      </c>
      <c r="P26" s="394">
        <f>'A2-4 Derived trans.coefficients'!Q28</f>
        <v>0</v>
      </c>
      <c r="Q26" s="394">
        <f>'A2-4 Derived trans.coefficients'!R28</f>
        <v>0.52757267785393536</v>
      </c>
      <c r="R26" s="394">
        <f>'A2-4 Derived trans.coefficients'!S28</f>
        <v>0.52757267785393536</v>
      </c>
      <c r="T26" s="590" t="s">
        <v>825</v>
      </c>
      <c r="U26" s="590"/>
      <c r="V26" s="590"/>
      <c r="W26" s="590"/>
      <c r="X26" s="591" t="s">
        <v>826</v>
      </c>
      <c r="Y26" s="591"/>
      <c r="Z26" s="591"/>
      <c r="AA26" s="591"/>
      <c r="AB26" s="591"/>
      <c r="AC26" s="591"/>
    </row>
    <row r="27" spans="1:31">
      <c r="A27" s="549"/>
      <c r="B27" s="30" t="s">
        <v>538</v>
      </c>
      <c r="C27" s="394">
        <f>'A2-4 Derived trans.coefficients'!D29</f>
        <v>1</v>
      </c>
      <c r="D27" s="394">
        <f>'A2-4 Derived trans.coefficients'!E29</f>
        <v>1</v>
      </c>
      <c r="E27" s="394">
        <f>'A2-4 Derived trans.coefficients'!F29</f>
        <v>1</v>
      </c>
      <c r="F27" s="394">
        <f>'A2-4 Derived trans.coefficients'!G29</f>
        <v>0.4</v>
      </c>
      <c r="G27" s="394">
        <f>'A2-4 Derived trans.coefficients'!H29</f>
        <v>1</v>
      </c>
      <c r="H27" s="394">
        <f>'A2-4 Derived trans.coefficients'!I29</f>
        <v>5.7905932403686987E-2</v>
      </c>
      <c r="I27" s="394">
        <f>'A2-4 Derived trans.coefficients'!J29</f>
        <v>5.7905932403686994E-2</v>
      </c>
      <c r="J27" s="394">
        <f>'A2-4 Derived trans.coefficients'!K29</f>
        <v>1</v>
      </c>
      <c r="K27" s="394">
        <f>'A2-4 Derived trans.coefficients'!L29</f>
        <v>1</v>
      </c>
      <c r="L27" s="394">
        <f>'A2-4 Derived trans.coefficients'!M29</f>
        <v>1</v>
      </c>
      <c r="M27" s="394">
        <f>'A2-4 Derived trans.coefficients'!N29</f>
        <v>1</v>
      </c>
      <c r="N27" s="394">
        <f>'A2-4 Derived trans.coefficients'!O29</f>
        <v>1</v>
      </c>
      <c r="O27" s="394">
        <f>'A2-4 Derived trans.coefficients'!P29</f>
        <v>1</v>
      </c>
      <c r="P27" s="394">
        <f>'A2-4 Derived trans.coefficients'!Q29</f>
        <v>1</v>
      </c>
      <c r="Q27" s="394">
        <f>'A2-4 Derived trans.coefficients'!R29</f>
        <v>5.7905932403686987E-2</v>
      </c>
      <c r="R27" s="394">
        <f>'A2-4 Derived trans.coefficients'!S29</f>
        <v>5.7905932403686987E-2</v>
      </c>
      <c r="T27" s="590"/>
      <c r="U27" s="590"/>
      <c r="V27" s="590"/>
      <c r="W27" s="590"/>
      <c r="X27" s="591"/>
      <c r="Y27" s="591"/>
      <c r="Z27" s="591"/>
      <c r="AA27" s="591"/>
      <c r="AB27" s="591"/>
      <c r="AC27" s="591"/>
    </row>
    <row r="28" spans="1:31">
      <c r="A28" s="549"/>
      <c r="B28" s="30" t="s">
        <v>539</v>
      </c>
      <c r="C28" s="394">
        <f>'A2-4 Derived trans.coefficients'!D30</f>
        <v>0</v>
      </c>
      <c r="D28" s="394">
        <f>'A2-4 Derived trans.coefficients'!E30</f>
        <v>0</v>
      </c>
      <c r="E28" s="394">
        <f>'A2-4 Derived trans.coefficients'!F30</f>
        <v>0</v>
      </c>
      <c r="F28" s="394">
        <f>'A2-4 Derived trans.coefficients'!G30</f>
        <v>0.3</v>
      </c>
      <c r="G28" s="394">
        <f>'A2-4 Derived trans.coefficients'!H30</f>
        <v>0</v>
      </c>
      <c r="H28" s="394">
        <f>'A2-4 Derived trans.coefficients'!I30*1.7</f>
        <v>0.70468636256204198</v>
      </c>
      <c r="I28" s="394">
        <f>'A2-4 Derived trans.coefficients'!J30*1.7</f>
        <v>0.70468636256204198</v>
      </c>
      <c r="J28" s="394">
        <f>'A2-4 Derived trans.coefficients'!K30</f>
        <v>0</v>
      </c>
      <c r="K28" s="394">
        <f>'A2-4 Derived trans.coefficients'!L30</f>
        <v>0</v>
      </c>
      <c r="L28" s="394">
        <f>'A2-4 Derived trans.coefficients'!M30</f>
        <v>0</v>
      </c>
      <c r="M28" s="394">
        <f>'A2-4 Derived trans.coefficients'!N30</f>
        <v>0</v>
      </c>
      <c r="N28" s="394">
        <f>'A2-4 Derived trans.coefficients'!O30</f>
        <v>0</v>
      </c>
      <c r="O28" s="394">
        <f>'A2-4 Derived trans.coefficients'!P30</f>
        <v>0</v>
      </c>
      <c r="P28" s="394">
        <f>'A2-4 Derived trans.coefficients'!Q30</f>
        <v>0</v>
      </c>
      <c r="Q28" s="394">
        <f>'A2-4 Derived trans.coefficients'!R30</f>
        <v>0.41452138974237768</v>
      </c>
      <c r="R28" s="394">
        <f>'A2-4 Derived trans.coefficients'!S30</f>
        <v>0.41452138974237768</v>
      </c>
      <c r="T28" s="590"/>
      <c r="U28" s="590"/>
      <c r="V28" s="590"/>
      <c r="W28" s="590"/>
      <c r="X28" s="591"/>
      <c r="Y28" s="591"/>
      <c r="Z28" s="591"/>
      <c r="AA28" s="591"/>
      <c r="AB28" s="591"/>
      <c r="AC28" s="591"/>
    </row>
    <row r="29" spans="1:31">
      <c r="A29" s="547" t="s">
        <v>144</v>
      </c>
      <c r="B29" s="200" t="s">
        <v>503</v>
      </c>
      <c r="C29" s="395">
        <f>'A2-4 Derived trans.coefficients'!D32</f>
        <v>1.4999999999999999E-2</v>
      </c>
      <c r="D29" s="395">
        <f>'A2-4 Derived trans.coefficients'!E32</f>
        <v>1.4999999999999999E-2</v>
      </c>
      <c r="E29" s="395">
        <f>'A2-4 Derived trans.coefficients'!F32</f>
        <v>0.5</v>
      </c>
      <c r="F29" s="395">
        <f>'A2-4 Derived trans.coefficients'!G32</f>
        <v>0.98</v>
      </c>
      <c r="G29" s="395">
        <f>'A2-4 Derived trans.coefficients'!H32</f>
        <v>0.99</v>
      </c>
      <c r="H29" s="395">
        <f>'A2-4 Derived trans.coefficients'!I32</f>
        <v>0.98</v>
      </c>
      <c r="I29" s="395">
        <f>'A2-4 Derived trans.coefficients'!J32</f>
        <v>0.98</v>
      </c>
      <c r="J29" s="395">
        <f>'A2-4 Derived trans.coefficients'!K32</f>
        <v>0.1</v>
      </c>
      <c r="K29" s="395">
        <f>'A2-4 Derived trans.coefficients'!L32</f>
        <v>0.01</v>
      </c>
      <c r="L29" s="395">
        <f>'A2-4 Derived trans.coefficients'!M32</f>
        <v>0.01</v>
      </c>
      <c r="M29" s="395">
        <f>'A2-4 Derived trans.coefficients'!N32</f>
        <v>1</v>
      </c>
      <c r="N29" s="395">
        <f>'A2-4 Derived trans.coefficients'!O32</f>
        <v>0.5</v>
      </c>
      <c r="O29" s="395">
        <f>'A2-4 Derived trans.coefficients'!P32</f>
        <v>1</v>
      </c>
      <c r="P29" s="395">
        <f>'A2-4 Derived trans.coefficients'!Q32</f>
        <v>1.4999999999999999E-2</v>
      </c>
      <c r="Q29" s="395">
        <f>'A2-4 Derived trans.coefficients'!R32</f>
        <v>0.98</v>
      </c>
      <c r="R29" s="395">
        <f>'A2-4 Derived trans.coefficients'!S32</f>
        <v>0.98</v>
      </c>
      <c r="T29" s="591" t="s">
        <v>760</v>
      </c>
      <c r="U29" s="591"/>
      <c r="V29" s="591"/>
      <c r="W29" s="591"/>
      <c r="X29" s="591" t="s">
        <v>822</v>
      </c>
      <c r="Y29" s="591"/>
      <c r="Z29" s="591"/>
      <c r="AA29" s="591"/>
      <c r="AB29" s="591"/>
      <c r="AC29" s="591"/>
    </row>
    <row r="30" spans="1:31">
      <c r="A30" s="547"/>
      <c r="B30" s="200" t="s">
        <v>504</v>
      </c>
      <c r="C30" s="395">
        <f>'A2-4 Derived trans.coefficients'!D33</f>
        <v>1.4999999999999999E-2</v>
      </c>
      <c r="D30" s="395">
        <f>'A2-4 Derived trans.coefficients'!E33</f>
        <v>1.4999999999999999E-2</v>
      </c>
      <c r="E30" s="395">
        <f>'A2-4 Derived trans.coefficients'!F33</f>
        <v>0.5</v>
      </c>
      <c r="F30" s="395">
        <f>'A2-4 Derived trans.coefficients'!G33</f>
        <v>0.01</v>
      </c>
      <c r="G30" s="395">
        <f>'A2-4 Derived trans.coefficients'!H33</f>
        <v>0.01</v>
      </c>
      <c r="H30" s="395">
        <f>'A2-4 Derived trans.coefficients'!I33</f>
        <v>0.01</v>
      </c>
      <c r="I30" s="395">
        <f>'A2-4 Derived trans.coefficients'!J33</f>
        <v>0.01</v>
      </c>
      <c r="J30" s="395">
        <f>'A2-4 Derived trans.coefficients'!K33</f>
        <v>0.8</v>
      </c>
      <c r="K30" s="395">
        <f>'A2-4 Derived trans.coefficients'!L33</f>
        <v>0.99</v>
      </c>
      <c r="L30" s="395">
        <f>'A2-4 Derived trans.coefficients'!M33</f>
        <v>0.99</v>
      </c>
      <c r="M30" s="395">
        <f>'A2-4 Derived trans.coefficients'!N33</f>
        <v>0</v>
      </c>
      <c r="N30" s="395">
        <f>'A2-4 Derived trans.coefficients'!O33</f>
        <v>0.5</v>
      </c>
      <c r="O30" s="395">
        <f>'A2-4 Derived trans.coefficients'!P33</f>
        <v>0</v>
      </c>
      <c r="P30" s="395">
        <f>'A2-4 Derived trans.coefficients'!Q33</f>
        <v>1.4999999999999999E-2</v>
      </c>
      <c r="Q30" s="395">
        <f>'A2-4 Derived trans.coefficients'!R33</f>
        <v>0.01</v>
      </c>
      <c r="R30" s="395">
        <f>'A2-4 Derived trans.coefficients'!S33</f>
        <v>0.01</v>
      </c>
      <c r="T30" s="591"/>
      <c r="U30" s="591"/>
      <c r="V30" s="591"/>
      <c r="W30" s="591"/>
      <c r="X30" s="591"/>
      <c r="Y30" s="591"/>
      <c r="Z30" s="591"/>
      <c r="AA30" s="591"/>
      <c r="AB30" s="591"/>
      <c r="AC30" s="591"/>
    </row>
    <row r="31" spans="1:31">
      <c r="A31" s="547"/>
      <c r="B31" s="200" t="s">
        <v>554</v>
      </c>
      <c r="C31" s="395">
        <f>'A2-4 Derived trans.coefficients'!D34</f>
        <v>0.97</v>
      </c>
      <c r="D31" s="395">
        <f>'A2-4 Derived trans.coefficients'!E34</f>
        <v>0.97</v>
      </c>
      <c r="E31" s="395">
        <f>'A2-4 Derived trans.coefficients'!F34</f>
        <v>0</v>
      </c>
      <c r="F31" s="395">
        <f>'A2-4 Derived trans.coefficients'!G34</f>
        <v>0.01</v>
      </c>
      <c r="G31" s="395">
        <f>'A2-4 Derived trans.coefficients'!H34</f>
        <v>0</v>
      </c>
      <c r="H31" s="395">
        <f>'A2-4 Derived trans.coefficients'!I34</f>
        <v>0.01</v>
      </c>
      <c r="I31" s="395">
        <f>'A2-4 Derived trans.coefficients'!J34</f>
        <v>0.01</v>
      </c>
      <c r="J31" s="395">
        <f>'A2-4 Derived trans.coefficients'!K34</f>
        <v>0.1</v>
      </c>
      <c r="K31" s="395">
        <f>'A2-4 Derived trans.coefficients'!L34</f>
        <v>0</v>
      </c>
      <c r="L31" s="395">
        <f>'A2-4 Derived trans.coefficients'!M34</f>
        <v>0</v>
      </c>
      <c r="M31" s="395">
        <f>'A2-4 Derived trans.coefficients'!N34</f>
        <v>0</v>
      </c>
      <c r="N31" s="395">
        <f>'A2-4 Derived trans.coefficients'!O34</f>
        <v>0</v>
      </c>
      <c r="O31" s="395">
        <f>'A2-4 Derived trans.coefficients'!P34</f>
        <v>0</v>
      </c>
      <c r="P31" s="395">
        <f>'A2-4 Derived trans.coefficients'!Q34</f>
        <v>0.97</v>
      </c>
      <c r="Q31" s="395">
        <f>'A2-4 Derived trans.coefficients'!R34</f>
        <v>0.01</v>
      </c>
      <c r="R31" s="395">
        <f>'A2-4 Derived trans.coefficients'!S34</f>
        <v>0.01</v>
      </c>
      <c r="T31" s="591"/>
      <c r="U31" s="591"/>
      <c r="V31" s="591"/>
      <c r="W31" s="591"/>
      <c r="X31" s="591"/>
      <c r="Y31" s="591"/>
      <c r="Z31" s="591"/>
      <c r="AA31" s="591"/>
      <c r="AB31" s="591"/>
      <c r="AC31" s="591"/>
    </row>
    <row r="33" spans="2:18">
      <c r="B33" s="11" t="s">
        <v>749</v>
      </c>
      <c r="C33" t="s">
        <v>90</v>
      </c>
      <c r="D33" t="s">
        <v>86</v>
      </c>
      <c r="E33" t="s">
        <v>93</v>
      </c>
      <c r="F33" t="s">
        <v>88</v>
      </c>
      <c r="G33" t="s">
        <v>89</v>
      </c>
      <c r="H33" t="s">
        <v>213</v>
      </c>
      <c r="I33" t="s">
        <v>501</v>
      </c>
      <c r="J33" t="s">
        <v>91</v>
      </c>
      <c r="K33" t="s">
        <v>94</v>
      </c>
      <c r="L33" t="s">
        <v>546</v>
      </c>
      <c r="M33" t="s">
        <v>92</v>
      </c>
      <c r="N33" t="s">
        <v>99</v>
      </c>
      <c r="O33" t="s">
        <v>97</v>
      </c>
      <c r="P33" t="s">
        <v>96</v>
      </c>
      <c r="Q33" t="s">
        <v>218</v>
      </c>
      <c r="R33" t="s">
        <v>98</v>
      </c>
    </row>
    <row r="34" spans="2:18">
      <c r="B34" s="18" t="s">
        <v>557</v>
      </c>
    </row>
    <row r="35" spans="2:18">
      <c r="B35" s="193" t="s">
        <v>558</v>
      </c>
    </row>
    <row r="36" spans="2:18">
      <c r="B36" s="193" t="s">
        <v>559</v>
      </c>
      <c r="C36" s="66"/>
      <c r="D36" s="66"/>
      <c r="E36" s="66"/>
      <c r="F36" s="66"/>
      <c r="G36" s="66"/>
      <c r="H36" s="66"/>
      <c r="I36" s="66"/>
      <c r="J36" s="66"/>
      <c r="K36" s="66"/>
      <c r="L36" s="66"/>
      <c r="M36" s="66"/>
      <c r="N36" s="66"/>
      <c r="O36" s="66"/>
      <c r="P36" s="66"/>
      <c r="Q36" s="66"/>
      <c r="R36" s="66"/>
    </row>
    <row r="37" spans="2:18">
      <c r="B37" s="193" t="s">
        <v>560</v>
      </c>
      <c r="C37" s="66"/>
      <c r="D37" s="66"/>
      <c r="E37" s="66"/>
      <c r="F37" s="66"/>
      <c r="G37" s="66"/>
      <c r="H37" s="66"/>
      <c r="I37" s="66"/>
      <c r="J37" s="66"/>
      <c r="K37" s="66"/>
      <c r="L37" s="66"/>
      <c r="M37" s="66"/>
      <c r="N37" s="66"/>
      <c r="O37" s="66"/>
      <c r="P37" s="66"/>
      <c r="Q37" s="66"/>
      <c r="R37" s="66"/>
    </row>
    <row r="38" spans="2:18">
      <c r="B38" s="193" t="s">
        <v>564</v>
      </c>
      <c r="C38" s="66">
        <f>SUM(C3:C6)</f>
        <v>1</v>
      </c>
      <c r="D38" s="66">
        <f t="shared" ref="D38:R38" si="1">SUM(D3:D6)</f>
        <v>1</v>
      </c>
      <c r="E38" s="66">
        <f t="shared" si="1"/>
        <v>1</v>
      </c>
      <c r="F38" s="66">
        <f>SUM(F3:F6)</f>
        <v>1</v>
      </c>
      <c r="G38" s="66">
        <f t="shared" si="1"/>
        <v>1</v>
      </c>
      <c r="H38" s="66">
        <f t="shared" si="1"/>
        <v>1</v>
      </c>
      <c r="I38" s="66">
        <f t="shared" si="1"/>
        <v>1</v>
      </c>
      <c r="J38" s="66">
        <f t="shared" si="1"/>
        <v>1</v>
      </c>
      <c r="K38" s="66">
        <f t="shared" si="1"/>
        <v>1</v>
      </c>
      <c r="L38" s="66">
        <f t="shared" si="1"/>
        <v>1</v>
      </c>
      <c r="M38" s="66">
        <f t="shared" si="1"/>
        <v>1</v>
      </c>
      <c r="N38" s="66">
        <f t="shared" si="1"/>
        <v>1</v>
      </c>
      <c r="O38" s="66">
        <f t="shared" si="1"/>
        <v>1</v>
      </c>
      <c r="P38" s="66">
        <f t="shared" si="1"/>
        <v>1</v>
      </c>
      <c r="Q38" s="66">
        <f t="shared" si="1"/>
        <v>1</v>
      </c>
      <c r="R38" s="66">
        <f t="shared" si="1"/>
        <v>1</v>
      </c>
    </row>
    <row r="39" spans="2:18">
      <c r="B39" s="194" t="s">
        <v>561</v>
      </c>
      <c r="C39" s="66"/>
      <c r="D39" s="66"/>
      <c r="E39" s="66"/>
      <c r="F39" s="66"/>
      <c r="G39" s="66"/>
      <c r="H39" s="66"/>
      <c r="I39" s="66"/>
      <c r="J39" s="66"/>
      <c r="K39" s="66"/>
      <c r="L39" s="66"/>
      <c r="M39" s="66"/>
      <c r="N39" s="66"/>
      <c r="O39" s="66"/>
      <c r="P39" s="66"/>
      <c r="Q39" s="66"/>
      <c r="R39" s="66"/>
    </row>
    <row r="40" spans="2:18">
      <c r="B40" s="194" t="s">
        <v>562</v>
      </c>
      <c r="C40" s="66"/>
      <c r="D40" s="66"/>
      <c r="E40" s="66"/>
      <c r="F40" s="66"/>
      <c r="G40" s="66"/>
      <c r="H40" s="66"/>
      <c r="I40" s="66"/>
      <c r="J40" s="66"/>
      <c r="K40" s="66"/>
      <c r="L40" s="66"/>
      <c r="M40" s="66"/>
      <c r="N40" s="66"/>
      <c r="O40" s="66"/>
      <c r="P40" s="66"/>
      <c r="Q40" s="66"/>
      <c r="R40" s="66"/>
    </row>
    <row r="41" spans="2:18">
      <c r="B41" s="194" t="s">
        <v>563</v>
      </c>
      <c r="C41" s="66">
        <f>SUM(C7:C9)</f>
        <v>1</v>
      </c>
      <c r="D41" s="66">
        <f t="shared" ref="D41:R41" si="2">SUM(D7:D9)</f>
        <v>1</v>
      </c>
      <c r="E41" s="66">
        <f t="shared" si="2"/>
        <v>1</v>
      </c>
      <c r="F41" s="66">
        <f t="shared" si="2"/>
        <v>1</v>
      </c>
      <c r="G41" s="66">
        <f t="shared" si="2"/>
        <v>1</v>
      </c>
      <c r="H41" s="66">
        <f t="shared" si="2"/>
        <v>1</v>
      </c>
      <c r="I41" s="66">
        <f t="shared" si="2"/>
        <v>1</v>
      </c>
      <c r="J41" s="66">
        <f t="shared" si="2"/>
        <v>1</v>
      </c>
      <c r="K41" s="66">
        <f t="shared" si="2"/>
        <v>1</v>
      </c>
      <c r="L41" s="66">
        <f t="shared" si="2"/>
        <v>1</v>
      </c>
      <c r="M41" s="66">
        <f t="shared" si="2"/>
        <v>1</v>
      </c>
      <c r="N41" s="66">
        <f t="shared" si="2"/>
        <v>1</v>
      </c>
      <c r="O41" s="66">
        <f t="shared" si="2"/>
        <v>1</v>
      </c>
      <c r="P41" s="66">
        <f t="shared" si="2"/>
        <v>1</v>
      </c>
      <c r="Q41" s="66">
        <f t="shared" si="2"/>
        <v>1</v>
      </c>
      <c r="R41" s="66">
        <f t="shared" si="2"/>
        <v>1</v>
      </c>
    </row>
    <row r="42" spans="2:18">
      <c r="B42" s="27" t="s">
        <v>496</v>
      </c>
      <c r="C42" s="66"/>
      <c r="D42" s="66"/>
      <c r="E42" s="66"/>
      <c r="F42" s="66"/>
      <c r="G42" s="66"/>
      <c r="H42" s="66"/>
      <c r="I42" s="66"/>
      <c r="J42" s="66"/>
      <c r="K42" s="66"/>
      <c r="L42" s="66"/>
      <c r="M42" s="66"/>
      <c r="N42" s="66"/>
      <c r="O42" s="66"/>
      <c r="P42" s="66"/>
      <c r="Q42" s="66"/>
      <c r="R42" s="66"/>
    </row>
    <row r="43" spans="2:18">
      <c r="B43" s="27" t="s">
        <v>497</v>
      </c>
      <c r="C43" s="66">
        <f>SUM(C10:C11)</f>
        <v>1</v>
      </c>
      <c r="D43" s="66">
        <f t="shared" ref="D43:R43" si="3">SUM(D10:D11)</f>
        <v>1</v>
      </c>
      <c r="E43" s="66">
        <f t="shared" si="3"/>
        <v>1</v>
      </c>
      <c r="F43" s="66">
        <f t="shared" si="3"/>
        <v>1</v>
      </c>
      <c r="G43" s="66">
        <f t="shared" si="3"/>
        <v>1</v>
      </c>
      <c r="H43" s="66">
        <f t="shared" si="3"/>
        <v>1</v>
      </c>
      <c r="I43" s="66">
        <f t="shared" si="3"/>
        <v>1</v>
      </c>
      <c r="J43" s="66">
        <f t="shared" si="3"/>
        <v>1</v>
      </c>
      <c r="K43" s="66">
        <f t="shared" si="3"/>
        <v>1</v>
      </c>
      <c r="L43" s="66">
        <f t="shared" si="3"/>
        <v>1</v>
      </c>
      <c r="M43" s="66">
        <f t="shared" si="3"/>
        <v>1</v>
      </c>
      <c r="N43" s="66">
        <f t="shared" si="3"/>
        <v>1</v>
      </c>
      <c r="O43" s="66">
        <f t="shared" si="3"/>
        <v>1</v>
      </c>
      <c r="P43" s="66">
        <f t="shared" si="3"/>
        <v>1</v>
      </c>
      <c r="Q43" s="66">
        <f t="shared" si="3"/>
        <v>1</v>
      </c>
      <c r="R43" s="66">
        <f t="shared" si="3"/>
        <v>1</v>
      </c>
    </row>
    <row r="44" spans="2:18">
      <c r="B44" s="195" t="s">
        <v>553</v>
      </c>
      <c r="C44" s="66"/>
      <c r="D44" s="66"/>
      <c r="E44" s="66"/>
      <c r="F44" s="66"/>
      <c r="G44" s="66"/>
      <c r="H44" s="66"/>
      <c r="I44" s="66"/>
      <c r="J44" s="66"/>
      <c r="K44" s="66"/>
      <c r="L44" s="66"/>
      <c r="M44" s="66"/>
      <c r="N44" s="66"/>
      <c r="O44" s="66"/>
      <c r="P44" s="66"/>
      <c r="Q44" s="66"/>
      <c r="R44" s="66"/>
    </row>
    <row r="45" spans="2:18">
      <c r="B45" s="195" t="s">
        <v>508</v>
      </c>
      <c r="C45" s="66"/>
      <c r="D45" s="66"/>
      <c r="E45" s="66"/>
      <c r="F45" s="66"/>
      <c r="G45" s="66"/>
      <c r="H45" s="66"/>
      <c r="I45" s="66"/>
      <c r="J45" s="66"/>
      <c r="K45" s="66"/>
      <c r="L45" s="66"/>
      <c r="M45" s="66"/>
      <c r="N45" s="66"/>
      <c r="O45" s="66"/>
      <c r="P45" s="66"/>
      <c r="Q45" s="66"/>
      <c r="R45" s="66"/>
    </row>
    <row r="46" spans="2:18">
      <c r="B46" s="195" t="s">
        <v>509</v>
      </c>
      <c r="C46" s="66">
        <f>SUM(C12:C14)</f>
        <v>1</v>
      </c>
      <c r="D46" s="66">
        <f t="shared" ref="D46:P46" si="4">SUM(D12:D14)</f>
        <v>1</v>
      </c>
      <c r="E46" s="66">
        <f t="shared" si="4"/>
        <v>1</v>
      </c>
      <c r="F46" s="66">
        <f t="shared" si="4"/>
        <v>1</v>
      </c>
      <c r="G46" s="66">
        <f t="shared" si="4"/>
        <v>1</v>
      </c>
      <c r="H46" s="66">
        <f t="shared" si="4"/>
        <v>1</v>
      </c>
      <c r="I46" s="66">
        <f t="shared" si="4"/>
        <v>1</v>
      </c>
      <c r="J46" s="66">
        <f t="shared" si="4"/>
        <v>1</v>
      </c>
      <c r="K46" s="66">
        <f t="shared" si="4"/>
        <v>1</v>
      </c>
      <c r="L46" s="66">
        <f t="shared" si="4"/>
        <v>1</v>
      </c>
      <c r="M46" s="66">
        <f t="shared" si="4"/>
        <v>1</v>
      </c>
      <c r="N46" s="66">
        <f t="shared" si="4"/>
        <v>1</v>
      </c>
      <c r="O46" s="66">
        <f t="shared" si="4"/>
        <v>1</v>
      </c>
      <c r="P46" s="66">
        <f t="shared" si="4"/>
        <v>0.99999999999999989</v>
      </c>
      <c r="Q46" s="66">
        <f>SUM(Q12:Q14)</f>
        <v>1</v>
      </c>
      <c r="R46" s="66">
        <f>SUM(R12:R14)</f>
        <v>1</v>
      </c>
    </row>
    <row r="47" spans="2:18">
      <c r="B47" s="196" t="s">
        <v>514</v>
      </c>
      <c r="C47" s="66"/>
      <c r="D47" s="66"/>
      <c r="E47" s="66"/>
      <c r="F47" s="66"/>
      <c r="G47" s="66"/>
      <c r="H47" s="66"/>
      <c r="I47" s="66"/>
      <c r="J47" s="66"/>
      <c r="K47" s="66"/>
      <c r="L47" s="66"/>
      <c r="M47" s="66"/>
      <c r="N47" s="66"/>
      <c r="O47" s="66"/>
      <c r="P47" s="66"/>
      <c r="Q47" s="66"/>
      <c r="R47" s="66"/>
    </row>
    <row r="48" spans="2:18">
      <c r="B48" s="196" t="s">
        <v>515</v>
      </c>
      <c r="C48" s="66"/>
      <c r="D48" s="66"/>
      <c r="E48" s="66"/>
      <c r="F48" s="66"/>
      <c r="G48" s="66"/>
      <c r="H48" s="66"/>
      <c r="I48" s="66"/>
      <c r="J48" s="66"/>
      <c r="K48" s="66"/>
      <c r="L48" s="66"/>
      <c r="M48" s="66"/>
      <c r="N48" s="66"/>
      <c r="O48" s="66"/>
      <c r="P48" s="66"/>
      <c r="Q48" s="66"/>
      <c r="R48" s="66"/>
    </row>
    <row r="49" spans="2:19">
      <c r="B49" s="196" t="s">
        <v>516</v>
      </c>
      <c r="C49" s="66">
        <f>SUM(C15:C17)</f>
        <v>1</v>
      </c>
      <c r="D49" s="66">
        <f t="shared" ref="D49:R49" si="5">SUM(D15:D17)</f>
        <v>1</v>
      </c>
      <c r="E49" s="66">
        <f t="shared" si="5"/>
        <v>1</v>
      </c>
      <c r="F49" s="66">
        <f t="shared" si="5"/>
        <v>1</v>
      </c>
      <c r="G49" s="66">
        <f t="shared" si="5"/>
        <v>0.99999999999999989</v>
      </c>
      <c r="H49" s="66">
        <f>SUM(H15:H17)</f>
        <v>1</v>
      </c>
      <c r="I49" s="66">
        <f t="shared" si="5"/>
        <v>1</v>
      </c>
      <c r="J49" s="66">
        <f t="shared" si="5"/>
        <v>1</v>
      </c>
      <c r="K49" s="66">
        <f t="shared" si="5"/>
        <v>1</v>
      </c>
      <c r="L49" s="66">
        <f t="shared" si="5"/>
        <v>1</v>
      </c>
      <c r="M49" s="66">
        <f t="shared" si="5"/>
        <v>1</v>
      </c>
      <c r="N49" s="66">
        <f t="shared" si="5"/>
        <v>1</v>
      </c>
      <c r="O49" s="66">
        <f t="shared" si="5"/>
        <v>1</v>
      </c>
      <c r="P49" s="66">
        <f t="shared" si="5"/>
        <v>1</v>
      </c>
      <c r="Q49" s="66">
        <f t="shared" si="5"/>
        <v>1</v>
      </c>
      <c r="R49" s="66">
        <f t="shared" si="5"/>
        <v>1</v>
      </c>
    </row>
    <row r="50" spans="2:19">
      <c r="B50" s="31" t="s">
        <v>522</v>
      </c>
      <c r="C50" s="66"/>
      <c r="D50" s="66"/>
      <c r="E50" s="66"/>
      <c r="F50" s="66"/>
      <c r="G50" s="66"/>
      <c r="H50" s="66"/>
      <c r="I50" s="66"/>
      <c r="J50" s="66"/>
      <c r="K50" s="66"/>
      <c r="L50" s="66"/>
      <c r="M50" s="66"/>
      <c r="N50" s="66"/>
      <c r="O50" s="66"/>
      <c r="P50" s="66"/>
      <c r="Q50" s="66"/>
      <c r="R50" s="66"/>
    </row>
    <row r="51" spans="2:19">
      <c r="B51" s="31" t="s">
        <v>523</v>
      </c>
      <c r="C51" s="66"/>
      <c r="D51" s="66"/>
      <c r="E51" s="66"/>
      <c r="F51" s="66"/>
      <c r="G51" s="66"/>
      <c r="H51" s="66"/>
      <c r="I51" s="66"/>
      <c r="J51" s="66"/>
      <c r="K51" s="66"/>
      <c r="L51" s="66"/>
      <c r="M51" s="66"/>
      <c r="N51" s="66"/>
      <c r="O51" s="66"/>
      <c r="P51" s="66"/>
      <c r="Q51" s="66"/>
      <c r="R51" s="66"/>
    </row>
    <row r="52" spans="2:19">
      <c r="B52" s="31" t="s">
        <v>524</v>
      </c>
      <c r="C52" s="66"/>
      <c r="D52" s="66"/>
      <c r="E52" s="66"/>
      <c r="F52" s="66"/>
      <c r="G52" s="66"/>
      <c r="H52" s="66"/>
      <c r="I52" s="66"/>
      <c r="J52" s="66"/>
      <c r="K52" s="66"/>
      <c r="L52" s="66"/>
      <c r="M52" s="66"/>
      <c r="N52" s="66"/>
      <c r="O52" s="66"/>
      <c r="P52" s="66"/>
      <c r="Q52" s="66"/>
      <c r="R52" s="66"/>
    </row>
    <row r="53" spans="2:19">
      <c r="B53" s="31" t="s">
        <v>131</v>
      </c>
      <c r="C53" s="66"/>
      <c r="D53" s="66"/>
      <c r="E53" s="66"/>
      <c r="F53" s="66"/>
      <c r="G53" s="66"/>
      <c r="H53" s="66"/>
      <c r="I53" s="66"/>
      <c r="J53" s="66"/>
      <c r="K53" s="66"/>
      <c r="L53" s="66"/>
      <c r="M53" s="66"/>
      <c r="N53" s="66"/>
      <c r="O53" s="66"/>
      <c r="P53" s="66"/>
      <c r="Q53" s="66"/>
      <c r="R53" s="66"/>
    </row>
    <row r="54" spans="2:19">
      <c r="B54" s="31" t="s">
        <v>526</v>
      </c>
      <c r="C54" s="66">
        <f>SUM(C18:C22)</f>
        <v>1</v>
      </c>
      <c r="D54" s="66">
        <f t="shared" ref="D54:R54" si="6">SUM(D18:D22)</f>
        <v>1</v>
      </c>
      <c r="E54" s="66">
        <f t="shared" si="6"/>
        <v>1</v>
      </c>
      <c r="F54" s="66">
        <f t="shared" si="6"/>
        <v>0.99999999999999989</v>
      </c>
      <c r="G54" s="66">
        <f t="shared" si="6"/>
        <v>1</v>
      </c>
      <c r="H54" s="66">
        <f t="shared" si="6"/>
        <v>1</v>
      </c>
      <c r="I54" s="66">
        <f t="shared" si="6"/>
        <v>0.99999999999999989</v>
      </c>
      <c r="J54" s="66">
        <f t="shared" si="6"/>
        <v>0.99999999999999989</v>
      </c>
      <c r="K54" s="66">
        <f t="shared" si="6"/>
        <v>1</v>
      </c>
      <c r="L54" s="66">
        <f t="shared" si="6"/>
        <v>1</v>
      </c>
      <c r="M54" s="66">
        <f t="shared" si="6"/>
        <v>1</v>
      </c>
      <c r="N54" s="66">
        <f t="shared" si="6"/>
        <v>1</v>
      </c>
      <c r="O54" s="66">
        <f t="shared" si="6"/>
        <v>1</v>
      </c>
      <c r="P54" s="66">
        <f t="shared" si="6"/>
        <v>1</v>
      </c>
      <c r="Q54" s="66">
        <f t="shared" si="6"/>
        <v>1</v>
      </c>
      <c r="R54" s="66">
        <f t="shared" si="6"/>
        <v>1</v>
      </c>
      <c r="S54" s="23"/>
    </row>
    <row r="55" spans="2:19">
      <c r="B55" s="197" t="s">
        <v>530</v>
      </c>
      <c r="C55" s="66"/>
      <c r="D55" s="66"/>
      <c r="E55" s="66"/>
      <c r="F55" s="66"/>
      <c r="G55" s="66"/>
      <c r="H55" s="66"/>
      <c r="I55" s="66"/>
      <c r="J55" s="66"/>
      <c r="K55" s="66"/>
      <c r="L55" s="66"/>
      <c r="M55" s="66"/>
      <c r="N55" s="66"/>
      <c r="O55" s="66"/>
      <c r="P55" s="66"/>
      <c r="Q55" s="66"/>
      <c r="R55" s="66"/>
    </row>
    <row r="56" spans="2:19">
      <c r="B56" s="197" t="s">
        <v>531</v>
      </c>
      <c r="C56" s="66"/>
      <c r="D56" s="66"/>
      <c r="E56" s="66"/>
      <c r="F56" s="66"/>
      <c r="G56" s="66"/>
      <c r="H56" s="66"/>
      <c r="I56" s="66"/>
      <c r="J56" s="66"/>
      <c r="K56" s="66"/>
      <c r="L56" s="66"/>
      <c r="M56" s="66"/>
      <c r="N56" s="66"/>
      <c r="O56" s="66"/>
      <c r="P56" s="66"/>
      <c r="Q56" s="66"/>
      <c r="R56" s="66"/>
    </row>
    <row r="57" spans="2:19">
      <c r="B57" s="197" t="s">
        <v>532</v>
      </c>
      <c r="C57" s="66">
        <f>SUM(C23:C25)</f>
        <v>1</v>
      </c>
      <c r="D57" s="66">
        <f t="shared" ref="D57:R57" si="7">SUM(D23:D25)</f>
        <v>1</v>
      </c>
      <c r="E57" s="66">
        <f t="shared" si="7"/>
        <v>1</v>
      </c>
      <c r="F57" s="66">
        <f t="shared" si="7"/>
        <v>1</v>
      </c>
      <c r="G57" s="66">
        <f t="shared" si="7"/>
        <v>1</v>
      </c>
      <c r="H57" s="66">
        <f t="shared" si="7"/>
        <v>1</v>
      </c>
      <c r="I57" s="66">
        <f t="shared" si="7"/>
        <v>1</v>
      </c>
      <c r="J57" s="66">
        <f t="shared" si="7"/>
        <v>1</v>
      </c>
      <c r="K57" s="66">
        <f t="shared" si="7"/>
        <v>1</v>
      </c>
      <c r="L57" s="66">
        <f t="shared" si="7"/>
        <v>1</v>
      </c>
      <c r="M57" s="66">
        <f t="shared" si="7"/>
        <v>1</v>
      </c>
      <c r="N57" s="66">
        <f t="shared" si="7"/>
        <v>1</v>
      </c>
      <c r="O57" s="66">
        <f t="shared" si="7"/>
        <v>1</v>
      </c>
      <c r="P57" s="66">
        <f t="shared" si="7"/>
        <v>1</v>
      </c>
      <c r="Q57" s="66">
        <f t="shared" si="7"/>
        <v>1</v>
      </c>
      <c r="R57" s="66">
        <f t="shared" si="7"/>
        <v>1</v>
      </c>
    </row>
    <row r="58" spans="2:19">
      <c r="B58" s="30" t="s">
        <v>537</v>
      </c>
      <c r="C58" s="66"/>
      <c r="D58" s="66"/>
      <c r="E58" s="66"/>
      <c r="F58" s="66"/>
      <c r="G58" s="66"/>
      <c r="H58" s="66"/>
      <c r="I58" s="66"/>
      <c r="J58" s="66"/>
      <c r="K58" s="66"/>
      <c r="L58" s="66"/>
      <c r="M58" s="66"/>
      <c r="N58" s="66"/>
      <c r="O58" s="66"/>
      <c r="P58" s="66"/>
      <c r="Q58" s="66"/>
      <c r="R58" s="66"/>
    </row>
    <row r="59" spans="2:19">
      <c r="B59" s="30" t="s">
        <v>538</v>
      </c>
      <c r="C59" s="66"/>
      <c r="D59" s="66"/>
      <c r="E59" s="66"/>
      <c r="F59" s="66"/>
      <c r="G59" s="66"/>
      <c r="H59" s="66"/>
      <c r="I59" s="66"/>
      <c r="J59" s="66"/>
      <c r="K59" s="66"/>
      <c r="L59" s="66"/>
      <c r="M59" s="66"/>
      <c r="N59" s="66"/>
      <c r="O59" s="66"/>
      <c r="P59" s="66"/>
      <c r="Q59" s="66"/>
      <c r="R59" s="66"/>
    </row>
    <row r="60" spans="2:19">
      <c r="B60" s="30" t="s">
        <v>539</v>
      </c>
      <c r="C60" s="66">
        <f>SUM(C26:C28)</f>
        <v>1</v>
      </c>
      <c r="D60" s="66">
        <f t="shared" ref="D60:R60" si="8">SUM(D26:D28)</f>
        <v>1</v>
      </c>
      <c r="E60" s="66">
        <f t="shared" si="8"/>
        <v>1</v>
      </c>
      <c r="F60" s="66">
        <f t="shared" si="8"/>
        <v>1</v>
      </c>
      <c r="G60" s="66">
        <f t="shared" si="8"/>
        <v>1</v>
      </c>
      <c r="H60" s="66">
        <f t="shared" si="8"/>
        <v>1</v>
      </c>
      <c r="I60" s="66">
        <f t="shared" si="8"/>
        <v>1</v>
      </c>
      <c r="J60" s="66">
        <f t="shared" si="8"/>
        <v>1</v>
      </c>
      <c r="K60" s="66">
        <f t="shared" si="8"/>
        <v>1</v>
      </c>
      <c r="L60" s="66">
        <f t="shared" si="8"/>
        <v>1</v>
      </c>
      <c r="M60" s="66">
        <f>SUM(M26:M28)</f>
        <v>1</v>
      </c>
      <c r="N60" s="66">
        <f t="shared" si="8"/>
        <v>1</v>
      </c>
      <c r="O60" s="66">
        <f t="shared" si="8"/>
        <v>1</v>
      </c>
      <c r="P60" s="66">
        <f t="shared" si="8"/>
        <v>1</v>
      </c>
      <c r="Q60" s="66">
        <f t="shared" si="8"/>
        <v>1</v>
      </c>
      <c r="R60" s="66">
        <f t="shared" si="8"/>
        <v>1</v>
      </c>
    </row>
    <row r="61" spans="2:19">
      <c r="B61" s="200" t="s">
        <v>503</v>
      </c>
      <c r="C61" s="66"/>
      <c r="D61" s="66"/>
      <c r="E61" s="66"/>
      <c r="F61" s="66"/>
      <c r="G61" s="66"/>
      <c r="H61" s="66"/>
      <c r="I61" s="66"/>
      <c r="J61" s="66"/>
      <c r="K61" s="66"/>
      <c r="L61" s="66"/>
      <c r="M61" s="66"/>
      <c r="N61" s="66"/>
      <c r="O61" s="66"/>
      <c r="P61" s="66"/>
      <c r="Q61" s="66"/>
      <c r="R61" s="66"/>
    </row>
    <row r="62" spans="2:19">
      <c r="B62" s="200" t="s">
        <v>504</v>
      </c>
      <c r="C62" s="66"/>
      <c r="D62" s="66"/>
      <c r="E62" s="66"/>
      <c r="F62" s="66"/>
      <c r="G62" s="66"/>
      <c r="H62" s="66"/>
      <c r="I62" s="66"/>
      <c r="J62" s="66"/>
      <c r="K62" s="66"/>
      <c r="L62" s="66"/>
      <c r="M62" s="66"/>
      <c r="N62" s="66"/>
      <c r="O62" s="66"/>
      <c r="P62" s="66"/>
      <c r="Q62" s="66"/>
      <c r="R62" s="66"/>
    </row>
    <row r="63" spans="2:19">
      <c r="B63" s="200" t="s">
        <v>554</v>
      </c>
      <c r="C63" s="66">
        <f>SUM(C29:C31)</f>
        <v>1</v>
      </c>
      <c r="D63" s="66">
        <f t="shared" ref="D63:R63" si="9">SUM(D29:D31)</f>
        <v>1</v>
      </c>
      <c r="E63" s="66">
        <f t="shared" si="9"/>
        <v>1</v>
      </c>
      <c r="F63" s="66">
        <f t="shared" si="9"/>
        <v>1</v>
      </c>
      <c r="G63" s="66">
        <f t="shared" si="9"/>
        <v>1</v>
      </c>
      <c r="H63" s="66">
        <f t="shared" si="9"/>
        <v>1</v>
      </c>
      <c r="I63" s="66">
        <f t="shared" si="9"/>
        <v>1</v>
      </c>
      <c r="J63" s="66">
        <f t="shared" si="9"/>
        <v>1</v>
      </c>
      <c r="K63" s="66">
        <f t="shared" si="9"/>
        <v>1</v>
      </c>
      <c r="L63" s="66">
        <f t="shared" si="9"/>
        <v>1</v>
      </c>
      <c r="M63" s="66">
        <f t="shared" si="9"/>
        <v>1</v>
      </c>
      <c r="N63" s="66">
        <f t="shared" si="9"/>
        <v>1</v>
      </c>
      <c r="O63" s="66">
        <f t="shared" si="9"/>
        <v>1</v>
      </c>
      <c r="P63" s="66">
        <f t="shared" si="9"/>
        <v>1</v>
      </c>
      <c r="Q63" s="66">
        <f t="shared" si="9"/>
        <v>1</v>
      </c>
      <c r="R63" s="66">
        <f t="shared" si="9"/>
        <v>1</v>
      </c>
    </row>
    <row r="67" spans="1:18" hidden="1">
      <c r="A67" s="11" t="s">
        <v>747</v>
      </c>
      <c r="B67" s="11" t="s">
        <v>750</v>
      </c>
      <c r="C67" t="s">
        <v>90</v>
      </c>
      <c r="D67" t="s">
        <v>86</v>
      </c>
      <c r="E67" t="s">
        <v>93</v>
      </c>
      <c r="F67" t="s">
        <v>88</v>
      </c>
      <c r="G67" t="s">
        <v>89</v>
      </c>
      <c r="H67" t="s">
        <v>213</v>
      </c>
      <c r="I67" t="s">
        <v>501</v>
      </c>
      <c r="J67" t="s">
        <v>91</v>
      </c>
      <c r="K67" t="s">
        <v>94</v>
      </c>
      <c r="L67" t="s">
        <v>546</v>
      </c>
      <c r="M67" t="s">
        <v>92</v>
      </c>
      <c r="N67" t="s">
        <v>99</v>
      </c>
      <c r="O67" t="s">
        <v>97</v>
      </c>
      <c r="P67" t="s">
        <v>96</v>
      </c>
      <c r="Q67" t="s">
        <v>218</v>
      </c>
      <c r="R67" t="s">
        <v>98</v>
      </c>
    </row>
    <row r="68" spans="1:18" hidden="1">
      <c r="B68" s="18" t="s">
        <v>557</v>
      </c>
      <c r="C68" s="18">
        <v>1</v>
      </c>
      <c r="D68" s="18">
        <v>1</v>
      </c>
      <c r="E68" s="18">
        <v>1</v>
      </c>
      <c r="F68" s="18">
        <v>1</v>
      </c>
      <c r="G68" s="18">
        <v>1</v>
      </c>
      <c r="H68" s="18">
        <v>1</v>
      </c>
      <c r="I68" s="18">
        <v>1</v>
      </c>
      <c r="J68" s="18">
        <v>1</v>
      </c>
      <c r="K68" s="18">
        <v>1</v>
      </c>
      <c r="L68" s="18">
        <v>1</v>
      </c>
      <c r="M68" s="18">
        <v>1</v>
      </c>
      <c r="N68" s="18">
        <v>1</v>
      </c>
      <c r="O68" s="18">
        <v>1</v>
      </c>
      <c r="P68" s="18">
        <v>1</v>
      </c>
      <c r="Q68" s="18">
        <v>1</v>
      </c>
      <c r="R68" s="18">
        <v>1</v>
      </c>
    </row>
    <row r="69" spans="1:18" hidden="1">
      <c r="A69" s="547" t="s">
        <v>674</v>
      </c>
      <c r="B69" s="193" t="s">
        <v>558</v>
      </c>
      <c r="C69" s="193">
        <v>1</v>
      </c>
      <c r="D69" s="193">
        <v>1</v>
      </c>
      <c r="E69" s="193">
        <v>1</v>
      </c>
      <c r="F69" s="193">
        <v>0</v>
      </c>
      <c r="G69" s="193">
        <v>1</v>
      </c>
      <c r="H69" s="193">
        <v>1</v>
      </c>
      <c r="I69" s="193">
        <v>1</v>
      </c>
      <c r="J69" s="193">
        <v>1</v>
      </c>
      <c r="K69" s="193">
        <v>1</v>
      </c>
      <c r="L69" s="193">
        <v>1</v>
      </c>
      <c r="M69" s="193">
        <v>1</v>
      </c>
      <c r="N69" s="193">
        <v>1</v>
      </c>
      <c r="O69" s="193">
        <v>1</v>
      </c>
      <c r="P69" s="193">
        <v>1</v>
      </c>
      <c r="Q69" s="193">
        <v>1</v>
      </c>
      <c r="R69" s="193">
        <v>1</v>
      </c>
    </row>
    <row r="70" spans="1:18" hidden="1">
      <c r="A70" s="547"/>
      <c r="B70" s="193" t="s">
        <v>559</v>
      </c>
      <c r="C70" s="193">
        <v>0</v>
      </c>
      <c r="D70" s="193">
        <v>0</v>
      </c>
      <c r="E70" s="193">
        <v>0</v>
      </c>
      <c r="F70" s="193">
        <v>0.5</v>
      </c>
      <c r="G70" s="193">
        <v>0</v>
      </c>
      <c r="H70" s="193">
        <v>0</v>
      </c>
      <c r="I70" s="193">
        <v>0</v>
      </c>
      <c r="J70" s="193">
        <v>0</v>
      </c>
      <c r="K70" s="193">
        <v>0</v>
      </c>
      <c r="L70" s="193">
        <v>0</v>
      </c>
      <c r="M70" s="193">
        <v>0</v>
      </c>
      <c r="N70" s="193">
        <v>0</v>
      </c>
      <c r="O70" s="193">
        <v>0</v>
      </c>
      <c r="P70" s="193">
        <v>0</v>
      </c>
      <c r="Q70" s="193">
        <v>0</v>
      </c>
      <c r="R70" s="193">
        <v>0</v>
      </c>
    </row>
    <row r="71" spans="1:18" hidden="1">
      <c r="A71" s="547"/>
      <c r="B71" s="193" t="s">
        <v>560</v>
      </c>
      <c r="C71" s="193">
        <v>0</v>
      </c>
      <c r="D71" s="193">
        <v>0</v>
      </c>
      <c r="E71" s="193">
        <v>0</v>
      </c>
      <c r="F71" s="193">
        <v>0.5</v>
      </c>
      <c r="G71" s="193">
        <v>0</v>
      </c>
      <c r="H71" s="193">
        <v>0</v>
      </c>
      <c r="I71" s="193">
        <v>0</v>
      </c>
      <c r="J71" s="193">
        <v>0</v>
      </c>
      <c r="K71" s="193">
        <v>0</v>
      </c>
      <c r="L71" s="193">
        <v>0</v>
      </c>
      <c r="M71" s="193">
        <v>0</v>
      </c>
      <c r="N71" s="193">
        <v>0</v>
      </c>
      <c r="O71" s="193">
        <v>0</v>
      </c>
      <c r="P71" s="193">
        <v>0</v>
      </c>
      <c r="Q71" s="193">
        <v>0</v>
      </c>
      <c r="R71" s="193">
        <v>0</v>
      </c>
    </row>
    <row r="72" spans="1:18" hidden="1">
      <c r="A72" s="547"/>
      <c r="B72" s="193" t="s">
        <v>564</v>
      </c>
      <c r="C72" s="193"/>
      <c r="D72" s="193"/>
      <c r="E72" s="193"/>
      <c r="F72" s="193"/>
      <c r="G72" s="193"/>
      <c r="H72" s="193"/>
      <c r="I72" s="193"/>
      <c r="J72" s="193"/>
      <c r="K72" s="193"/>
      <c r="L72" s="193"/>
      <c r="M72" s="193"/>
      <c r="N72" s="193"/>
      <c r="O72" s="193"/>
      <c r="P72" s="193"/>
      <c r="Q72" s="193"/>
      <c r="R72" s="193"/>
    </row>
    <row r="73" spans="1:18" hidden="1">
      <c r="A73" s="547" t="s">
        <v>673</v>
      </c>
      <c r="B73" s="194" t="s">
        <v>561</v>
      </c>
      <c r="C73" s="194">
        <v>0.01</v>
      </c>
      <c r="D73" s="194">
        <v>0.01</v>
      </c>
      <c r="E73" s="194">
        <v>0.01</v>
      </c>
      <c r="F73" s="194">
        <v>0.01</v>
      </c>
      <c r="G73" s="194">
        <v>0.01</v>
      </c>
      <c r="H73" s="194">
        <v>0.01</v>
      </c>
      <c r="I73" s="194">
        <v>0.01</v>
      </c>
      <c r="J73" s="194">
        <v>0.01</v>
      </c>
      <c r="K73" s="194">
        <v>0.01</v>
      </c>
      <c r="L73" s="194">
        <v>0.01</v>
      </c>
      <c r="M73" s="194">
        <v>0.01</v>
      </c>
      <c r="N73" s="194">
        <v>0.01</v>
      </c>
      <c r="O73" s="194">
        <v>0.01</v>
      </c>
      <c r="P73" s="194">
        <v>0.01</v>
      </c>
      <c r="Q73" s="194">
        <v>0.01</v>
      </c>
      <c r="R73" s="194">
        <v>0.01</v>
      </c>
    </row>
    <row r="74" spans="1:18" hidden="1">
      <c r="A74" s="547"/>
      <c r="B74" s="194" t="s">
        <v>562</v>
      </c>
      <c r="C74" s="194">
        <v>0.9</v>
      </c>
      <c r="D74" s="194">
        <v>0.9</v>
      </c>
      <c r="E74" s="194">
        <v>0.9</v>
      </c>
      <c r="F74" s="194">
        <v>0.9</v>
      </c>
      <c r="G74" s="194">
        <v>0.9</v>
      </c>
      <c r="H74" s="194">
        <v>0.9</v>
      </c>
      <c r="I74" s="194">
        <v>0.9</v>
      </c>
      <c r="J74" s="194">
        <v>0.9</v>
      </c>
      <c r="K74" s="194">
        <v>0.9</v>
      </c>
      <c r="L74" s="194">
        <v>0.9</v>
      </c>
      <c r="M74" s="194">
        <v>0.9</v>
      </c>
      <c r="N74" s="194">
        <v>0.9</v>
      </c>
      <c r="O74" s="194">
        <v>0.9</v>
      </c>
      <c r="P74" s="194">
        <v>0.9</v>
      </c>
      <c r="Q74" s="194">
        <v>0.9</v>
      </c>
      <c r="R74" s="194">
        <v>0.9</v>
      </c>
    </row>
    <row r="75" spans="1:18" hidden="1">
      <c r="A75" s="547"/>
      <c r="B75" s="194" t="s">
        <v>563</v>
      </c>
      <c r="C75" s="194">
        <v>0.09</v>
      </c>
      <c r="D75" s="194">
        <v>0.09</v>
      </c>
      <c r="E75" s="194">
        <v>0.09</v>
      </c>
      <c r="F75" s="194">
        <v>0.09</v>
      </c>
      <c r="G75" s="194">
        <v>0.09</v>
      </c>
      <c r="H75" s="194">
        <v>0.09</v>
      </c>
      <c r="I75" s="194">
        <v>0.09</v>
      </c>
      <c r="J75" s="194">
        <v>0.09</v>
      </c>
      <c r="K75" s="194">
        <v>0.09</v>
      </c>
      <c r="L75" s="194">
        <v>0.09</v>
      </c>
      <c r="M75" s="194">
        <v>0.09</v>
      </c>
      <c r="N75" s="194">
        <v>0.09</v>
      </c>
      <c r="O75" s="194">
        <v>0.09</v>
      </c>
      <c r="P75" s="194">
        <v>0.09</v>
      </c>
      <c r="Q75" s="194">
        <v>0.09</v>
      </c>
      <c r="R75" s="194">
        <v>0.09</v>
      </c>
    </row>
    <row r="76" spans="1:18" hidden="1">
      <c r="A76" s="548" t="s">
        <v>9</v>
      </c>
      <c r="B76" s="27" t="s">
        <v>496</v>
      </c>
      <c r="C76" s="27">
        <v>0.96747597600000002</v>
      </c>
      <c r="D76" s="27">
        <v>0.96747597600000002</v>
      </c>
      <c r="E76" s="27">
        <v>0.13126188999999999</v>
      </c>
      <c r="F76" s="27">
        <v>0.5</v>
      </c>
      <c r="G76" s="27">
        <v>0.2</v>
      </c>
      <c r="H76" s="27">
        <v>0.66780799099999999</v>
      </c>
      <c r="I76" s="27">
        <v>0.66780799099999999</v>
      </c>
      <c r="J76" s="27">
        <v>7.0945945999999996E-2</v>
      </c>
      <c r="K76" s="27">
        <v>0</v>
      </c>
      <c r="L76" s="27">
        <v>0</v>
      </c>
      <c r="M76" s="27">
        <v>0.5</v>
      </c>
      <c r="N76" s="27">
        <v>0.13126188999999999</v>
      </c>
      <c r="O76" s="27">
        <v>0.13126188999999999</v>
      </c>
      <c r="P76" s="27">
        <v>0.96747597600000002</v>
      </c>
      <c r="Q76" s="27">
        <v>0.66780799099999999</v>
      </c>
      <c r="R76" s="27">
        <v>0.66780799099999999</v>
      </c>
    </row>
    <row r="77" spans="1:18" hidden="1">
      <c r="A77" s="548"/>
      <c r="B77" s="27" t="s">
        <v>497</v>
      </c>
      <c r="C77" s="27">
        <v>3.2524023999999999E-2</v>
      </c>
      <c r="D77" s="27">
        <v>3.2524023999999999E-2</v>
      </c>
      <c r="E77" s="27">
        <v>0.86873811000000001</v>
      </c>
      <c r="F77" s="27">
        <v>0.5</v>
      </c>
      <c r="G77" s="27">
        <v>0.8</v>
      </c>
      <c r="H77" s="27">
        <v>0.33219200900000001</v>
      </c>
      <c r="I77" s="27">
        <v>0.33219200900000001</v>
      </c>
      <c r="J77" s="27">
        <v>0.92905405399999996</v>
      </c>
      <c r="K77" s="27">
        <v>1</v>
      </c>
      <c r="L77" s="27">
        <v>1</v>
      </c>
      <c r="M77" s="27">
        <v>0.5</v>
      </c>
      <c r="N77" s="27">
        <v>0.86873811000000001</v>
      </c>
      <c r="O77" s="27">
        <v>0.86873811000000001</v>
      </c>
      <c r="P77" s="27">
        <v>3.2524023999999999E-2</v>
      </c>
      <c r="Q77" s="27">
        <v>0.33219200900000001</v>
      </c>
      <c r="R77" s="27">
        <v>0.33219200900000001</v>
      </c>
    </row>
    <row r="78" spans="1:18" hidden="1">
      <c r="A78" s="547" t="s">
        <v>19</v>
      </c>
      <c r="B78" s="195" t="s">
        <v>553</v>
      </c>
      <c r="C78" s="195">
        <v>0.20006075700000001</v>
      </c>
      <c r="D78" s="195">
        <v>0.20006075700000001</v>
      </c>
      <c r="E78" s="195">
        <v>0</v>
      </c>
      <c r="F78" s="195">
        <v>6.5385741999999997E-2</v>
      </c>
      <c r="G78" s="195">
        <v>0</v>
      </c>
      <c r="H78" s="195">
        <v>1.128347E-3</v>
      </c>
      <c r="I78" s="195">
        <v>1.128347E-3</v>
      </c>
      <c r="J78" s="195">
        <v>2.0172875E-2</v>
      </c>
      <c r="K78" s="195">
        <v>0</v>
      </c>
      <c r="L78" s="195">
        <v>0</v>
      </c>
      <c r="M78" s="195">
        <v>6.5385741999999997E-2</v>
      </c>
      <c r="N78" s="195">
        <v>0</v>
      </c>
      <c r="O78" s="195">
        <v>0</v>
      </c>
      <c r="P78" s="195">
        <v>0.20006075700000001</v>
      </c>
      <c r="Q78" s="195">
        <v>1.128347E-3</v>
      </c>
      <c r="R78" s="195">
        <v>1.128347E-3</v>
      </c>
    </row>
    <row r="79" spans="1:18" hidden="1">
      <c r="A79" s="547"/>
      <c r="B79" s="195" t="s">
        <v>508</v>
      </c>
      <c r="C79" s="195">
        <v>0.78934314699999997</v>
      </c>
      <c r="D79" s="195">
        <v>0.78701915499999997</v>
      </c>
      <c r="E79" s="195">
        <v>0</v>
      </c>
      <c r="F79" s="195">
        <v>0.257369931</v>
      </c>
      <c r="G79" s="195">
        <v>0</v>
      </c>
      <c r="H79" s="195">
        <v>3.7475680000000002E-3</v>
      </c>
      <c r="I79" s="195">
        <v>3.7475680000000002E-3</v>
      </c>
      <c r="J79" s="195">
        <v>6.7000000000000004E-2</v>
      </c>
      <c r="K79" s="195">
        <v>0</v>
      </c>
      <c r="L79" s="195">
        <v>0</v>
      </c>
      <c r="M79" s="195">
        <v>0.257369931</v>
      </c>
      <c r="N79" s="195">
        <v>0</v>
      </c>
      <c r="O79" s="195">
        <v>0</v>
      </c>
      <c r="P79" s="195">
        <v>0.78701915499999997</v>
      </c>
      <c r="Q79" s="195">
        <v>3.7475680000000002E-3</v>
      </c>
      <c r="R79" s="195">
        <v>3.7475680000000002E-3</v>
      </c>
    </row>
    <row r="80" spans="1:18" hidden="1">
      <c r="A80" s="547"/>
      <c r="B80" s="195" t="s">
        <v>509</v>
      </c>
      <c r="C80" s="195">
        <v>1.0596095999999999E-2</v>
      </c>
      <c r="D80" s="195">
        <v>1.2920088E-2</v>
      </c>
      <c r="E80" s="195">
        <v>1</v>
      </c>
      <c r="F80" s="195">
        <v>0.67724432700000003</v>
      </c>
      <c r="G80" s="195">
        <v>1</v>
      </c>
      <c r="H80" s="195">
        <v>0.99512408500000005</v>
      </c>
      <c r="I80" s="195">
        <v>0.99512408500000005</v>
      </c>
      <c r="J80" s="195">
        <v>0.91282712499999996</v>
      </c>
      <c r="K80" s="195">
        <v>1</v>
      </c>
      <c r="L80" s="195">
        <v>1</v>
      </c>
      <c r="M80" s="195">
        <v>0.67724432700000003</v>
      </c>
      <c r="N80" s="195">
        <v>1</v>
      </c>
      <c r="O80" s="195">
        <v>1</v>
      </c>
      <c r="P80" s="195">
        <v>1.2920088E-2</v>
      </c>
      <c r="Q80" s="195">
        <v>0.99512408500000005</v>
      </c>
      <c r="R80" s="195">
        <v>0.99512408500000005</v>
      </c>
    </row>
    <row r="81" spans="1:18" hidden="1">
      <c r="A81" s="547" t="s">
        <v>20</v>
      </c>
      <c r="B81" s="196" t="s">
        <v>514</v>
      </c>
      <c r="C81" s="196">
        <v>0.86445375700000004</v>
      </c>
      <c r="D81" s="196">
        <v>0.86445375700000004</v>
      </c>
      <c r="E81" s="196">
        <v>0.67757695200000001</v>
      </c>
      <c r="F81" s="196">
        <v>0.28910079900000002</v>
      </c>
      <c r="G81" s="196">
        <v>0.15650586399999999</v>
      </c>
      <c r="H81" s="196">
        <v>4.1810500000000004E-3</v>
      </c>
      <c r="I81" s="196">
        <v>5.8189499999999998E-3</v>
      </c>
      <c r="J81" s="196">
        <v>0.67757695200000001</v>
      </c>
      <c r="K81" s="196">
        <v>0.22520438300000001</v>
      </c>
      <c r="L81" s="196">
        <v>0.22520438300000001</v>
      </c>
      <c r="M81" s="196">
        <v>0.28910079900000002</v>
      </c>
      <c r="N81" s="196">
        <v>0.67757695200000001</v>
      </c>
      <c r="O81" s="196">
        <v>0.67757695200000001</v>
      </c>
      <c r="P81" s="196">
        <v>0.86445375700000004</v>
      </c>
      <c r="Q81" s="196">
        <v>4.1810500000000004E-3</v>
      </c>
      <c r="R81" s="196">
        <v>4.1810500000000004E-3</v>
      </c>
    </row>
    <row r="82" spans="1:18" hidden="1">
      <c r="A82" s="547"/>
      <c r="B82" s="196" t="s">
        <v>515</v>
      </c>
      <c r="C82" s="196">
        <v>0.13554624300000001</v>
      </c>
      <c r="D82" s="196">
        <v>0.13554624300000001</v>
      </c>
      <c r="E82" s="196">
        <v>0.32242304799999999</v>
      </c>
      <c r="F82" s="196">
        <v>0.71089920100000004</v>
      </c>
      <c r="G82" s="196">
        <v>0.84349413600000001</v>
      </c>
      <c r="H82" s="196">
        <v>0</v>
      </c>
      <c r="I82" s="196">
        <v>0</v>
      </c>
      <c r="J82" s="196">
        <v>0.32242304799999999</v>
      </c>
      <c r="K82" s="196">
        <v>0.77479561699999999</v>
      </c>
      <c r="L82" s="196">
        <v>0.77479561699999999</v>
      </c>
      <c r="M82" s="196">
        <v>0.71089920100000004</v>
      </c>
      <c r="N82" s="196">
        <v>0.32242304799999999</v>
      </c>
      <c r="O82" s="196">
        <v>0.32242304799999999</v>
      </c>
      <c r="P82" s="196">
        <v>0.13554624300000001</v>
      </c>
      <c r="Q82" s="196">
        <v>0</v>
      </c>
      <c r="R82" s="196">
        <v>0</v>
      </c>
    </row>
    <row r="83" spans="1:18" hidden="1">
      <c r="A83" s="547"/>
      <c r="B83" s="196" t="s">
        <v>516</v>
      </c>
      <c r="C83" s="196">
        <v>0</v>
      </c>
      <c r="D83" s="196">
        <v>0</v>
      </c>
      <c r="E83" s="196">
        <v>0</v>
      </c>
      <c r="F83" s="196">
        <v>0</v>
      </c>
      <c r="G83" s="196">
        <v>0</v>
      </c>
      <c r="H83" s="196">
        <f>1-H81</f>
        <v>0.99581894999999998</v>
      </c>
      <c r="I83" s="196">
        <f>1-I81</f>
        <v>0.99418105000000001</v>
      </c>
      <c r="J83" s="196">
        <v>0</v>
      </c>
      <c r="K83" s="196">
        <v>0</v>
      </c>
      <c r="L83" s="196">
        <v>0</v>
      </c>
      <c r="M83" s="196">
        <v>0</v>
      </c>
      <c r="N83" s="196">
        <v>0</v>
      </c>
      <c r="O83" s="196">
        <v>0</v>
      </c>
      <c r="P83" s="196">
        <v>0</v>
      </c>
      <c r="Q83" s="196">
        <f>1-Q81</f>
        <v>0.99581894999999998</v>
      </c>
      <c r="R83" s="196">
        <f>1-R81</f>
        <v>0.99581894999999998</v>
      </c>
    </row>
    <row r="84" spans="1:18" ht="14.4" hidden="1" customHeight="1">
      <c r="A84" s="585" t="s">
        <v>512</v>
      </c>
      <c r="B84" s="31" t="s">
        <v>522</v>
      </c>
      <c r="C84" s="31">
        <v>0.15</v>
      </c>
      <c r="D84" s="31">
        <v>0.2</v>
      </c>
      <c r="E84" s="31">
        <v>0</v>
      </c>
      <c r="F84" s="31">
        <v>0.83135599199999999</v>
      </c>
      <c r="G84" s="31">
        <v>0.26559356099999998</v>
      </c>
      <c r="H84" s="31">
        <v>0.01</v>
      </c>
      <c r="I84" s="31">
        <v>0.01</v>
      </c>
      <c r="J84" s="31">
        <v>0</v>
      </c>
      <c r="K84" s="31">
        <v>0</v>
      </c>
      <c r="L84" s="31">
        <v>0</v>
      </c>
      <c r="M84" s="31">
        <v>0.83135599199999999</v>
      </c>
      <c r="N84" s="31">
        <v>0</v>
      </c>
      <c r="O84" s="31">
        <v>0</v>
      </c>
      <c r="P84" s="31">
        <v>0.2</v>
      </c>
      <c r="Q84" s="31">
        <v>0.01</v>
      </c>
      <c r="R84" s="31">
        <v>0.01</v>
      </c>
    </row>
    <row r="85" spans="1:18" hidden="1">
      <c r="A85" s="586"/>
      <c r="B85" s="31" t="s">
        <v>523</v>
      </c>
      <c r="C85" s="31">
        <v>0</v>
      </c>
      <c r="D85" s="31">
        <v>0</v>
      </c>
      <c r="E85" s="31">
        <v>0</v>
      </c>
      <c r="F85" s="31">
        <v>0</v>
      </c>
      <c r="G85" s="31">
        <v>0</v>
      </c>
      <c r="H85" s="31">
        <v>0.17378233400000001</v>
      </c>
      <c r="I85" s="31">
        <v>0.17378233400000001</v>
      </c>
      <c r="J85" s="31">
        <v>0</v>
      </c>
      <c r="K85" s="31">
        <v>0</v>
      </c>
      <c r="L85" s="31">
        <v>0</v>
      </c>
      <c r="M85" s="31">
        <v>0</v>
      </c>
      <c r="N85" s="31">
        <v>0</v>
      </c>
      <c r="O85" s="31">
        <v>0</v>
      </c>
      <c r="P85" s="31">
        <v>0</v>
      </c>
      <c r="Q85" s="31">
        <v>0.17378233400000001</v>
      </c>
      <c r="R85" s="31">
        <v>0.17378233400000001</v>
      </c>
    </row>
    <row r="86" spans="1:18" hidden="1">
      <c r="A86" s="586"/>
      <c r="B86" s="31" t="s">
        <v>524</v>
      </c>
      <c r="C86" s="31">
        <v>0.6</v>
      </c>
      <c r="D86" s="31">
        <v>0.66</v>
      </c>
      <c r="E86" s="31">
        <v>0</v>
      </c>
      <c r="F86" s="31">
        <v>5.6214669000000002E-2</v>
      </c>
      <c r="G86" s="31">
        <v>0</v>
      </c>
      <c r="H86" s="31">
        <v>0</v>
      </c>
      <c r="I86" s="31">
        <v>0</v>
      </c>
      <c r="J86" s="31">
        <v>0</v>
      </c>
      <c r="K86" s="31">
        <v>0</v>
      </c>
      <c r="L86" s="31">
        <v>0</v>
      </c>
      <c r="M86" s="31">
        <v>5.6214669000000002E-2</v>
      </c>
      <c r="N86" s="31">
        <v>0</v>
      </c>
      <c r="O86" s="31">
        <v>0</v>
      </c>
      <c r="P86" s="31">
        <v>0.66</v>
      </c>
      <c r="Q86" s="31">
        <v>0</v>
      </c>
      <c r="R86" s="31">
        <v>0</v>
      </c>
    </row>
    <row r="87" spans="1:18" hidden="1">
      <c r="A87" s="586"/>
      <c r="B87" s="31" t="s">
        <v>131</v>
      </c>
      <c r="C87" s="31">
        <v>0.15</v>
      </c>
      <c r="D87" s="31">
        <v>0.1</v>
      </c>
      <c r="E87" s="31">
        <v>0.69856757300000005</v>
      </c>
      <c r="F87" s="31">
        <v>0</v>
      </c>
      <c r="G87" s="31">
        <v>0.61551124899999998</v>
      </c>
      <c r="H87" s="31">
        <v>0.01</v>
      </c>
      <c r="I87" s="31">
        <v>7.1852299999999999E-3</v>
      </c>
      <c r="J87" s="31">
        <v>1</v>
      </c>
      <c r="K87" s="31">
        <v>0</v>
      </c>
      <c r="L87" s="31">
        <v>0</v>
      </c>
      <c r="M87" s="31">
        <v>0</v>
      </c>
      <c r="N87" s="31">
        <v>0.69856757300000005</v>
      </c>
      <c r="O87" s="31">
        <v>0.69856757300000005</v>
      </c>
      <c r="P87" s="31">
        <v>0.1</v>
      </c>
      <c r="Q87" s="31">
        <v>0.01</v>
      </c>
      <c r="R87" s="31">
        <v>7.1852299999999999E-3</v>
      </c>
    </row>
    <row r="88" spans="1:18" hidden="1">
      <c r="A88" s="587"/>
      <c r="B88" s="31" t="s">
        <v>526</v>
      </c>
      <c r="C88" s="31">
        <v>0</v>
      </c>
      <c r="D88" s="31">
        <v>0.02</v>
      </c>
      <c r="E88" s="31">
        <v>0</v>
      </c>
      <c r="F88" s="31">
        <v>5.621466948308862E-2</v>
      </c>
      <c r="G88" s="31">
        <v>0</v>
      </c>
      <c r="H88" s="31">
        <v>0.80621766562466601</v>
      </c>
      <c r="I88" s="31">
        <v>0.80903243539595771</v>
      </c>
      <c r="J88" s="31">
        <v>0</v>
      </c>
      <c r="K88" s="31">
        <v>0</v>
      </c>
      <c r="L88" s="31">
        <v>0</v>
      </c>
      <c r="M88" s="31">
        <v>5.621466948308862E-2</v>
      </c>
      <c r="N88" s="31">
        <v>0</v>
      </c>
      <c r="O88" s="31">
        <v>0</v>
      </c>
      <c r="P88" s="31">
        <v>0.02</v>
      </c>
      <c r="Q88" s="31">
        <v>0.80621766562466601</v>
      </c>
      <c r="R88" s="31">
        <v>0.80903243539595771</v>
      </c>
    </row>
    <row r="89" spans="1:18" hidden="1">
      <c r="A89" s="548" t="s">
        <v>594</v>
      </c>
      <c r="B89" s="197" t="s">
        <v>530</v>
      </c>
      <c r="C89" s="197">
        <v>0.79345586800000001</v>
      </c>
      <c r="D89" s="197">
        <v>0.79345586800000001</v>
      </c>
      <c r="E89" s="197">
        <v>0</v>
      </c>
      <c r="F89" s="197">
        <v>0.79345586800000001</v>
      </c>
      <c r="G89" s="197">
        <v>0</v>
      </c>
      <c r="H89" s="197">
        <v>0</v>
      </c>
      <c r="I89" s="197">
        <v>0</v>
      </c>
      <c r="J89" s="197">
        <v>0</v>
      </c>
      <c r="K89" s="197">
        <v>0</v>
      </c>
      <c r="L89" s="197">
        <v>0</v>
      </c>
      <c r="M89" s="197">
        <v>0.79345586800000001</v>
      </c>
      <c r="N89" s="197">
        <v>0</v>
      </c>
      <c r="O89" s="197">
        <v>0</v>
      </c>
      <c r="P89" s="197">
        <v>0.79345586800000001</v>
      </c>
      <c r="Q89" s="197">
        <v>0</v>
      </c>
      <c r="R89" s="197">
        <v>0</v>
      </c>
    </row>
    <row r="90" spans="1:18" hidden="1">
      <c r="A90" s="548"/>
      <c r="B90" s="197" t="s">
        <v>531</v>
      </c>
      <c r="C90" s="197">
        <v>0.118382369</v>
      </c>
      <c r="D90" s="197">
        <v>0.118382369</v>
      </c>
      <c r="E90" s="197">
        <v>1</v>
      </c>
      <c r="F90" s="197">
        <v>0.118382369</v>
      </c>
      <c r="G90" s="197">
        <v>1</v>
      </c>
      <c r="H90" s="197">
        <v>1</v>
      </c>
      <c r="I90" s="197">
        <v>1</v>
      </c>
      <c r="J90" s="197">
        <v>1</v>
      </c>
      <c r="K90" s="197">
        <v>1</v>
      </c>
      <c r="L90" s="197">
        <v>1</v>
      </c>
      <c r="M90" s="197">
        <v>0.118382369</v>
      </c>
      <c r="N90" s="197">
        <v>1</v>
      </c>
      <c r="O90" s="197">
        <v>1</v>
      </c>
      <c r="P90" s="197">
        <v>0.118382369</v>
      </c>
      <c r="Q90" s="197">
        <v>1</v>
      </c>
      <c r="R90" s="197">
        <v>1</v>
      </c>
    </row>
    <row r="91" spans="1:18" hidden="1">
      <c r="A91" s="548"/>
      <c r="B91" s="197" t="s">
        <v>532</v>
      </c>
      <c r="C91" s="197">
        <v>8.8161763000000004E-2</v>
      </c>
      <c r="D91" s="197">
        <v>8.8161763000000004E-2</v>
      </c>
      <c r="E91" s="197">
        <v>0</v>
      </c>
      <c r="F91" s="197">
        <v>8.8161763000000004E-2</v>
      </c>
      <c r="G91" s="197">
        <v>0</v>
      </c>
      <c r="H91" s="197">
        <v>0</v>
      </c>
      <c r="I91" s="197">
        <v>0</v>
      </c>
      <c r="J91" s="197">
        <v>0</v>
      </c>
      <c r="K91" s="197">
        <v>0</v>
      </c>
      <c r="L91" s="197">
        <v>0</v>
      </c>
      <c r="M91" s="197">
        <v>8.8161763000000004E-2</v>
      </c>
      <c r="N91" s="197">
        <v>0</v>
      </c>
      <c r="O91" s="197">
        <v>0</v>
      </c>
      <c r="P91" s="197">
        <v>8.8161763000000004E-2</v>
      </c>
      <c r="Q91" s="197">
        <v>0</v>
      </c>
      <c r="R91" s="197">
        <v>0</v>
      </c>
    </row>
    <row r="92" spans="1:18" hidden="1">
      <c r="A92" s="549" t="s">
        <v>536</v>
      </c>
      <c r="B92" s="30" t="s">
        <v>537</v>
      </c>
      <c r="C92" s="30">
        <v>0</v>
      </c>
      <c r="D92" s="30">
        <v>0</v>
      </c>
      <c r="E92" s="30">
        <v>0</v>
      </c>
      <c r="F92" s="30">
        <v>0</v>
      </c>
      <c r="G92" s="30">
        <v>0</v>
      </c>
      <c r="H92" s="30">
        <v>0.51519999999999999</v>
      </c>
      <c r="I92" s="30">
        <v>0.51519999999999999</v>
      </c>
      <c r="J92" s="30">
        <v>0</v>
      </c>
      <c r="K92" s="30">
        <v>0</v>
      </c>
      <c r="L92" s="30">
        <v>0</v>
      </c>
      <c r="M92" s="30">
        <v>0</v>
      </c>
      <c r="N92" s="30">
        <v>0</v>
      </c>
      <c r="O92" s="30">
        <v>0</v>
      </c>
      <c r="P92" s="30">
        <v>0</v>
      </c>
      <c r="Q92" s="30">
        <v>0</v>
      </c>
      <c r="R92" s="30">
        <v>0</v>
      </c>
    </row>
    <row r="93" spans="1:18" hidden="1">
      <c r="A93" s="549"/>
      <c r="B93" s="30" t="s">
        <v>538</v>
      </c>
      <c r="C93" s="30">
        <v>1</v>
      </c>
      <c r="D93" s="30">
        <v>1</v>
      </c>
      <c r="E93" s="30">
        <v>1</v>
      </c>
      <c r="F93" s="30">
        <v>1</v>
      </c>
      <c r="G93" s="30">
        <v>1</v>
      </c>
      <c r="H93" s="30">
        <v>0.08</v>
      </c>
      <c r="I93" s="30">
        <v>0.08</v>
      </c>
      <c r="J93" s="30">
        <v>1</v>
      </c>
      <c r="K93" s="30">
        <v>1</v>
      </c>
      <c r="L93" s="30">
        <v>1</v>
      </c>
      <c r="M93" s="30">
        <v>1</v>
      </c>
      <c r="N93" s="30">
        <v>1</v>
      </c>
      <c r="O93" s="30">
        <v>1</v>
      </c>
      <c r="P93" s="30">
        <v>1</v>
      </c>
      <c r="Q93" s="30">
        <v>1</v>
      </c>
      <c r="R93" s="30">
        <v>1</v>
      </c>
    </row>
    <row r="94" spans="1:18" hidden="1">
      <c r="A94" s="549"/>
      <c r="B94" s="30" t="s">
        <v>539</v>
      </c>
      <c r="C94" s="30">
        <v>0</v>
      </c>
      <c r="D94" s="30">
        <v>0</v>
      </c>
      <c r="E94" s="30">
        <v>0</v>
      </c>
      <c r="F94" s="30">
        <v>0</v>
      </c>
      <c r="G94" s="30">
        <v>0</v>
      </c>
      <c r="H94" s="30">
        <v>0.40479999999999999</v>
      </c>
      <c r="I94" s="30">
        <v>0.40479999999999999</v>
      </c>
      <c r="J94" s="30">
        <v>0</v>
      </c>
      <c r="K94" s="30">
        <v>0</v>
      </c>
      <c r="L94" s="30">
        <v>0</v>
      </c>
      <c r="M94" s="30">
        <v>0</v>
      </c>
      <c r="N94" s="30">
        <v>0</v>
      </c>
      <c r="O94" s="30">
        <v>0</v>
      </c>
      <c r="P94" s="30">
        <v>0</v>
      </c>
      <c r="Q94" s="30">
        <v>0</v>
      </c>
      <c r="R94" s="30">
        <v>0</v>
      </c>
    </row>
    <row r="95" spans="1:18" hidden="1">
      <c r="A95" s="547" t="s">
        <v>144</v>
      </c>
      <c r="B95" s="200" t="s">
        <v>503</v>
      </c>
      <c r="C95" s="200">
        <f>1-C96-C97</f>
        <v>0.10999999999999999</v>
      </c>
      <c r="D95" s="200">
        <f>1-D96-D97</f>
        <v>0.10999999999999999</v>
      </c>
      <c r="E95" s="200">
        <f t="shared" ref="E95:K95" si="10">1-E96</f>
        <v>9.9999999999999978E-2</v>
      </c>
      <c r="F95" s="200">
        <f t="shared" si="10"/>
        <v>0.95</v>
      </c>
      <c r="G95" s="200">
        <f t="shared" si="10"/>
        <v>0.91</v>
      </c>
      <c r="H95" s="200">
        <f t="shared" si="10"/>
        <v>0.96</v>
      </c>
      <c r="I95" s="200">
        <f t="shared" si="10"/>
        <v>0.96</v>
      </c>
      <c r="J95" s="200">
        <f t="shared" si="10"/>
        <v>5.0000000000000044E-2</v>
      </c>
      <c r="K95" s="200">
        <f t="shared" si="10"/>
        <v>9.9999999999999978E-2</v>
      </c>
      <c r="L95" s="200">
        <f t="shared" ref="L95:R95" si="11">1-L96</f>
        <v>0.9</v>
      </c>
      <c r="M95" s="200">
        <f t="shared" si="11"/>
        <v>0.9</v>
      </c>
      <c r="N95" s="200">
        <f t="shared" si="11"/>
        <v>0.9</v>
      </c>
      <c r="O95" s="200">
        <f t="shared" si="11"/>
        <v>0.9</v>
      </c>
      <c r="P95" s="200">
        <f t="shared" si="11"/>
        <v>0.10999999999999999</v>
      </c>
      <c r="Q95" s="200">
        <f t="shared" si="11"/>
        <v>0.96</v>
      </c>
      <c r="R95" s="200">
        <f t="shared" si="11"/>
        <v>0.96</v>
      </c>
    </row>
    <row r="96" spans="1:18" hidden="1">
      <c r="A96" s="547"/>
      <c r="B96" s="200" t="s">
        <v>504</v>
      </c>
      <c r="C96" s="200">
        <v>0.01</v>
      </c>
      <c r="D96" s="200">
        <v>0.01</v>
      </c>
      <c r="E96" s="200">
        <v>0.9</v>
      </c>
      <c r="F96" s="200">
        <v>0.05</v>
      </c>
      <c r="G96" s="200">
        <v>0.09</v>
      </c>
      <c r="H96" s="200">
        <v>0.04</v>
      </c>
      <c r="I96" s="200">
        <v>0.04</v>
      </c>
      <c r="J96" s="200">
        <v>0.95</v>
      </c>
      <c r="K96" s="200">
        <v>0.9</v>
      </c>
      <c r="L96" s="200">
        <v>0.1</v>
      </c>
      <c r="M96" s="200">
        <v>0.1</v>
      </c>
      <c r="N96" s="200">
        <v>0.1</v>
      </c>
      <c r="O96" s="200">
        <v>0.1</v>
      </c>
      <c r="P96" s="200">
        <v>0.89</v>
      </c>
      <c r="Q96" s="200">
        <v>0.04</v>
      </c>
      <c r="R96" s="200">
        <v>0.04</v>
      </c>
    </row>
    <row r="97" spans="1:18" hidden="1">
      <c r="A97" s="547"/>
      <c r="B97" s="200" t="s">
        <v>554</v>
      </c>
      <c r="C97" s="200">
        <v>0.88</v>
      </c>
      <c r="D97" s="200">
        <v>0.88</v>
      </c>
      <c r="E97" s="200">
        <v>0</v>
      </c>
      <c r="F97" s="200">
        <v>0</v>
      </c>
      <c r="G97" s="200">
        <v>0</v>
      </c>
      <c r="H97" s="200">
        <v>0</v>
      </c>
      <c r="I97" s="200">
        <v>0</v>
      </c>
      <c r="J97" s="200">
        <v>0</v>
      </c>
      <c r="K97" s="200">
        <v>0</v>
      </c>
      <c r="L97" s="200">
        <v>0</v>
      </c>
      <c r="M97" s="200">
        <v>0</v>
      </c>
      <c r="N97" s="200">
        <v>0</v>
      </c>
      <c r="O97" s="200">
        <v>0</v>
      </c>
      <c r="P97" s="200">
        <v>0</v>
      </c>
      <c r="Q97" s="200">
        <v>0</v>
      </c>
      <c r="R97" s="200">
        <v>0</v>
      </c>
    </row>
    <row r="99" spans="1:18" hidden="1">
      <c r="B99" s="11" t="s">
        <v>748</v>
      </c>
    </row>
    <row r="100" spans="1:18" hidden="1">
      <c r="B100" t="s">
        <v>502</v>
      </c>
      <c r="C100">
        <v>0.01</v>
      </c>
      <c r="D100">
        <v>0.01</v>
      </c>
      <c r="E100">
        <v>0.8</v>
      </c>
      <c r="F100">
        <v>0.05</v>
      </c>
      <c r="G100">
        <v>0.01</v>
      </c>
      <c r="H100">
        <v>0.01</v>
      </c>
      <c r="I100">
        <v>0.01</v>
      </c>
      <c r="J100">
        <v>0.05</v>
      </c>
      <c r="K100">
        <v>0.9</v>
      </c>
      <c r="L100">
        <v>0.9</v>
      </c>
      <c r="M100">
        <v>0.05</v>
      </c>
      <c r="N100">
        <v>0.8</v>
      </c>
      <c r="O100">
        <v>0.8</v>
      </c>
      <c r="P100">
        <v>0.01</v>
      </c>
      <c r="Q100">
        <v>0.01</v>
      </c>
      <c r="R100">
        <v>0.01</v>
      </c>
    </row>
    <row r="101" spans="1:18" hidden="1">
      <c r="B101" s="198" t="s">
        <v>540</v>
      </c>
      <c r="C101" s="198">
        <v>1</v>
      </c>
      <c r="D101" s="198">
        <v>1</v>
      </c>
      <c r="E101" s="198">
        <v>0</v>
      </c>
      <c r="F101" s="198">
        <v>1</v>
      </c>
      <c r="G101" s="198">
        <v>1</v>
      </c>
      <c r="H101" s="198">
        <v>0</v>
      </c>
      <c r="I101" s="198">
        <v>0</v>
      </c>
      <c r="J101" s="198">
        <v>0</v>
      </c>
      <c r="K101" s="198">
        <v>0</v>
      </c>
      <c r="L101" s="198">
        <v>0</v>
      </c>
      <c r="M101" s="198">
        <v>1</v>
      </c>
      <c r="N101" s="198">
        <v>0</v>
      </c>
      <c r="O101" s="198">
        <v>0</v>
      </c>
      <c r="P101" s="198">
        <v>1</v>
      </c>
      <c r="Q101" s="198">
        <v>0</v>
      </c>
      <c r="R101" s="198">
        <v>0</v>
      </c>
    </row>
    <row r="102" spans="1:18" hidden="1">
      <c r="B102" s="198" t="s">
        <v>541</v>
      </c>
      <c r="C102" s="198">
        <v>0</v>
      </c>
      <c r="D102" s="198">
        <v>0</v>
      </c>
      <c r="E102" s="198">
        <v>7.9268293000000004E-2</v>
      </c>
      <c r="F102" s="198">
        <v>0</v>
      </c>
      <c r="G102" s="198">
        <v>0</v>
      </c>
      <c r="H102" s="198">
        <v>0</v>
      </c>
      <c r="I102" s="198">
        <v>0</v>
      </c>
      <c r="J102" s="198">
        <v>7.9268293000000004E-2</v>
      </c>
      <c r="K102" s="198">
        <v>7.9268293000000004E-2</v>
      </c>
      <c r="L102" s="198">
        <v>7.9268293000000004E-2</v>
      </c>
      <c r="M102" s="198">
        <v>0</v>
      </c>
      <c r="N102" s="198">
        <v>7.9268293000000004E-2</v>
      </c>
      <c r="O102" s="198">
        <v>7.9268293000000004E-2</v>
      </c>
      <c r="P102" s="198">
        <v>0</v>
      </c>
      <c r="Q102" s="198">
        <v>0</v>
      </c>
      <c r="R102" s="198">
        <v>0</v>
      </c>
    </row>
    <row r="103" spans="1:18" hidden="1">
      <c r="B103" s="198" t="s">
        <v>542</v>
      </c>
      <c r="C103" s="198">
        <v>0</v>
      </c>
      <c r="D103" s="198">
        <v>0</v>
      </c>
      <c r="E103" s="198">
        <v>0.92073170699999995</v>
      </c>
      <c r="F103" s="198">
        <v>0</v>
      </c>
      <c r="G103" s="198">
        <v>0</v>
      </c>
      <c r="H103" s="198">
        <v>1</v>
      </c>
      <c r="I103" s="198">
        <v>1</v>
      </c>
      <c r="J103" s="198">
        <v>0.92073170699999995</v>
      </c>
      <c r="K103" s="198">
        <v>0.92073170699999995</v>
      </c>
      <c r="L103" s="198">
        <v>0.92073170699999995</v>
      </c>
      <c r="M103" s="198">
        <v>0</v>
      </c>
      <c r="N103" s="198">
        <v>0.92073170699999995</v>
      </c>
      <c r="O103" s="198">
        <v>0.92073170699999995</v>
      </c>
      <c r="P103" s="198">
        <v>0</v>
      </c>
      <c r="Q103" s="198">
        <v>1</v>
      </c>
      <c r="R103" s="198">
        <v>1</v>
      </c>
    </row>
    <row r="104" spans="1:18" hidden="1">
      <c r="B104" s="199" t="s">
        <v>544</v>
      </c>
      <c r="C104" s="199">
        <v>0.7</v>
      </c>
      <c r="D104" s="199">
        <v>0.7</v>
      </c>
      <c r="E104" s="199">
        <v>0</v>
      </c>
      <c r="F104" s="199">
        <v>0</v>
      </c>
      <c r="G104" s="199">
        <v>0</v>
      </c>
      <c r="H104" s="199">
        <v>0</v>
      </c>
      <c r="I104" s="199">
        <v>0</v>
      </c>
      <c r="J104" s="199">
        <v>0</v>
      </c>
      <c r="K104" s="199">
        <v>0</v>
      </c>
      <c r="L104" s="199">
        <v>0</v>
      </c>
      <c r="M104" s="199">
        <v>0</v>
      </c>
      <c r="N104" s="199">
        <v>0</v>
      </c>
      <c r="O104" s="199">
        <v>0</v>
      </c>
      <c r="P104" s="199">
        <v>0.7</v>
      </c>
      <c r="Q104" s="199">
        <v>0</v>
      </c>
      <c r="R104" s="199">
        <v>0</v>
      </c>
    </row>
    <row r="105" spans="1:18" hidden="1">
      <c r="A105" s="291"/>
      <c r="B105" s="199" t="s">
        <v>545</v>
      </c>
      <c r="C105" s="199">
        <v>0.3</v>
      </c>
      <c r="D105" s="199">
        <v>0.3</v>
      </c>
      <c r="E105" s="199">
        <v>1</v>
      </c>
      <c r="F105" s="199">
        <v>1</v>
      </c>
      <c r="G105" s="199">
        <v>1</v>
      </c>
      <c r="H105" s="199">
        <v>1</v>
      </c>
      <c r="I105" s="199">
        <v>1</v>
      </c>
      <c r="J105" s="199">
        <v>1</v>
      </c>
      <c r="K105" s="199">
        <v>1</v>
      </c>
      <c r="L105" s="199">
        <v>1</v>
      </c>
      <c r="M105" s="199">
        <v>1</v>
      </c>
      <c r="N105" s="199">
        <v>1</v>
      </c>
      <c r="O105" s="199">
        <v>1</v>
      </c>
      <c r="P105" s="199">
        <v>0.3</v>
      </c>
      <c r="Q105" s="199">
        <v>1</v>
      </c>
      <c r="R105" s="199">
        <v>1</v>
      </c>
    </row>
    <row r="106" spans="1:18" hidden="1">
      <c r="B106" s="31" t="s">
        <v>525</v>
      </c>
      <c r="C106" s="31">
        <v>0.10000000000000002</v>
      </c>
      <c r="D106" s="31">
        <v>0.02</v>
      </c>
      <c r="E106" s="31">
        <v>0.30143242682167332</v>
      </c>
      <c r="F106" s="31">
        <v>5.621466948308862E-2</v>
      </c>
      <c r="G106" s="31">
        <v>0.11889518931772444</v>
      </c>
      <c r="H106" s="31">
        <v>0</v>
      </c>
      <c r="I106" s="31">
        <v>0</v>
      </c>
      <c r="J106" s="31">
        <v>0</v>
      </c>
      <c r="K106" s="31">
        <v>0</v>
      </c>
      <c r="L106" s="31">
        <v>0</v>
      </c>
      <c r="M106" s="31">
        <v>5.621466948308862E-2</v>
      </c>
      <c r="N106" s="31">
        <v>0.30143242682167332</v>
      </c>
      <c r="O106" s="31">
        <v>0.30143242682167332</v>
      </c>
      <c r="P106" s="31">
        <v>0.02</v>
      </c>
      <c r="Q106" s="31">
        <v>0</v>
      </c>
      <c r="R106" s="31">
        <v>0</v>
      </c>
    </row>
  </sheetData>
  <mergeCells count="40">
    <mergeCell ref="X12:AC14"/>
    <mergeCell ref="X15:AC17"/>
    <mergeCell ref="X1:AC1"/>
    <mergeCell ref="X2:AC2"/>
    <mergeCell ref="X3:AC6"/>
    <mergeCell ref="X7:AC9"/>
    <mergeCell ref="X10:AC11"/>
    <mergeCell ref="X23:AC25"/>
    <mergeCell ref="X26:AC28"/>
    <mergeCell ref="X29:AC31"/>
    <mergeCell ref="A3:A6"/>
    <mergeCell ref="A7:A9"/>
    <mergeCell ref="A10:A11"/>
    <mergeCell ref="A12:A14"/>
    <mergeCell ref="A15:A17"/>
    <mergeCell ref="T12:W14"/>
    <mergeCell ref="A18:A22"/>
    <mergeCell ref="T15:W17"/>
    <mergeCell ref="T18:W22"/>
    <mergeCell ref="T23:W25"/>
    <mergeCell ref="T26:W28"/>
    <mergeCell ref="T29:W31"/>
    <mergeCell ref="X18:AC22"/>
    <mergeCell ref="A92:A94"/>
    <mergeCell ref="A95:A97"/>
    <mergeCell ref="A23:A25"/>
    <mergeCell ref="A26:A28"/>
    <mergeCell ref="A29:A31"/>
    <mergeCell ref="A69:A72"/>
    <mergeCell ref="A73:A75"/>
    <mergeCell ref="A76:A77"/>
    <mergeCell ref="A78:A80"/>
    <mergeCell ref="A81:A83"/>
    <mergeCell ref="A84:A88"/>
    <mergeCell ref="A89:A91"/>
    <mergeCell ref="T1:W1"/>
    <mergeCell ref="T2:W2"/>
    <mergeCell ref="T3:W6"/>
    <mergeCell ref="T7:W9"/>
    <mergeCell ref="T10:W11"/>
  </mergeCells>
  <conditionalFormatting sqref="B99:B105 B23:B31 B10:B21">
    <cfRule type="duplicateValues" dxfId="9" priority="8"/>
    <cfRule type="uniqueValues" dxfId="8" priority="9"/>
    <cfRule type="duplicateValues" dxfId="7" priority="10"/>
  </conditionalFormatting>
  <conditionalFormatting sqref="B89:B97 B76:B87">
    <cfRule type="duplicateValues" dxfId="6" priority="11"/>
    <cfRule type="uniqueValues" dxfId="5" priority="12"/>
    <cfRule type="duplicateValues" dxfId="4" priority="13"/>
  </conditionalFormatting>
  <conditionalFormatting sqref="B55:B63 B42:B53">
    <cfRule type="duplicateValues" dxfId="3" priority="2"/>
    <cfRule type="uniqueValues" dxfId="2" priority="3"/>
    <cfRule type="duplicateValues" dxfId="1" priority="4"/>
  </conditionalFormatting>
  <conditionalFormatting sqref="C35:R63">
    <cfRule type="cellIs" dxfId="0" priority="1" operator="equal">
      <formula>1</formula>
    </cfRule>
  </conditionalFormatting>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FED1-19F6-4936-BE5E-049EA81FF04E}">
  <dimension ref="A1:T47"/>
  <sheetViews>
    <sheetView showGridLines="0" workbookViewId="0">
      <selection activeCell="C27" sqref="C27"/>
    </sheetView>
  </sheetViews>
  <sheetFormatPr defaultRowHeight="14.4"/>
  <cols>
    <col min="1" max="1" width="19.88671875" style="400" customWidth="1"/>
    <col min="2" max="12" width="9.5546875" style="400" customWidth="1"/>
    <col min="13" max="13" width="10.109375" style="400" customWidth="1"/>
    <col min="14" max="18" width="9.5546875" style="400" customWidth="1"/>
    <col min="19" max="16384" width="8.88671875" style="400"/>
  </cols>
  <sheetData>
    <row r="1" spans="1:18" ht="14.4" customHeight="1">
      <c r="A1" s="594" t="s">
        <v>789</v>
      </c>
      <c r="B1" s="594"/>
      <c r="C1" s="594"/>
      <c r="D1" s="594"/>
      <c r="E1" s="594"/>
      <c r="F1" s="498"/>
      <c r="G1" s="498"/>
      <c r="H1" s="498"/>
      <c r="I1" s="498"/>
      <c r="J1" s="498"/>
      <c r="K1" s="498"/>
      <c r="L1" s="498"/>
      <c r="M1" s="498"/>
      <c r="N1" s="498"/>
      <c r="O1" s="498"/>
      <c r="P1" s="498"/>
      <c r="Q1" s="498"/>
      <c r="R1" s="498"/>
    </row>
    <row r="2" spans="1:18">
      <c r="A2" s="594"/>
      <c r="B2" s="594"/>
      <c r="C2" s="594"/>
      <c r="D2" s="594"/>
      <c r="E2" s="594"/>
      <c r="F2" s="498"/>
      <c r="G2" s="498"/>
      <c r="H2" s="498"/>
      <c r="I2" s="498"/>
      <c r="J2" s="498"/>
      <c r="K2" s="498"/>
      <c r="L2" s="498"/>
      <c r="M2" s="498"/>
      <c r="N2" s="498"/>
      <c r="O2" s="498"/>
      <c r="P2" s="498"/>
      <c r="Q2" s="498"/>
      <c r="R2" s="498"/>
    </row>
    <row r="3" spans="1:18">
      <c r="A3" s="594"/>
      <c r="B3" s="594"/>
      <c r="C3" s="594"/>
      <c r="D3" s="594"/>
      <c r="E3" s="594"/>
      <c r="F3" s="498"/>
      <c r="G3" s="498"/>
      <c r="H3" s="498"/>
      <c r="I3" s="498"/>
      <c r="J3" s="498"/>
      <c r="K3" s="498"/>
      <c r="L3" s="498"/>
      <c r="M3" s="498"/>
      <c r="N3" s="498"/>
      <c r="O3" s="498"/>
      <c r="P3" s="498"/>
      <c r="Q3" s="498"/>
      <c r="R3" s="498"/>
    </row>
    <row r="4" spans="1:18">
      <c r="A4" s="594"/>
      <c r="B4" s="594"/>
      <c r="C4" s="594"/>
      <c r="D4" s="594"/>
      <c r="E4" s="594"/>
      <c r="F4" s="498"/>
      <c r="G4" s="498"/>
      <c r="H4" s="498"/>
      <c r="I4" s="498"/>
      <c r="J4" s="498"/>
      <c r="K4" s="498"/>
      <c r="L4" s="498"/>
      <c r="M4" s="498"/>
      <c r="N4" s="498"/>
      <c r="O4" s="498"/>
      <c r="P4" s="498"/>
      <c r="Q4" s="498"/>
      <c r="R4" s="498"/>
    </row>
    <row r="5" spans="1:18" ht="15" thickBot="1"/>
    <row r="6" spans="1:18">
      <c r="A6" s="417" t="s">
        <v>552</v>
      </c>
      <c r="B6" s="485">
        <v>0</v>
      </c>
      <c r="D6" s="56" t="s">
        <v>551</v>
      </c>
      <c r="E6" s="57">
        <f>R43</f>
        <v>-2.59455410747222</v>
      </c>
      <c r="G6" s="61" t="s">
        <v>755</v>
      </c>
      <c r="H6" s="15"/>
      <c r="I6" s="15"/>
      <c r="J6" s="487">
        <f>E6</f>
        <v>-2.59455410747222</v>
      </c>
      <c r="K6" s="16" t="s">
        <v>754</v>
      </c>
    </row>
    <row r="7" spans="1:18" ht="15" thickBot="1">
      <c r="A7" s="417" t="s">
        <v>550</v>
      </c>
      <c r="B7" s="485">
        <f>100-B6</f>
        <v>100</v>
      </c>
      <c r="D7" s="56" t="s">
        <v>547</v>
      </c>
      <c r="E7" s="57">
        <f>R39</f>
        <v>3203.5466188822893</v>
      </c>
      <c r="G7" s="20" t="s">
        <v>753</v>
      </c>
      <c r="H7" s="21"/>
      <c r="I7" s="21"/>
      <c r="J7" s="269">
        <f>E7</f>
        <v>3203.5466188822893</v>
      </c>
      <c r="K7" s="28" t="s">
        <v>754</v>
      </c>
      <c r="M7" s="455"/>
    </row>
    <row r="8" spans="1:18">
      <c r="A8" s="417" t="s">
        <v>756</v>
      </c>
      <c r="B8" s="485">
        <v>100</v>
      </c>
    </row>
    <row r="9" spans="1:18">
      <c r="B9" s="401"/>
    </row>
    <row r="10" spans="1:18">
      <c r="A10" s="450" t="s">
        <v>790</v>
      </c>
      <c r="B10" s="451"/>
      <c r="C10" s="451"/>
      <c r="D10" s="451"/>
      <c r="E10" s="452"/>
      <c r="F10" s="452"/>
      <c r="G10" s="452"/>
      <c r="H10" s="452"/>
      <c r="I10" s="452"/>
      <c r="J10" s="452"/>
      <c r="K10" s="452"/>
      <c r="L10" s="452"/>
      <c r="M10" s="452"/>
      <c r="N10" s="452"/>
      <c r="O10" s="452"/>
      <c r="P10" s="452"/>
      <c r="Q10" s="452"/>
      <c r="R10" s="452"/>
    </row>
    <row r="11" spans="1:18" ht="26.4">
      <c r="A11" s="453"/>
      <c r="B11" s="453" t="s">
        <v>104</v>
      </c>
      <c r="C11" s="453" t="s">
        <v>86</v>
      </c>
      <c r="D11" s="453" t="s">
        <v>93</v>
      </c>
      <c r="E11" s="453" t="s">
        <v>102</v>
      </c>
      <c r="F11" s="453" t="s">
        <v>89</v>
      </c>
      <c r="G11" s="453" t="s">
        <v>87</v>
      </c>
      <c r="H11" s="453" t="s">
        <v>771</v>
      </c>
      <c r="I11" s="453" t="s">
        <v>91</v>
      </c>
      <c r="J11" s="453" t="s">
        <v>94</v>
      </c>
      <c r="K11" s="453" t="s">
        <v>95</v>
      </c>
      <c r="L11" s="453" t="s">
        <v>106</v>
      </c>
      <c r="M11" s="453" t="s">
        <v>772</v>
      </c>
      <c r="N11" s="453" t="s">
        <v>97</v>
      </c>
      <c r="O11" s="453" t="s">
        <v>96</v>
      </c>
      <c r="P11" s="453" t="s">
        <v>218</v>
      </c>
      <c r="Q11" s="453" t="s">
        <v>98</v>
      </c>
      <c r="R11" s="453" t="s">
        <v>513</v>
      </c>
    </row>
    <row r="12" spans="1:18">
      <c r="A12" s="454" t="s">
        <v>778</v>
      </c>
      <c r="B12" s="455">
        <f>'A2-6 RSE components'!C9*2/100</f>
        <v>0</v>
      </c>
      <c r="C12" s="455">
        <f>'A2-6 RSE components'!D9*2/100</f>
        <v>0</v>
      </c>
      <c r="D12" s="455">
        <f>'A2-6 RSE components'!E9*2/100</f>
        <v>0.42533849129593809</v>
      </c>
      <c r="E12" s="455">
        <f>'A2-6 RSE components'!F9*2/100</f>
        <v>1.1585786784117651</v>
      </c>
      <c r="F12" s="455">
        <f>'A2-6 RSE components'!G9*2/100</f>
        <v>0</v>
      </c>
      <c r="G12" s="455">
        <f>'A2-6 RSE components'!H9*2/100</f>
        <v>0.71537969957737768</v>
      </c>
      <c r="H12" s="455">
        <f>'A2-6 RSE components'!I9*2/100</f>
        <v>0</v>
      </c>
      <c r="I12" s="455">
        <f>'A2-6 RSE components'!J9*2/100</f>
        <v>0</v>
      </c>
      <c r="J12" s="455">
        <f>'A2-6 RSE components'!K9*2/100</f>
        <v>0</v>
      </c>
      <c r="K12" s="455">
        <f>'A2-6 RSE components'!L9*2/100</f>
        <v>0</v>
      </c>
      <c r="L12" s="455">
        <f>'A2-6 RSE components'!M9*2/100</f>
        <v>0</v>
      </c>
      <c r="M12" s="455">
        <f>'A2-6 RSE components'!N9*2/100</f>
        <v>0.92843326885880084</v>
      </c>
      <c r="N12" s="455">
        <f>'A2-6 RSE components'!O9*2/100</f>
        <v>1.0922478380446794</v>
      </c>
      <c r="O12" s="455">
        <f>'A2-6 RSE components'!P9*2/100</f>
        <v>0</v>
      </c>
      <c r="P12" s="455">
        <f>'A2-6 RSE components'!Q9*2/100</f>
        <v>1.1340497527651556</v>
      </c>
      <c r="Q12" s="455">
        <f>'A2-6 RSE components'!R9*2/100</f>
        <v>0.1102514506769826</v>
      </c>
      <c r="R12" s="455">
        <f t="shared" ref="R12:R21" si="0">SUM(B12:Q12)</f>
        <v>5.5642791796306996</v>
      </c>
    </row>
    <row r="13" spans="1:18" ht="26.4">
      <c r="A13" s="454" t="s">
        <v>436</v>
      </c>
      <c r="B13" s="455">
        <f>'A2-6 RSE components'!C10*2/100</f>
        <v>9.0337765699310874E-2</v>
      </c>
      <c r="C13" s="455">
        <f>'A2-6 RSE components'!D10*2/100</f>
        <v>0.71752466317995012</v>
      </c>
      <c r="D13" s="455">
        <f>'A2-6 RSE components'!E10*2/100</f>
        <v>0.16292238357536307</v>
      </c>
      <c r="E13" s="455">
        <f>'A2-6 RSE components'!F10*2/100</f>
        <v>2.1906335503254883</v>
      </c>
      <c r="F13" s="455">
        <f>'A2-6 RSE components'!G10*2/100</f>
        <v>0</v>
      </c>
      <c r="G13" s="455">
        <f>'A2-6 RSE components'!H10*2/100</f>
        <v>3.6885122884326491</v>
      </c>
      <c r="H13" s="455">
        <f>'A2-6 RSE components'!I10*2/100</f>
        <v>0</v>
      </c>
      <c r="I13" s="455">
        <f>'A2-6 RSE components'!J10*2/100</f>
        <v>0</v>
      </c>
      <c r="J13" s="455">
        <f>'A2-6 RSE components'!K10*2/100</f>
        <v>7.3999999999999996E-2</v>
      </c>
      <c r="K13" s="455">
        <f>'A2-6 RSE components'!L10*2/100</f>
        <v>0</v>
      </c>
      <c r="L13" s="455">
        <f>'A2-6 RSE components'!M10*2/100</f>
        <v>0</v>
      </c>
      <c r="M13" s="455">
        <f>'A2-6 RSE components'!N10*2/100</f>
        <v>0</v>
      </c>
      <c r="N13" s="455">
        <f>'A2-6 RSE components'!O10*2/100</f>
        <v>0</v>
      </c>
      <c r="O13" s="455">
        <f>'A2-6 RSE components'!P10*2/100</f>
        <v>3.3333333333333402E-2</v>
      </c>
      <c r="P13" s="455">
        <f>'A2-6 RSE components'!Q10*2/100</f>
        <v>0</v>
      </c>
      <c r="Q13" s="455">
        <f>'A2-6 RSE components'!R10*2/100</f>
        <v>0</v>
      </c>
      <c r="R13" s="455">
        <f t="shared" si="0"/>
        <v>6.9572639845460946</v>
      </c>
    </row>
    <row r="14" spans="1:18">
      <c r="A14" s="456" t="s">
        <v>777</v>
      </c>
      <c r="B14" s="457">
        <f>'A2-6 RSE components'!C8*2/100</f>
        <v>0</v>
      </c>
      <c r="C14" s="457">
        <f>'A2-6 RSE components'!D8*2/100</f>
        <v>0</v>
      </c>
      <c r="D14" s="457">
        <f>'A2-6 RSE components'!E8*2/100</f>
        <v>1.3174188531137165E-2</v>
      </c>
      <c r="E14" s="457">
        <f>'A2-6 RSE components'!F8*2/100</f>
        <v>0</v>
      </c>
      <c r="F14" s="457">
        <f>'A2-6 RSE components'!G8*2/100</f>
        <v>0</v>
      </c>
      <c r="G14" s="457">
        <f>'A2-6 RSE components'!H8*2/100</f>
        <v>0</v>
      </c>
      <c r="H14" s="457">
        <f>'A2-6 RSE components'!I8*2/100</f>
        <v>0</v>
      </c>
      <c r="I14" s="457">
        <f>'A2-6 RSE components'!J8*2/100</f>
        <v>0</v>
      </c>
      <c r="J14" s="457">
        <f>'A2-6 RSE components'!K8*2/100</f>
        <v>0</v>
      </c>
      <c r="K14" s="457">
        <f>'A2-6 RSE components'!L8*2/100</f>
        <v>0</v>
      </c>
      <c r="L14" s="457">
        <f>'A2-6 RSE components'!M8*2/100</f>
        <v>0.22481752728385579</v>
      </c>
      <c r="M14" s="457">
        <f>'A2-6 RSE components'!N8*2/100</f>
        <v>0</v>
      </c>
      <c r="N14" s="457">
        <f>'A2-6 RSE components'!O8*2/100</f>
        <v>0</v>
      </c>
      <c r="O14" s="457">
        <f>'A2-6 RSE components'!P8*2/100</f>
        <v>0</v>
      </c>
      <c r="P14" s="457">
        <f>'A2-6 RSE components'!Q8*2/100</f>
        <v>0</v>
      </c>
      <c r="Q14" s="457">
        <f>'A2-6 RSE components'!R8*2/100</f>
        <v>0</v>
      </c>
      <c r="R14" s="457">
        <f t="shared" si="0"/>
        <v>0.23799171581499295</v>
      </c>
    </row>
    <row r="15" spans="1:18">
      <c r="A15" s="458" t="s">
        <v>774</v>
      </c>
      <c r="B15" s="455">
        <f>'A2-6 RSE components'!C3*2/100</f>
        <v>0</v>
      </c>
      <c r="C15" s="455">
        <f>'A2-6 RSE components'!D3*2/100</f>
        <v>1.4112181202254002</v>
      </c>
      <c r="D15" s="455">
        <f>'A2-6 RSE components'!E3*2/100</f>
        <v>2.3752764922912002</v>
      </c>
      <c r="E15" s="455">
        <f>'A2-6 RSE components'!F3*2/100</f>
        <v>0.23031606186520001</v>
      </c>
      <c r="F15" s="455">
        <f>'A2-6 RSE components'!G3*2/100</f>
        <v>0</v>
      </c>
      <c r="G15" s="455">
        <f>'A2-6 RSE components'!H3*2/100</f>
        <v>0.36925259995460002</v>
      </c>
      <c r="H15" s="455">
        <f>'A2-6 RSE components'!I3*2/100</f>
        <v>0</v>
      </c>
      <c r="I15" s="455">
        <f>'A2-6 RSE components'!J3*2/100</f>
        <v>0.23586803247799998</v>
      </c>
      <c r="J15" s="455">
        <f>'A2-6 RSE components'!K3*2/100</f>
        <v>0.10580178891400001</v>
      </c>
      <c r="K15" s="455">
        <f>'A2-6 RSE components'!L3*2/100</f>
        <v>0</v>
      </c>
      <c r="L15" s="455">
        <f>'A2-6 RSE components'!M3*2/100</f>
        <v>0</v>
      </c>
      <c r="M15" s="455">
        <f>'A2-6 RSE components'!N3*2/100</f>
        <v>0</v>
      </c>
      <c r="N15" s="455">
        <f>'A2-6 RSE components'!O3*2/100</f>
        <v>0</v>
      </c>
      <c r="O15" s="455">
        <f>'A2-6 RSE components'!P3*2/100</f>
        <v>0</v>
      </c>
      <c r="P15" s="455">
        <f>'A2-6 RSE components'!Q3*2/100</f>
        <v>0</v>
      </c>
      <c r="Q15" s="455">
        <f>'A2-6 RSE components'!R3*2/100</f>
        <v>0</v>
      </c>
      <c r="R15" s="455">
        <f>SUM(B15:Q15)</f>
        <v>4.7277330957284009</v>
      </c>
    </row>
    <row r="16" spans="1:18">
      <c r="A16" s="459" t="s">
        <v>775</v>
      </c>
      <c r="B16" s="455">
        <f>'A2-6 RSE components'!C4*2/100</f>
        <v>0</v>
      </c>
      <c r="C16" s="455">
        <f>'A2-6 RSE components'!D4*2/100</f>
        <v>0.93899784912680806</v>
      </c>
      <c r="D16" s="455">
        <f>'A2-6 RSE components'!E4*2/100</f>
        <v>0</v>
      </c>
      <c r="E16" s="455">
        <f>'A2-6 RSE components'!F4*2/100</f>
        <v>0</v>
      </c>
      <c r="F16" s="455">
        <f>'A2-6 RSE components'!G4*2/100</f>
        <v>0</v>
      </c>
      <c r="G16" s="455">
        <f>'A2-6 RSE components'!H4*2/100</f>
        <v>0</v>
      </c>
      <c r="H16" s="455">
        <f>'A2-6 RSE components'!I4*2/100</f>
        <v>0</v>
      </c>
      <c r="I16" s="455">
        <f>'A2-6 RSE components'!J4*2/100</f>
        <v>0</v>
      </c>
      <c r="J16" s="455">
        <f>'A2-6 RSE components'!K4*2/100</f>
        <v>0.362105263159894</v>
      </c>
      <c r="K16" s="455">
        <f>'A2-6 RSE components'!L4*2/100</f>
        <v>0.1665684210546316</v>
      </c>
      <c r="L16" s="455">
        <f>'A2-6 RSE components'!M4*2/100</f>
        <v>0</v>
      </c>
      <c r="M16" s="455">
        <f>'A2-6 RSE components'!N4*2/100</f>
        <v>0</v>
      </c>
      <c r="N16" s="455">
        <f>'A2-6 RSE components'!O4*2/100</f>
        <v>0</v>
      </c>
      <c r="O16" s="455">
        <f>'A2-6 RSE components'!P4*2/100</f>
        <v>0</v>
      </c>
      <c r="P16" s="455">
        <f>'A2-6 RSE components'!Q4*2/100</f>
        <v>0</v>
      </c>
      <c r="Q16" s="455">
        <f>'A2-6 RSE components'!R4*2/100</f>
        <v>0</v>
      </c>
      <c r="R16" s="455">
        <f t="shared" si="0"/>
        <v>1.4676715333413337</v>
      </c>
    </row>
    <row r="17" spans="1:20">
      <c r="A17" s="459" t="s">
        <v>107</v>
      </c>
      <c r="B17" s="455">
        <f>'A2-6 RSE components'!C5*2/100</f>
        <v>0.36324329149526124</v>
      </c>
      <c r="C17" s="455">
        <f>'A2-6 RSE components'!D5*2/100</f>
        <v>0.21189192003973573</v>
      </c>
      <c r="D17" s="455">
        <f>'A2-6 RSE components'!E5*2/100</f>
        <v>0</v>
      </c>
      <c r="E17" s="455">
        <f>'A2-6 RSE components'!F5*2/100</f>
        <v>0</v>
      </c>
      <c r="F17" s="455">
        <f>'A2-6 RSE components'!G5*2/100</f>
        <v>0</v>
      </c>
      <c r="G17" s="455">
        <f>'A2-6 RSE components'!H5*2/100</f>
        <v>0</v>
      </c>
      <c r="H17" s="455">
        <f>'A2-6 RSE components'!I5*2/100</f>
        <v>0</v>
      </c>
      <c r="I17" s="455">
        <f>'A2-6 RSE components'!J5*2/100</f>
        <v>0</v>
      </c>
      <c r="J17" s="455">
        <f>'A2-6 RSE components'!K5*2/100</f>
        <v>0</v>
      </c>
      <c r="K17" s="455">
        <f>'A2-6 RSE components'!L5*2/100</f>
        <v>0</v>
      </c>
      <c r="L17" s="455">
        <f>'A2-6 RSE components'!M5*2/100</f>
        <v>0</v>
      </c>
      <c r="M17" s="455">
        <f>'A2-6 RSE components'!N5*2/100</f>
        <v>0</v>
      </c>
      <c r="N17" s="455">
        <f>'A2-6 RSE components'!O5*2/100</f>
        <v>0</v>
      </c>
      <c r="O17" s="455">
        <f>'A2-6 RSE components'!P5*2/100</f>
        <v>0</v>
      </c>
      <c r="P17" s="455">
        <f>'A2-6 RSE components'!Q5*2/100</f>
        <v>0</v>
      </c>
      <c r="Q17" s="455">
        <f>'A2-6 RSE components'!R5*2/100</f>
        <v>0</v>
      </c>
      <c r="R17" s="455">
        <f t="shared" si="0"/>
        <v>0.57513521153499703</v>
      </c>
      <c r="T17" s="455"/>
    </row>
    <row r="18" spans="1:20">
      <c r="A18" s="459" t="s">
        <v>108</v>
      </c>
      <c r="B18" s="455">
        <f>'A2-6 RSE components'!C6*2/100</f>
        <v>0</v>
      </c>
      <c r="C18" s="455">
        <f>'A2-6 RSE components'!D6*2/100</f>
        <v>3.4491163814819998</v>
      </c>
      <c r="D18" s="455">
        <f>'A2-6 RSE components'!E6*2/100</f>
        <v>0.117752579262</v>
      </c>
      <c r="E18" s="455">
        <f>'A2-6 RSE components'!F6*2/100</f>
        <v>8.1828063558E-2</v>
      </c>
      <c r="F18" s="455">
        <f>'A2-6 RSE components'!G6*2/100</f>
        <v>0</v>
      </c>
      <c r="G18" s="455">
        <f>'A2-6 RSE components'!H6*2/100</f>
        <v>0</v>
      </c>
      <c r="H18" s="455">
        <f>'A2-6 RSE components'!I6*2/100</f>
        <v>0</v>
      </c>
      <c r="I18" s="455">
        <f>'A2-6 RSE components'!J6*2/100</f>
        <v>0</v>
      </c>
      <c r="J18" s="455">
        <f>'A2-6 RSE components'!K6*2/100</f>
        <v>0</v>
      </c>
      <c r="K18" s="455">
        <f>'A2-6 RSE components'!L6*2/100</f>
        <v>0</v>
      </c>
      <c r="L18" s="455">
        <f>'A2-6 RSE components'!M6*2/100</f>
        <v>0</v>
      </c>
      <c r="M18" s="455">
        <f>'A2-6 RSE components'!N6*2/100</f>
        <v>0</v>
      </c>
      <c r="N18" s="455">
        <f>'A2-6 RSE components'!O6*2/100</f>
        <v>0</v>
      </c>
      <c r="O18" s="455">
        <f>'A2-6 RSE components'!P6*2/100</f>
        <v>0</v>
      </c>
      <c r="P18" s="455">
        <f>'A2-6 RSE components'!Q6*2/100</f>
        <v>0</v>
      </c>
      <c r="Q18" s="455">
        <f>'A2-6 RSE components'!R6*2/100</f>
        <v>0</v>
      </c>
      <c r="R18" s="455">
        <f t="shared" si="0"/>
        <v>3.6486970243019998</v>
      </c>
    </row>
    <row r="19" spans="1:20">
      <c r="A19" s="460" t="s">
        <v>776</v>
      </c>
      <c r="B19" s="457">
        <f>'A2-6 RSE components'!C7*2/100</f>
        <v>0</v>
      </c>
      <c r="C19" s="457">
        <f>'A2-6 RSE components'!D7*2/100</f>
        <v>7.7800001052245786</v>
      </c>
      <c r="D19" s="457">
        <f>'A2-6 RSE components'!E7*2/100</f>
        <v>0.50000000001199996</v>
      </c>
      <c r="E19" s="457">
        <f>'A2-6 RSE components'!F7*2/100</f>
        <v>0</v>
      </c>
      <c r="F19" s="457">
        <f>'A2-6 RSE components'!G7*2/100</f>
        <v>0.57669433868780007</v>
      </c>
      <c r="G19" s="457">
        <f>'A2-6 RSE components'!H7*2/100</f>
        <v>0</v>
      </c>
      <c r="H19" s="457">
        <f>'A2-6 RSE components'!I7*2/100</f>
        <v>0</v>
      </c>
      <c r="I19" s="457">
        <f>'A2-6 RSE components'!J7*2/100</f>
        <v>0</v>
      </c>
      <c r="J19" s="457">
        <f>'A2-6 RSE components'!K7*2/100</f>
        <v>0</v>
      </c>
      <c r="K19" s="457">
        <f>'A2-6 RSE components'!L7*2/100</f>
        <v>0</v>
      </c>
      <c r="L19" s="457">
        <f>'A2-6 RSE components'!M7*2/100</f>
        <v>0</v>
      </c>
      <c r="M19" s="457">
        <f>'A2-6 RSE components'!N7*2/100</f>
        <v>0</v>
      </c>
      <c r="N19" s="457">
        <f>'A2-6 RSE components'!O7*2/100</f>
        <v>0</v>
      </c>
      <c r="O19" s="457">
        <f>'A2-6 RSE components'!P7*2/100</f>
        <v>0</v>
      </c>
      <c r="P19" s="457">
        <f>'A2-6 RSE components'!Q7*2/100</f>
        <v>0</v>
      </c>
      <c r="Q19" s="457">
        <f>'A2-6 RSE components'!R7*2/100</f>
        <v>0</v>
      </c>
      <c r="R19" s="457">
        <f t="shared" si="0"/>
        <v>8.8566944439243773</v>
      </c>
    </row>
    <row r="20" spans="1:20">
      <c r="A20" s="459" t="s">
        <v>109</v>
      </c>
      <c r="B20" s="455">
        <f>'A2-6 RSE components'!C12*2/100</f>
        <v>0</v>
      </c>
      <c r="C20" s="455">
        <f>'A2-6 RSE components'!D12*2/100</f>
        <v>0.53137453843019655</v>
      </c>
      <c r="D20" s="455">
        <f>'A2-6 RSE components'!E12*2/100</f>
        <v>8.0000000010000002E-2</v>
      </c>
      <c r="E20" s="455">
        <f>'A2-6 RSE components'!F12*2/100</f>
        <v>0</v>
      </c>
      <c r="F20" s="455">
        <f>'A2-6 RSE components'!G12*2/100</f>
        <v>0</v>
      </c>
      <c r="G20" s="455">
        <f>'A2-6 RSE components'!H12*2/100</f>
        <v>0.24240000001799999</v>
      </c>
      <c r="H20" s="455">
        <f>'A2-6 RSE components'!I12*2/100</f>
        <v>0</v>
      </c>
      <c r="I20" s="455">
        <f>'A2-6 RSE components'!J12*2/100</f>
        <v>0</v>
      </c>
      <c r="J20" s="455">
        <f>'A2-6 RSE components'!K12*2/100</f>
        <v>0</v>
      </c>
      <c r="K20" s="455">
        <f>'A2-6 RSE components'!L12*2/100</f>
        <v>0</v>
      </c>
      <c r="L20" s="455">
        <f>'A2-6 RSE components'!M12*2/100</f>
        <v>0</v>
      </c>
      <c r="M20" s="455">
        <f>'A2-6 RSE components'!N12*2/100</f>
        <v>0</v>
      </c>
      <c r="N20" s="455">
        <f>'A2-6 RSE components'!O12*2/100</f>
        <v>0</v>
      </c>
      <c r="O20" s="455">
        <f>'A2-6 RSE components'!P12*2/100</f>
        <v>0</v>
      </c>
      <c r="P20" s="455">
        <f>'A2-6 RSE components'!Q12*2/100</f>
        <v>0</v>
      </c>
      <c r="Q20" s="455">
        <f>'A2-6 RSE components'!R12*2/100</f>
        <v>0</v>
      </c>
      <c r="R20" s="455">
        <f t="shared" si="0"/>
        <v>0.85377453845819651</v>
      </c>
    </row>
    <row r="21" spans="1:20">
      <c r="A21" s="459" t="s">
        <v>110</v>
      </c>
      <c r="B21" s="455">
        <f>'A2-6 RSE components'!C11*2/100</f>
        <v>1.7852400000440003</v>
      </c>
      <c r="C21" s="455">
        <f>'A2-6 RSE components'!D11*2/100</f>
        <v>0.58084000015600001</v>
      </c>
      <c r="D21" s="455">
        <f>'A2-6 RSE components'!E11*2/100</f>
        <v>0</v>
      </c>
      <c r="E21" s="455">
        <f>'A2-6 RSE components'!F11*2/100</f>
        <v>0</v>
      </c>
      <c r="F21" s="455">
        <f>'A2-6 RSE components'!G11*2/100</f>
        <v>0</v>
      </c>
      <c r="G21" s="455">
        <f>'A2-6 RSE components'!H11*2/100</f>
        <v>0</v>
      </c>
      <c r="H21" s="455">
        <f>'A2-6 RSE components'!I11*2/100</f>
        <v>0.59652000006999994</v>
      </c>
      <c r="I21" s="455">
        <f>'A2-6 RSE components'!J11*2/100</f>
        <v>0</v>
      </c>
      <c r="J21" s="455">
        <f>'A2-6 RSE components'!K11*2/100</f>
        <v>0</v>
      </c>
      <c r="K21" s="455">
        <f>'A2-6 RSE components'!L11*2/100</f>
        <v>0</v>
      </c>
      <c r="L21" s="455">
        <f>'A2-6 RSE components'!M11*2/100</f>
        <v>0</v>
      </c>
      <c r="M21" s="455">
        <f>'A2-6 RSE components'!N11*2/100</f>
        <v>0</v>
      </c>
      <c r="N21" s="455">
        <f>'A2-6 RSE components'!O11*2/100</f>
        <v>0</v>
      </c>
      <c r="O21" s="455">
        <f>'A2-6 RSE components'!P11*2/100</f>
        <v>0</v>
      </c>
      <c r="P21" s="455">
        <f>'A2-6 RSE components'!Q11*2/100</f>
        <v>0</v>
      </c>
      <c r="Q21" s="455">
        <f>'A2-6 RSE components'!R11*2/100</f>
        <v>0</v>
      </c>
      <c r="R21" s="455">
        <f t="shared" si="0"/>
        <v>2.9626000002700001</v>
      </c>
    </row>
    <row r="22" spans="1:20">
      <c r="A22" s="459" t="s">
        <v>779</v>
      </c>
      <c r="B22" s="455">
        <f>'A2-6 RSE components'!C13*2/100</f>
        <v>0</v>
      </c>
      <c r="C22" s="455">
        <f>'A2-6 RSE components'!D13*2/100</f>
        <v>1.06295617724171</v>
      </c>
      <c r="D22" s="455">
        <f>'A2-6 RSE components'!E13*2/100</f>
        <v>0.59389014040423171</v>
      </c>
      <c r="E22" s="455">
        <f>'A2-6 RSE components'!F13*2/100</f>
        <v>0.13001803530246098</v>
      </c>
      <c r="F22" s="455">
        <f>'A2-6 RSE components'!G13*2/100</f>
        <v>0</v>
      </c>
      <c r="G22" s="455">
        <f>'A2-6 RSE components'!H13*2/100</f>
        <v>0</v>
      </c>
      <c r="H22" s="455">
        <f>'A2-6 RSE components'!I13*2/100</f>
        <v>0</v>
      </c>
      <c r="I22" s="455">
        <f>'A2-6 RSE components'!J13*2/100</f>
        <v>0</v>
      </c>
      <c r="J22" s="455">
        <f>'A2-6 RSE components'!K13*2/100</f>
        <v>0</v>
      </c>
      <c r="K22" s="455">
        <f>'A2-6 RSE components'!L13*2/100</f>
        <v>0</v>
      </c>
      <c r="L22" s="455">
        <f>'A2-6 RSE components'!M13*2/100</f>
        <v>0</v>
      </c>
      <c r="M22" s="455">
        <f>'A2-6 RSE components'!N13*2/100</f>
        <v>0</v>
      </c>
      <c r="N22" s="455">
        <f>'A2-6 RSE components'!O13*2/100</f>
        <v>0</v>
      </c>
      <c r="O22" s="455">
        <f>'A2-6 RSE components'!P13*2/100</f>
        <v>0</v>
      </c>
      <c r="P22" s="455">
        <f>'A2-6 RSE components'!Q13*2/100</f>
        <v>0</v>
      </c>
      <c r="Q22" s="455">
        <f>'A2-6 RSE components'!R13*2/100</f>
        <v>0</v>
      </c>
      <c r="R22" s="455">
        <f t="shared" ref="R22:R23" si="1">SUM(B22:Q22)</f>
        <v>1.7868643529484027</v>
      </c>
    </row>
    <row r="23" spans="1:20">
      <c r="A23" s="460" t="s">
        <v>777</v>
      </c>
      <c r="B23" s="457">
        <f>'A2-6 RSE components'!C8*2/100</f>
        <v>0</v>
      </c>
      <c r="C23" s="457">
        <f>'A2-6 RSE components'!D8*2/100</f>
        <v>0</v>
      </c>
      <c r="D23" s="457">
        <f>'A2-6 RSE components'!E8*2/100</f>
        <v>1.3174188531137165E-2</v>
      </c>
      <c r="E23" s="457">
        <f>'A2-6 RSE components'!F8*2/100</f>
        <v>0</v>
      </c>
      <c r="F23" s="457">
        <f>'A2-6 RSE components'!G8*2/100</f>
        <v>0</v>
      </c>
      <c r="G23" s="457">
        <f>'A2-6 RSE components'!H8*2/100</f>
        <v>0</v>
      </c>
      <c r="H23" s="457">
        <f>'A2-6 RSE components'!I8*2/100</f>
        <v>0</v>
      </c>
      <c r="I23" s="457">
        <f>'A2-6 RSE components'!J8*2/100</f>
        <v>0</v>
      </c>
      <c r="J23" s="457">
        <f>'A2-6 RSE components'!K8*2/100</f>
        <v>0</v>
      </c>
      <c r="K23" s="457">
        <f>'A2-6 RSE components'!L8*2/100</f>
        <v>0</v>
      </c>
      <c r="L23" s="457">
        <f>'A2-6 RSE components'!M8*2/100</f>
        <v>0.22481752728385579</v>
      </c>
      <c r="M23" s="457">
        <f>'A2-6 RSE components'!N8*2/100</f>
        <v>0</v>
      </c>
      <c r="N23" s="457">
        <f>'A2-6 RSE components'!O8*2/100</f>
        <v>0</v>
      </c>
      <c r="O23" s="457">
        <f>'A2-6 RSE components'!P8*2/100</f>
        <v>0</v>
      </c>
      <c r="P23" s="457">
        <f>'A2-6 RSE components'!Q8*2/100</f>
        <v>0</v>
      </c>
      <c r="Q23" s="457">
        <f>'A2-6 RSE components'!R8*2/100</f>
        <v>0</v>
      </c>
      <c r="R23" s="457">
        <f t="shared" si="1"/>
        <v>0.23799171581499295</v>
      </c>
    </row>
    <row r="24" spans="1:20">
      <c r="A24" s="452"/>
      <c r="B24" s="452"/>
      <c r="C24" s="452"/>
      <c r="D24" s="452"/>
      <c r="E24" s="452"/>
      <c r="F24" s="452"/>
      <c r="G24" s="452"/>
      <c r="H24" s="452"/>
      <c r="I24" s="452"/>
      <c r="J24" s="452"/>
      <c r="K24" s="452"/>
      <c r="L24" s="452"/>
      <c r="M24" s="452"/>
      <c r="N24" s="452"/>
      <c r="O24" s="452"/>
      <c r="P24" s="452"/>
      <c r="Q24" s="452"/>
      <c r="R24" s="452"/>
    </row>
    <row r="25" spans="1:20">
      <c r="A25" s="452"/>
      <c r="B25" s="452"/>
      <c r="C25" s="452"/>
      <c r="D25" s="452"/>
      <c r="E25" s="452"/>
      <c r="F25" s="452"/>
      <c r="G25" s="452"/>
      <c r="H25" s="452"/>
      <c r="I25" s="452"/>
      <c r="J25" s="452"/>
      <c r="K25" s="452"/>
      <c r="L25" s="452"/>
      <c r="M25" s="452"/>
      <c r="N25" s="452"/>
      <c r="O25" s="452"/>
      <c r="P25" s="452"/>
      <c r="Q25" s="452"/>
      <c r="R25" s="452"/>
    </row>
    <row r="26" spans="1:20" ht="26.4">
      <c r="A26" s="451"/>
      <c r="B26" s="453" t="s">
        <v>104</v>
      </c>
      <c r="C26" s="453" t="s">
        <v>86</v>
      </c>
      <c r="D26" s="453" t="s">
        <v>93</v>
      </c>
      <c r="E26" s="453" t="s">
        <v>102</v>
      </c>
      <c r="F26" s="453" t="s">
        <v>89</v>
      </c>
      <c r="G26" s="453" t="s">
        <v>87</v>
      </c>
      <c r="H26" s="453" t="s">
        <v>771</v>
      </c>
      <c r="I26" s="453" t="s">
        <v>91</v>
      </c>
      <c r="J26" s="453" t="s">
        <v>94</v>
      </c>
      <c r="K26" s="453" t="s">
        <v>95</v>
      </c>
      <c r="L26" s="453" t="s">
        <v>106</v>
      </c>
      <c r="M26" s="453" t="s">
        <v>772</v>
      </c>
      <c r="N26" s="453" t="s">
        <v>97</v>
      </c>
      <c r="O26" s="453" t="s">
        <v>96</v>
      </c>
      <c r="P26" s="453" t="s">
        <v>218</v>
      </c>
      <c r="Q26" s="453" t="s">
        <v>98</v>
      </c>
      <c r="R26" s="461" t="s">
        <v>513</v>
      </c>
    </row>
    <row r="27" spans="1:20">
      <c r="A27" s="593" t="s">
        <v>752</v>
      </c>
      <c r="B27" s="455">
        <f t="shared" ref="B27:Q28" si="2">($B$7*B12)</f>
        <v>0</v>
      </c>
      <c r="C27" s="455">
        <f t="shared" si="2"/>
        <v>0</v>
      </c>
      <c r="D27" s="455">
        <f t="shared" si="2"/>
        <v>42.533849129593811</v>
      </c>
      <c r="E27" s="455">
        <f t="shared" si="2"/>
        <v>115.85786784117651</v>
      </c>
      <c r="F27" s="455">
        <f t="shared" si="2"/>
        <v>0</v>
      </c>
      <c r="G27" s="455">
        <f>($B$7*G12)</f>
        <v>71.537969957737772</v>
      </c>
      <c r="H27" s="455">
        <f t="shared" si="2"/>
        <v>0</v>
      </c>
      <c r="I27" s="455">
        <f t="shared" si="2"/>
        <v>0</v>
      </c>
      <c r="J27" s="455">
        <f t="shared" si="2"/>
        <v>0</v>
      </c>
      <c r="K27" s="455">
        <f t="shared" si="2"/>
        <v>0</v>
      </c>
      <c r="L27" s="455">
        <f t="shared" si="2"/>
        <v>0</v>
      </c>
      <c r="M27" s="455">
        <f t="shared" si="2"/>
        <v>92.843326885880089</v>
      </c>
      <c r="N27" s="455">
        <f t="shared" si="2"/>
        <v>109.22478380446793</v>
      </c>
      <c r="O27" s="455">
        <f t="shared" si="2"/>
        <v>0</v>
      </c>
      <c r="P27" s="455">
        <f t="shared" si="2"/>
        <v>113.40497527651556</v>
      </c>
      <c r="Q27" s="455">
        <f t="shared" si="2"/>
        <v>11.02514506769826</v>
      </c>
      <c r="R27" s="455">
        <f>SUM(B27:Q27)</f>
        <v>556.42791796306994</v>
      </c>
    </row>
    <row r="28" spans="1:20" ht="28.8" customHeight="1">
      <c r="A28" s="593"/>
      <c r="B28" s="455">
        <f>($B$7*B13)</f>
        <v>9.0337765699310868</v>
      </c>
      <c r="C28" s="455">
        <f t="shared" si="2"/>
        <v>71.752466317995015</v>
      </c>
      <c r="D28" s="455">
        <f t="shared" si="2"/>
        <v>16.292238357536306</v>
      </c>
      <c r="E28" s="455">
        <f t="shared" si="2"/>
        <v>219.06335503254883</v>
      </c>
      <c r="F28" s="455">
        <f t="shared" si="2"/>
        <v>0</v>
      </c>
      <c r="G28" s="455">
        <f>($B$7*G13)</f>
        <v>368.85122884326489</v>
      </c>
      <c r="H28" s="455">
        <f t="shared" si="2"/>
        <v>0</v>
      </c>
      <c r="I28" s="455">
        <f t="shared" si="2"/>
        <v>0</v>
      </c>
      <c r="J28" s="455">
        <f t="shared" si="2"/>
        <v>7.3999999999999995</v>
      </c>
      <c r="K28" s="455">
        <f t="shared" si="2"/>
        <v>0</v>
      </c>
      <c r="L28" s="455">
        <f t="shared" si="2"/>
        <v>0</v>
      </c>
      <c r="M28" s="455">
        <f t="shared" si="2"/>
        <v>0</v>
      </c>
      <c r="N28" s="455">
        <f t="shared" si="2"/>
        <v>0</v>
      </c>
      <c r="O28" s="455">
        <f>($B$7*O13)</f>
        <v>3.3333333333333401</v>
      </c>
      <c r="P28" s="455">
        <f t="shared" si="2"/>
        <v>0</v>
      </c>
      <c r="Q28" s="455">
        <f t="shared" si="2"/>
        <v>0</v>
      </c>
      <c r="R28" s="455">
        <f>SUM(B28:Q28)</f>
        <v>695.72639845460947</v>
      </c>
    </row>
    <row r="29" spans="1:20">
      <c r="A29" s="593"/>
      <c r="B29" s="455">
        <f t="shared" ref="B29:Q29" si="3">($B$7*B14)</f>
        <v>0</v>
      </c>
      <c r="C29" s="455">
        <f t="shared" si="3"/>
        <v>0</v>
      </c>
      <c r="D29" s="455">
        <f t="shared" si="3"/>
        <v>1.3174188531137165</v>
      </c>
      <c r="E29" s="455">
        <f t="shared" si="3"/>
        <v>0</v>
      </c>
      <c r="F29" s="455">
        <f t="shared" si="3"/>
        <v>0</v>
      </c>
      <c r="G29" s="455">
        <f t="shared" si="3"/>
        <v>0</v>
      </c>
      <c r="H29" s="455">
        <f t="shared" si="3"/>
        <v>0</v>
      </c>
      <c r="I29" s="455">
        <f t="shared" si="3"/>
        <v>0</v>
      </c>
      <c r="J29" s="455">
        <f t="shared" si="3"/>
        <v>0</v>
      </c>
      <c r="K29" s="455">
        <f t="shared" si="3"/>
        <v>0</v>
      </c>
      <c r="L29" s="455">
        <f t="shared" si="3"/>
        <v>22.48175272838558</v>
      </c>
      <c r="M29" s="455">
        <f t="shared" si="3"/>
        <v>0</v>
      </c>
      <c r="N29" s="455">
        <f t="shared" si="3"/>
        <v>0</v>
      </c>
      <c r="O29" s="455">
        <f t="shared" si="3"/>
        <v>0</v>
      </c>
      <c r="P29" s="455">
        <f t="shared" si="3"/>
        <v>0</v>
      </c>
      <c r="Q29" s="455">
        <f t="shared" si="3"/>
        <v>0</v>
      </c>
      <c r="R29" s="455">
        <f t="shared" ref="R29:R38" si="4">SUM(B29:Q29)</f>
        <v>23.799171581499294</v>
      </c>
    </row>
    <row r="30" spans="1:20">
      <c r="A30" s="593"/>
      <c r="B30" s="455">
        <f t="shared" ref="B30:Q34" si="5">B15*$B$8</f>
        <v>0</v>
      </c>
      <c r="C30" s="455">
        <f>C15*$B$8</f>
        <v>141.12181202254001</v>
      </c>
      <c r="D30" s="455">
        <f t="shared" si="5"/>
        <v>237.52764922912002</v>
      </c>
      <c r="E30" s="455">
        <f t="shared" si="5"/>
        <v>23.031606186520001</v>
      </c>
      <c r="F30" s="455">
        <f t="shared" si="5"/>
        <v>0</v>
      </c>
      <c r="G30" s="455">
        <f>G15*$B$8</f>
        <v>36.925259995460003</v>
      </c>
      <c r="H30" s="455">
        <f t="shared" si="5"/>
        <v>0</v>
      </c>
      <c r="I30" s="455">
        <f>I15*$B$8</f>
        <v>23.586803247799999</v>
      </c>
      <c r="J30" s="455">
        <f t="shared" si="5"/>
        <v>10.580178891400001</v>
      </c>
      <c r="K30" s="455">
        <f t="shared" si="5"/>
        <v>0</v>
      </c>
      <c r="L30" s="455">
        <f t="shared" si="5"/>
        <v>0</v>
      </c>
      <c r="M30" s="455">
        <f t="shared" si="5"/>
        <v>0</v>
      </c>
      <c r="N30" s="455">
        <f t="shared" si="5"/>
        <v>0</v>
      </c>
      <c r="O30" s="455">
        <f t="shared" si="5"/>
        <v>0</v>
      </c>
      <c r="P30" s="455">
        <f t="shared" si="5"/>
        <v>0</v>
      </c>
      <c r="Q30" s="455">
        <f t="shared" si="5"/>
        <v>0</v>
      </c>
      <c r="R30" s="455">
        <f>SUM(B30:Q30)</f>
        <v>472.77330957283999</v>
      </c>
    </row>
    <row r="31" spans="1:20">
      <c r="A31" s="593"/>
      <c r="B31" s="455">
        <f t="shared" si="5"/>
        <v>0</v>
      </c>
      <c r="C31" s="455">
        <f t="shared" si="5"/>
        <v>93.899784912680801</v>
      </c>
      <c r="D31" s="455">
        <f t="shared" si="5"/>
        <v>0</v>
      </c>
      <c r="E31" s="455">
        <f t="shared" si="5"/>
        <v>0</v>
      </c>
      <c r="F31" s="455">
        <f t="shared" si="5"/>
        <v>0</v>
      </c>
      <c r="G31" s="455">
        <f t="shared" si="5"/>
        <v>0</v>
      </c>
      <c r="H31" s="455">
        <f t="shared" si="5"/>
        <v>0</v>
      </c>
      <c r="I31" s="455">
        <f t="shared" si="5"/>
        <v>0</v>
      </c>
      <c r="J31" s="455">
        <f t="shared" si="5"/>
        <v>36.210526315989398</v>
      </c>
      <c r="K31" s="455">
        <f>K16*$B$8</f>
        <v>16.656842105463159</v>
      </c>
      <c r="L31" s="455">
        <f t="shared" si="5"/>
        <v>0</v>
      </c>
      <c r="M31" s="455">
        <f t="shared" si="5"/>
        <v>0</v>
      </c>
      <c r="N31" s="455">
        <f t="shared" si="5"/>
        <v>0</v>
      </c>
      <c r="O31" s="455">
        <f t="shared" si="5"/>
        <v>0</v>
      </c>
      <c r="P31" s="455">
        <f t="shared" si="5"/>
        <v>0</v>
      </c>
      <c r="Q31" s="455">
        <f t="shared" si="5"/>
        <v>0</v>
      </c>
      <c r="R31" s="455">
        <f>SUM(B31:Q31)</f>
        <v>146.76715333413335</v>
      </c>
    </row>
    <row r="32" spans="1:20">
      <c r="A32" s="593"/>
      <c r="B32" s="455">
        <f t="shared" si="5"/>
        <v>36.324329149526122</v>
      </c>
      <c r="C32" s="455">
        <f t="shared" si="5"/>
        <v>21.189192003973574</v>
      </c>
      <c r="D32" s="455">
        <f t="shared" si="5"/>
        <v>0</v>
      </c>
      <c r="E32" s="455">
        <f t="shared" si="5"/>
        <v>0</v>
      </c>
      <c r="F32" s="455">
        <f t="shared" si="5"/>
        <v>0</v>
      </c>
      <c r="G32" s="455">
        <f t="shared" si="5"/>
        <v>0</v>
      </c>
      <c r="H32" s="455">
        <f t="shared" si="5"/>
        <v>0</v>
      </c>
      <c r="I32" s="455">
        <f t="shared" si="5"/>
        <v>0</v>
      </c>
      <c r="J32" s="455">
        <f t="shared" si="5"/>
        <v>0</v>
      </c>
      <c r="K32" s="455">
        <f t="shared" si="5"/>
        <v>0</v>
      </c>
      <c r="L32" s="455">
        <f t="shared" si="5"/>
        <v>0</v>
      </c>
      <c r="M32" s="455">
        <f t="shared" si="5"/>
        <v>0</v>
      </c>
      <c r="N32" s="455">
        <f t="shared" si="5"/>
        <v>0</v>
      </c>
      <c r="O32" s="455">
        <f t="shared" si="5"/>
        <v>0</v>
      </c>
      <c r="P32" s="455">
        <f t="shared" si="5"/>
        <v>0</v>
      </c>
      <c r="Q32" s="455">
        <f t="shared" si="5"/>
        <v>0</v>
      </c>
      <c r="R32" s="455">
        <f>SUM(B32:Q32)</f>
        <v>57.513521153499696</v>
      </c>
    </row>
    <row r="33" spans="1:20">
      <c r="A33" s="593"/>
      <c r="B33" s="455">
        <f t="shared" si="5"/>
        <v>0</v>
      </c>
      <c r="C33" s="455">
        <f>C18*$B$8</f>
        <v>344.91163814819998</v>
      </c>
      <c r="D33" s="455">
        <f t="shared" si="5"/>
        <v>11.7752579262</v>
      </c>
      <c r="E33" s="455">
        <f t="shared" si="5"/>
        <v>8.1828063558000004</v>
      </c>
      <c r="F33" s="455">
        <f t="shared" si="5"/>
        <v>0</v>
      </c>
      <c r="G33" s="455">
        <f t="shared" si="5"/>
        <v>0</v>
      </c>
      <c r="H33" s="455">
        <f t="shared" si="5"/>
        <v>0</v>
      </c>
      <c r="I33" s="455">
        <f t="shared" si="5"/>
        <v>0</v>
      </c>
      <c r="J33" s="455">
        <f t="shared" si="5"/>
        <v>0</v>
      </c>
      <c r="K33" s="455">
        <f t="shared" si="5"/>
        <v>0</v>
      </c>
      <c r="L33" s="455">
        <f t="shared" si="5"/>
        <v>0</v>
      </c>
      <c r="M33" s="455">
        <f t="shared" si="5"/>
        <v>0</v>
      </c>
      <c r="N33" s="455">
        <f t="shared" si="5"/>
        <v>0</v>
      </c>
      <c r="O33" s="455">
        <f t="shared" si="5"/>
        <v>0</v>
      </c>
      <c r="P33" s="455">
        <f t="shared" si="5"/>
        <v>0</v>
      </c>
      <c r="Q33" s="455">
        <f t="shared" si="5"/>
        <v>0</v>
      </c>
      <c r="R33" s="455">
        <f t="shared" si="4"/>
        <v>364.86970243019999</v>
      </c>
    </row>
    <row r="34" spans="1:20">
      <c r="A34" s="593"/>
      <c r="B34" s="455">
        <f t="shared" si="5"/>
        <v>0</v>
      </c>
      <c r="C34" s="455">
        <f t="shared" si="5"/>
        <v>778.00001052245784</v>
      </c>
      <c r="D34" s="455">
        <f t="shared" si="5"/>
        <v>50.000000001199993</v>
      </c>
      <c r="E34" s="455">
        <f t="shared" si="5"/>
        <v>0</v>
      </c>
      <c r="F34" s="455">
        <f t="shared" si="5"/>
        <v>57.669433868780004</v>
      </c>
      <c r="G34" s="455">
        <f t="shared" si="5"/>
        <v>0</v>
      </c>
      <c r="H34" s="455">
        <f t="shared" si="5"/>
        <v>0</v>
      </c>
      <c r="I34" s="455">
        <f t="shared" si="5"/>
        <v>0</v>
      </c>
      <c r="J34" s="455">
        <f t="shared" si="5"/>
        <v>0</v>
      </c>
      <c r="K34" s="455">
        <f t="shared" si="5"/>
        <v>0</v>
      </c>
      <c r="L34" s="455">
        <f t="shared" si="5"/>
        <v>0</v>
      </c>
      <c r="M34" s="455">
        <f t="shared" si="5"/>
        <v>0</v>
      </c>
      <c r="N34" s="455">
        <f t="shared" si="5"/>
        <v>0</v>
      </c>
      <c r="O34" s="455">
        <f t="shared" si="5"/>
        <v>0</v>
      </c>
      <c r="P34" s="455">
        <f t="shared" si="5"/>
        <v>0</v>
      </c>
      <c r="Q34" s="455">
        <f t="shared" si="5"/>
        <v>0</v>
      </c>
      <c r="R34" s="455">
        <f t="shared" si="4"/>
        <v>885.66944439243775</v>
      </c>
    </row>
    <row r="35" spans="1:20">
      <c r="A35" s="593"/>
      <c r="B35" s="455">
        <f t="shared" ref="B35:Q36" si="6">($B$6*B20)</f>
        <v>0</v>
      </c>
      <c r="C35" s="455">
        <f t="shared" si="6"/>
        <v>0</v>
      </c>
      <c r="D35" s="455">
        <f t="shared" si="6"/>
        <v>0</v>
      </c>
      <c r="E35" s="455">
        <f t="shared" si="6"/>
        <v>0</v>
      </c>
      <c r="F35" s="455">
        <f t="shared" si="6"/>
        <v>0</v>
      </c>
      <c r="G35" s="455">
        <f>($B$6*G20)</f>
        <v>0</v>
      </c>
      <c r="H35" s="455">
        <f t="shared" si="6"/>
        <v>0</v>
      </c>
      <c r="I35" s="455">
        <f t="shared" si="6"/>
        <v>0</v>
      </c>
      <c r="J35" s="455">
        <f t="shared" si="6"/>
        <v>0</v>
      </c>
      <c r="K35" s="455">
        <f t="shared" si="6"/>
        <v>0</v>
      </c>
      <c r="L35" s="455">
        <f t="shared" si="6"/>
        <v>0</v>
      </c>
      <c r="M35" s="455">
        <f t="shared" si="6"/>
        <v>0</v>
      </c>
      <c r="N35" s="455">
        <f t="shared" si="6"/>
        <v>0</v>
      </c>
      <c r="O35" s="455">
        <f t="shared" si="6"/>
        <v>0</v>
      </c>
      <c r="P35" s="455">
        <f t="shared" si="6"/>
        <v>0</v>
      </c>
      <c r="Q35" s="455">
        <f t="shared" si="6"/>
        <v>0</v>
      </c>
      <c r="R35" s="455">
        <f t="shared" si="4"/>
        <v>0</v>
      </c>
    </row>
    <row r="36" spans="1:20">
      <c r="A36" s="593"/>
      <c r="B36" s="455">
        <f>($B$6*B21)</f>
        <v>0</v>
      </c>
      <c r="C36" s="455">
        <f t="shared" si="6"/>
        <v>0</v>
      </c>
      <c r="D36" s="455">
        <f t="shared" si="6"/>
        <v>0</v>
      </c>
      <c r="E36" s="455">
        <f t="shared" si="6"/>
        <v>0</v>
      </c>
      <c r="F36" s="455">
        <f t="shared" si="6"/>
        <v>0</v>
      </c>
      <c r="G36" s="455">
        <f>($B$6*G21)</f>
        <v>0</v>
      </c>
      <c r="H36" s="455">
        <f t="shared" si="6"/>
        <v>0</v>
      </c>
      <c r="I36" s="455">
        <f t="shared" si="6"/>
        <v>0</v>
      </c>
      <c r="J36" s="455">
        <f t="shared" si="6"/>
        <v>0</v>
      </c>
      <c r="K36" s="455">
        <f t="shared" si="6"/>
        <v>0</v>
      </c>
      <c r="L36" s="455">
        <f t="shared" si="6"/>
        <v>0</v>
      </c>
      <c r="M36" s="455">
        <f t="shared" si="6"/>
        <v>0</v>
      </c>
      <c r="N36" s="455">
        <f t="shared" si="6"/>
        <v>0</v>
      </c>
      <c r="O36" s="455">
        <f t="shared" si="6"/>
        <v>0</v>
      </c>
      <c r="P36" s="455">
        <f t="shared" si="6"/>
        <v>0</v>
      </c>
      <c r="Q36" s="455">
        <f t="shared" si="6"/>
        <v>0</v>
      </c>
      <c r="R36" s="455">
        <f t="shared" si="4"/>
        <v>0</v>
      </c>
    </row>
    <row r="37" spans="1:20">
      <c r="A37" s="593"/>
      <c r="B37" s="455">
        <f t="shared" ref="B37:Q38" si="7">($B$6*B22)</f>
        <v>0</v>
      </c>
      <c r="C37" s="455">
        <f t="shared" si="7"/>
        <v>0</v>
      </c>
      <c r="D37" s="455">
        <f t="shared" si="7"/>
        <v>0</v>
      </c>
      <c r="E37" s="455">
        <f t="shared" si="7"/>
        <v>0</v>
      </c>
      <c r="F37" s="455">
        <f t="shared" si="7"/>
        <v>0</v>
      </c>
      <c r="G37" s="455">
        <f t="shared" si="7"/>
        <v>0</v>
      </c>
      <c r="H37" s="455">
        <f t="shared" si="7"/>
        <v>0</v>
      </c>
      <c r="I37" s="455">
        <f t="shared" si="7"/>
        <v>0</v>
      </c>
      <c r="J37" s="455">
        <f t="shared" si="7"/>
        <v>0</v>
      </c>
      <c r="K37" s="455">
        <f t="shared" si="7"/>
        <v>0</v>
      </c>
      <c r="L37" s="455">
        <f t="shared" si="7"/>
        <v>0</v>
      </c>
      <c r="M37" s="455">
        <f t="shared" si="7"/>
        <v>0</v>
      </c>
      <c r="N37" s="455">
        <f t="shared" si="7"/>
        <v>0</v>
      </c>
      <c r="O37" s="455">
        <f t="shared" si="7"/>
        <v>0</v>
      </c>
      <c r="P37" s="455">
        <f t="shared" si="7"/>
        <v>0</v>
      </c>
      <c r="Q37" s="455">
        <f t="shared" si="7"/>
        <v>0</v>
      </c>
      <c r="R37" s="455">
        <f t="shared" si="4"/>
        <v>0</v>
      </c>
    </row>
    <row r="38" spans="1:20">
      <c r="A38" s="593"/>
      <c r="B38" s="455">
        <f>($B$6*B23)</f>
        <v>0</v>
      </c>
      <c r="C38" s="455">
        <f>($B$6*C23)</f>
        <v>0</v>
      </c>
      <c r="D38" s="455">
        <f t="shared" si="7"/>
        <v>0</v>
      </c>
      <c r="E38" s="455">
        <f t="shared" si="7"/>
        <v>0</v>
      </c>
      <c r="F38" s="455">
        <f t="shared" si="7"/>
        <v>0</v>
      </c>
      <c r="G38" s="455">
        <f>($B$6*G23)</f>
        <v>0</v>
      </c>
      <c r="H38" s="455">
        <f t="shared" si="7"/>
        <v>0</v>
      </c>
      <c r="I38" s="455">
        <f t="shared" si="7"/>
        <v>0</v>
      </c>
      <c r="J38" s="455">
        <f t="shared" si="7"/>
        <v>0</v>
      </c>
      <c r="K38" s="455">
        <f t="shared" si="7"/>
        <v>0</v>
      </c>
      <c r="L38" s="455">
        <f t="shared" si="7"/>
        <v>0</v>
      </c>
      <c r="M38" s="455">
        <f t="shared" si="7"/>
        <v>0</v>
      </c>
      <c r="N38" s="455">
        <f t="shared" si="7"/>
        <v>0</v>
      </c>
      <c r="O38" s="455">
        <f t="shared" si="7"/>
        <v>0</v>
      </c>
      <c r="P38" s="455">
        <f t="shared" si="7"/>
        <v>0</v>
      </c>
      <c r="Q38" s="455">
        <f t="shared" si="7"/>
        <v>0</v>
      </c>
      <c r="R38" s="455">
        <f t="shared" si="4"/>
        <v>0</v>
      </c>
    </row>
    <row r="39" spans="1:20">
      <c r="A39" s="462"/>
      <c r="B39" s="464">
        <f>SUM(B27:B38)</f>
        <v>45.358105719457207</v>
      </c>
      <c r="C39" s="464">
        <f>SUM(C27:C38)</f>
        <v>1450.8749039278473</v>
      </c>
      <c r="D39" s="464">
        <f t="shared" ref="D39:Q39" si="8">SUM(D27:D38)</f>
        <v>359.44641349676385</v>
      </c>
      <c r="E39" s="464">
        <f t="shared" si="8"/>
        <v>366.13563541604532</v>
      </c>
      <c r="F39" s="464">
        <f t="shared" si="8"/>
        <v>57.669433868780004</v>
      </c>
      <c r="G39" s="464">
        <f t="shared" si="8"/>
        <v>477.31445879646265</v>
      </c>
      <c r="H39" s="464">
        <f t="shared" si="8"/>
        <v>0</v>
      </c>
      <c r="I39" s="464">
        <f t="shared" si="8"/>
        <v>23.586803247799999</v>
      </c>
      <c r="J39" s="464">
        <f t="shared" si="8"/>
        <v>54.190705207389399</v>
      </c>
      <c r="K39" s="464">
        <f t="shared" si="8"/>
        <v>16.656842105463159</v>
      </c>
      <c r="L39" s="464">
        <f>SUM(L27:L38)</f>
        <v>22.48175272838558</v>
      </c>
      <c r="M39" s="464">
        <f t="shared" si="8"/>
        <v>92.843326885880089</v>
      </c>
      <c r="N39" s="464">
        <f t="shared" si="8"/>
        <v>109.22478380446793</v>
      </c>
      <c r="O39" s="464">
        <f t="shared" si="8"/>
        <v>3.3333333333333401</v>
      </c>
      <c r="P39" s="464">
        <f t="shared" si="8"/>
        <v>113.40497527651556</v>
      </c>
      <c r="Q39" s="464">
        <f t="shared" si="8"/>
        <v>11.02514506769826</v>
      </c>
      <c r="R39" s="465">
        <f>SUM(R27:R38)</f>
        <v>3203.5466188822893</v>
      </c>
      <c r="S39" s="466"/>
      <c r="T39" s="466"/>
    </row>
    <row r="40" spans="1:20">
      <c r="A40" s="462" t="s">
        <v>547</v>
      </c>
      <c r="B40" s="464">
        <f>SUM(B27:B38)</f>
        <v>45.358105719457207</v>
      </c>
      <c r="C40" s="464">
        <f>SUM(C27:C38)</f>
        <v>1450.8749039278473</v>
      </c>
      <c r="D40" s="464">
        <f t="shared" ref="D40:Q40" si="9">SUM(D27:D38)</f>
        <v>359.44641349676385</v>
      </c>
      <c r="E40" s="464">
        <f t="shared" si="9"/>
        <v>366.13563541604532</v>
      </c>
      <c r="F40" s="464">
        <f t="shared" si="9"/>
        <v>57.669433868780004</v>
      </c>
      <c r="G40" s="464">
        <f t="shared" si="9"/>
        <v>477.31445879646265</v>
      </c>
      <c r="H40" s="464">
        <f t="shared" si="9"/>
        <v>0</v>
      </c>
      <c r="I40" s="464">
        <f t="shared" si="9"/>
        <v>23.586803247799999</v>
      </c>
      <c r="J40" s="464">
        <f t="shared" si="9"/>
        <v>54.190705207389399</v>
      </c>
      <c r="K40" s="464">
        <f t="shared" si="9"/>
        <v>16.656842105463159</v>
      </c>
      <c r="L40" s="464">
        <f t="shared" si="9"/>
        <v>22.48175272838558</v>
      </c>
      <c r="M40" s="464">
        <f t="shared" si="9"/>
        <v>92.843326885880089</v>
      </c>
      <c r="N40" s="464">
        <f t="shared" si="9"/>
        <v>109.22478380446793</v>
      </c>
      <c r="O40" s="464">
        <f t="shared" si="9"/>
        <v>3.3333333333333401</v>
      </c>
      <c r="P40" s="464">
        <f t="shared" si="9"/>
        <v>113.40497527651556</v>
      </c>
      <c r="Q40" s="464">
        <f t="shared" si="9"/>
        <v>11.02514506769826</v>
      </c>
      <c r="R40" s="464">
        <f>SUM(B40:Q40)</f>
        <v>3203.5466188822897</v>
      </c>
    </row>
    <row r="41" spans="1:20">
      <c r="A41" s="462" t="s">
        <v>555</v>
      </c>
      <c r="B41" s="464">
        <f>B40/$R$40</f>
        <v>1.4158715672220356E-2</v>
      </c>
      <c r="C41" s="464">
        <f t="shared" ref="C41:Q41" si="10">C40/$R$40</f>
        <v>0.45289645400386097</v>
      </c>
      <c r="D41" s="464">
        <f t="shared" si="10"/>
        <v>0.11220264795839741</v>
      </c>
      <c r="E41" s="464">
        <f t="shared" si="10"/>
        <v>0.11429071556442316</v>
      </c>
      <c r="F41" s="464">
        <f t="shared" si="10"/>
        <v>1.8001746417194559E-2</v>
      </c>
      <c r="G41" s="464">
        <f t="shared" si="10"/>
        <v>0.14899563377135949</v>
      </c>
      <c r="H41" s="464">
        <f t="shared" si="10"/>
        <v>0</v>
      </c>
      <c r="I41" s="464">
        <f t="shared" si="10"/>
        <v>7.3627157815575606E-3</v>
      </c>
      <c r="J41" s="464">
        <f t="shared" si="10"/>
        <v>1.6915847232557651E-2</v>
      </c>
      <c r="K41" s="464">
        <f t="shared" si="10"/>
        <v>5.1995004559274045E-3</v>
      </c>
      <c r="L41" s="464">
        <f t="shared" si="10"/>
        <v>7.0177698042144972E-3</v>
      </c>
      <c r="M41" s="464">
        <f t="shared" si="10"/>
        <v>2.8981419011867827E-2</v>
      </c>
      <c r="N41" s="464">
        <f t="shared" si="10"/>
        <v>3.4094956870824693E-2</v>
      </c>
      <c r="O41" s="464">
        <f t="shared" si="10"/>
        <v>1.0405134464677567E-3</v>
      </c>
      <c r="P41" s="464">
        <f t="shared" si="10"/>
        <v>3.5399820501467311E-2</v>
      </c>
      <c r="Q41" s="464">
        <f t="shared" si="10"/>
        <v>3.4415435076593044E-3</v>
      </c>
      <c r="R41" s="464">
        <f>SUM(B41:Q41)</f>
        <v>0.99999999999999989</v>
      </c>
    </row>
    <row r="42" spans="1:20">
      <c r="A42" s="462" t="s">
        <v>548</v>
      </c>
      <c r="B42" s="464">
        <f>($R40/$E$7)</f>
        <v>1.0000000000000002</v>
      </c>
      <c r="C42" s="464">
        <f t="shared" ref="C42:Q42" si="11">($R40/$E$7)</f>
        <v>1.0000000000000002</v>
      </c>
      <c r="D42" s="464">
        <f t="shared" si="11"/>
        <v>1.0000000000000002</v>
      </c>
      <c r="E42" s="464">
        <f t="shared" si="11"/>
        <v>1.0000000000000002</v>
      </c>
      <c r="F42" s="464">
        <f t="shared" si="11"/>
        <v>1.0000000000000002</v>
      </c>
      <c r="G42" s="464">
        <f t="shared" si="11"/>
        <v>1.0000000000000002</v>
      </c>
      <c r="H42" s="464">
        <f t="shared" si="11"/>
        <v>1.0000000000000002</v>
      </c>
      <c r="I42" s="464">
        <f t="shared" si="11"/>
        <v>1.0000000000000002</v>
      </c>
      <c r="J42" s="464">
        <f t="shared" si="11"/>
        <v>1.0000000000000002</v>
      </c>
      <c r="K42" s="464">
        <f t="shared" si="11"/>
        <v>1.0000000000000002</v>
      </c>
      <c r="L42" s="464">
        <f t="shared" si="11"/>
        <v>1.0000000000000002</v>
      </c>
      <c r="M42" s="464">
        <f t="shared" si="11"/>
        <v>1.0000000000000002</v>
      </c>
      <c r="N42" s="464">
        <f t="shared" si="11"/>
        <v>1.0000000000000002</v>
      </c>
      <c r="O42" s="464">
        <f t="shared" si="11"/>
        <v>1.0000000000000002</v>
      </c>
      <c r="P42" s="464">
        <f t="shared" si="11"/>
        <v>1.0000000000000002</v>
      </c>
      <c r="Q42" s="464">
        <f t="shared" si="11"/>
        <v>1.0000000000000002</v>
      </c>
      <c r="R42" s="464"/>
    </row>
    <row r="43" spans="1:20">
      <c r="A43" s="462" t="s">
        <v>549</v>
      </c>
      <c r="B43" s="463">
        <f t="shared" ref="B43:Q43" si="12">IF(B41&gt;0,B41*LOG(B41,2)*B42,0)</f>
        <v>-8.6965178952059435E-2</v>
      </c>
      <c r="C43" s="463">
        <f t="shared" si="12"/>
        <v>-0.51754599672080004</v>
      </c>
      <c r="D43" s="463">
        <f t="shared" si="12"/>
        <v>-0.35409151433747232</v>
      </c>
      <c r="E43" s="463">
        <f t="shared" si="12"/>
        <v>-0.35764077973237263</v>
      </c>
      <c r="F43" s="463">
        <f t="shared" si="12"/>
        <v>-0.10433306941661623</v>
      </c>
      <c r="G43" s="463">
        <f t="shared" si="12"/>
        <v>-0.40924005555748755</v>
      </c>
      <c r="H43" s="463">
        <f t="shared" si="12"/>
        <v>0</v>
      </c>
      <c r="I43" s="463">
        <f t="shared" si="12"/>
        <v>-5.2168863369270964E-2</v>
      </c>
      <c r="J43" s="463">
        <f t="shared" si="12"/>
        <v>-9.9557893312165566E-2</v>
      </c>
      <c r="K43" s="463">
        <f t="shared" si="12"/>
        <v>-3.9450748317376473E-2</v>
      </c>
      <c r="L43" s="463">
        <f t="shared" si="12"/>
        <v>-5.0210540506001385E-2</v>
      </c>
      <c r="M43" s="463">
        <f t="shared" si="12"/>
        <v>-0.14805818547395083</v>
      </c>
      <c r="N43" s="463">
        <f t="shared" si="12"/>
        <v>-0.1661889742848319</v>
      </c>
      <c r="O43" s="463">
        <f t="shared" si="12"/>
        <v>-1.0309915701178682E-2</v>
      </c>
      <c r="P43" s="463">
        <f t="shared" si="12"/>
        <v>-0.17063117552199558</v>
      </c>
      <c r="Q43" s="463">
        <f t="shared" si="12"/>
        <v>-2.8161216268640422E-2</v>
      </c>
      <c r="R43" s="473">
        <f>SUM(B43:Q43)</f>
        <v>-2.59455410747222</v>
      </c>
    </row>
    <row r="44" spans="1:20">
      <c r="A44" s="462" t="s">
        <v>556</v>
      </c>
      <c r="B44" s="464">
        <f t="shared" ref="B44:Q44" si="13">B43/$E$6</f>
        <v>3.351835242194523E-2</v>
      </c>
      <c r="C44" s="464">
        <f t="shared" si="13"/>
        <v>0.19947396557670033</v>
      </c>
      <c r="D44" s="464">
        <f t="shared" si="13"/>
        <v>0.13647490076144561</v>
      </c>
      <c r="E44" s="464">
        <f t="shared" si="13"/>
        <v>0.13784286814538976</v>
      </c>
      <c r="F44" s="464">
        <f t="shared" si="13"/>
        <v>4.0212331327429574E-2</v>
      </c>
      <c r="G44" s="464">
        <f t="shared" si="13"/>
        <v>0.15773039936954536</v>
      </c>
      <c r="H44" s="464">
        <f t="shared" si="13"/>
        <v>0</v>
      </c>
      <c r="I44" s="464">
        <f t="shared" si="13"/>
        <v>2.0107063182466137E-2</v>
      </c>
      <c r="J44" s="464">
        <f t="shared" si="13"/>
        <v>3.8371870151191881E-2</v>
      </c>
      <c r="K44" s="464">
        <f t="shared" si="13"/>
        <v>1.5205213182396071E-2</v>
      </c>
      <c r="L44" s="464">
        <f t="shared" si="13"/>
        <v>1.9352281134317792E-2</v>
      </c>
      <c r="M44" s="464">
        <f t="shared" si="13"/>
        <v>5.7064982783572991E-2</v>
      </c>
      <c r="N44" s="464">
        <f t="shared" si="13"/>
        <v>6.4053000014998251E-2</v>
      </c>
      <c r="O44" s="464">
        <f t="shared" si="13"/>
        <v>3.9736753500289341E-3</v>
      </c>
      <c r="P44" s="464">
        <f t="shared" si="13"/>
        <v>6.5765125125193613E-2</v>
      </c>
      <c r="Q44" s="464">
        <f t="shared" si="13"/>
        <v>1.0853971473378474E-2</v>
      </c>
      <c r="R44" s="464">
        <f>R43/$E$6</f>
        <v>1</v>
      </c>
    </row>
    <row r="47" spans="1:20">
      <c r="B47" s="66"/>
      <c r="C47" s="66"/>
      <c r="D47" s="66"/>
      <c r="E47" s="66"/>
      <c r="F47" s="66"/>
      <c r="G47" s="66"/>
      <c r="H47" s="66"/>
      <c r="I47" s="66"/>
      <c r="J47" s="66"/>
      <c r="K47" s="66"/>
      <c r="L47" s="66"/>
      <c r="M47" s="66"/>
      <c r="N47" s="66"/>
      <c r="O47" s="66"/>
      <c r="P47" s="66"/>
      <c r="Q47" s="66"/>
    </row>
  </sheetData>
  <mergeCells count="2">
    <mergeCell ref="A27:A38"/>
    <mergeCell ref="A1:E4"/>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D99E-9A3F-4E9B-BACE-828417344C5D}">
  <dimension ref="A1:AH272"/>
  <sheetViews>
    <sheetView showGridLines="0" tabSelected="1" topLeftCell="A23" zoomScale="85" zoomScaleNormal="85" workbookViewId="0">
      <selection activeCell="V35" sqref="V35"/>
    </sheetView>
  </sheetViews>
  <sheetFormatPr defaultRowHeight="14.4"/>
  <cols>
    <col min="1" max="1" width="17.88671875" customWidth="1"/>
    <col min="2" max="2" width="31" customWidth="1"/>
    <col min="3" max="7" width="9.44140625" customWidth="1"/>
    <col min="8" max="8" width="10.33203125" customWidth="1"/>
    <col min="9" max="13" width="9.44140625" customWidth="1"/>
    <col min="14" max="14" width="10.77734375" customWidth="1"/>
    <col min="15" max="18" width="9.44140625" customWidth="1"/>
    <col min="19" max="19" width="15.109375" customWidth="1"/>
    <col min="20" max="20" width="11.5546875" customWidth="1"/>
    <col min="22" max="22" width="13.21875" customWidth="1"/>
    <col min="23" max="23" width="9.77734375" bestFit="1" customWidth="1"/>
  </cols>
  <sheetData>
    <row r="1" spans="1:32" ht="15.6">
      <c r="A1" s="422" t="s">
        <v>751</v>
      </c>
      <c r="B1" s="66"/>
      <c r="C1" s="402"/>
      <c r="D1" s="360"/>
      <c r="E1" s="402"/>
      <c r="F1" s="402"/>
      <c r="G1" s="402"/>
      <c r="H1" s="402"/>
      <c r="I1" s="402"/>
      <c r="J1" s="402"/>
      <c r="K1" s="402"/>
      <c r="L1" s="401"/>
      <c r="M1" s="401"/>
      <c r="N1" s="401"/>
      <c r="O1" s="79"/>
      <c r="P1" s="79"/>
      <c r="Q1" s="79"/>
      <c r="R1" s="401"/>
      <c r="S1" s="60"/>
    </row>
    <row r="2" spans="1:32" ht="26.4">
      <c r="A2" s="405"/>
      <c r="B2" s="406" t="s">
        <v>773</v>
      </c>
      <c r="C2" s="406" t="s">
        <v>104</v>
      </c>
      <c r="D2" s="406" t="s">
        <v>86</v>
      </c>
      <c r="E2" s="406" t="s">
        <v>93</v>
      </c>
      <c r="F2" s="406" t="s">
        <v>102</v>
      </c>
      <c r="G2" s="406" t="s">
        <v>89</v>
      </c>
      <c r="H2" s="406" t="s">
        <v>87</v>
      </c>
      <c r="I2" s="406" t="s">
        <v>771</v>
      </c>
      <c r="J2" s="406" t="s">
        <v>91</v>
      </c>
      <c r="K2" s="406" t="s">
        <v>94</v>
      </c>
      <c r="L2" s="406" t="s">
        <v>95</v>
      </c>
      <c r="M2" s="406" t="s">
        <v>106</v>
      </c>
      <c r="N2" s="406" t="s">
        <v>772</v>
      </c>
      <c r="O2" s="406" t="s">
        <v>97</v>
      </c>
      <c r="P2" s="406" t="s">
        <v>96</v>
      </c>
      <c r="Q2" s="406" t="s">
        <v>218</v>
      </c>
      <c r="R2" s="406" t="s">
        <v>98</v>
      </c>
      <c r="S2" s="421" t="s">
        <v>784</v>
      </c>
      <c r="U2" s="413" t="s">
        <v>803</v>
      </c>
      <c r="V2" s="413" t="s">
        <v>803</v>
      </c>
      <c r="W2" s="413" t="s">
        <v>804</v>
      </c>
      <c r="X2" s="413" t="s">
        <v>804</v>
      </c>
      <c r="Y2" s="413" t="s">
        <v>805</v>
      </c>
      <c r="AA2" t="s">
        <v>551</v>
      </c>
      <c r="AB2" s="400">
        <f>'A2-5 Hmax &amp; Mmax'!R43</f>
        <v>-2.59455410747222</v>
      </c>
    </row>
    <row r="3" spans="1:32" ht="15" customHeight="1">
      <c r="A3" s="595" t="s">
        <v>781</v>
      </c>
      <c r="B3" s="423" t="s">
        <v>774</v>
      </c>
      <c r="C3" s="424">
        <v>0</v>
      </c>
      <c r="D3" s="424">
        <v>70.560906011270006</v>
      </c>
      <c r="E3" s="424">
        <v>118.76382461456001</v>
      </c>
      <c r="F3" s="424">
        <v>11.515803093260001</v>
      </c>
      <c r="G3" s="424">
        <v>0</v>
      </c>
      <c r="H3" s="424">
        <v>18.462629997730001</v>
      </c>
      <c r="I3" s="424">
        <v>0</v>
      </c>
      <c r="J3" s="424">
        <v>11.793401623899999</v>
      </c>
      <c r="K3" s="424">
        <v>5.2900894457000005</v>
      </c>
      <c r="L3" s="424">
        <v>0</v>
      </c>
      <c r="M3" s="424">
        <v>0</v>
      </c>
      <c r="N3" s="424">
        <v>0</v>
      </c>
      <c r="O3" s="424">
        <v>0</v>
      </c>
      <c r="P3" s="424">
        <v>0</v>
      </c>
      <c r="Q3" s="424">
        <v>0</v>
      </c>
      <c r="R3" s="424">
        <v>0</v>
      </c>
      <c r="S3" s="425">
        <f>SUM(C3:R3)</f>
        <v>236.38665478642</v>
      </c>
      <c r="T3" s="60"/>
      <c r="U3" s="53">
        <f>S3/$S$14</f>
        <v>0.14757809572248073</v>
      </c>
      <c r="V3" s="53"/>
      <c r="W3" s="53">
        <f>S3/$S$15</f>
        <v>0.18822720144412589</v>
      </c>
      <c r="X3" s="53"/>
      <c r="Y3" s="484">
        <f>S3/$T$8</f>
        <v>0.24227486650210056</v>
      </c>
      <c r="AA3" t="s">
        <v>787</v>
      </c>
      <c r="AB3" s="38">
        <f>'A2-5 Hmax &amp; Mmax'!R39</f>
        <v>3203.5466188822893</v>
      </c>
      <c r="AE3" s="486"/>
      <c r="AF3" s="486"/>
    </row>
    <row r="4" spans="1:32" ht="15" customHeight="1">
      <c r="A4" s="596"/>
      <c r="B4" s="427" t="s">
        <v>775</v>
      </c>
      <c r="C4" s="425">
        <v>0</v>
      </c>
      <c r="D4" s="425">
        <v>46.9498924563404</v>
      </c>
      <c r="E4" s="425">
        <v>0</v>
      </c>
      <c r="F4" s="425">
        <v>0</v>
      </c>
      <c r="G4" s="425">
        <v>0</v>
      </c>
      <c r="H4" s="425">
        <v>0</v>
      </c>
      <c r="I4" s="425">
        <v>0</v>
      </c>
      <c r="J4" s="425">
        <v>0</v>
      </c>
      <c r="K4" s="425">
        <v>18.105263157994699</v>
      </c>
      <c r="L4" s="425">
        <v>8.3284210527315796</v>
      </c>
      <c r="M4" s="425">
        <v>0</v>
      </c>
      <c r="N4" s="425">
        <v>0</v>
      </c>
      <c r="O4" s="425">
        <v>0</v>
      </c>
      <c r="P4" s="425">
        <v>0</v>
      </c>
      <c r="Q4" s="425">
        <v>0</v>
      </c>
      <c r="R4" s="425">
        <v>0</v>
      </c>
      <c r="S4" s="425">
        <f t="shared" ref="S4:S15" si="0">SUM(C4:R4)</f>
        <v>73.383576667066677</v>
      </c>
      <c r="T4" s="60"/>
      <c r="U4" s="53">
        <f t="shared" ref="U4:U10" si="1">S4/$S$14</f>
        <v>4.5813958963188149E-2</v>
      </c>
      <c r="V4" s="53"/>
      <c r="W4" s="53">
        <f t="shared" ref="W4:W13" si="2">S4/$S$15</f>
        <v>5.8433016366691841E-2</v>
      </c>
      <c r="X4" s="53"/>
      <c r="Y4" s="53">
        <f t="shared" ref="Y4:Y8" si="3">S4/$T$8</f>
        <v>7.5211505727867403E-2</v>
      </c>
      <c r="AE4" s="486"/>
      <c r="AF4" s="486"/>
    </row>
    <row r="5" spans="1:32" ht="15" customHeight="1">
      <c r="A5" s="596"/>
      <c r="B5" s="427" t="s">
        <v>107</v>
      </c>
      <c r="C5" s="425">
        <v>18.162164574763061</v>
      </c>
      <c r="D5" s="425">
        <v>10.594596001986787</v>
      </c>
      <c r="E5" s="425">
        <v>0</v>
      </c>
      <c r="F5" s="425">
        <v>0</v>
      </c>
      <c r="G5" s="425">
        <v>0</v>
      </c>
      <c r="H5" s="425">
        <v>0</v>
      </c>
      <c r="I5" s="425">
        <v>0</v>
      </c>
      <c r="J5" s="425">
        <v>0</v>
      </c>
      <c r="K5" s="425">
        <v>0</v>
      </c>
      <c r="L5" s="425">
        <v>0</v>
      </c>
      <c r="M5" s="425">
        <v>0</v>
      </c>
      <c r="N5" s="425">
        <v>0</v>
      </c>
      <c r="O5" s="425">
        <v>0</v>
      </c>
      <c r="P5" s="425">
        <v>0</v>
      </c>
      <c r="Q5" s="425">
        <v>0</v>
      </c>
      <c r="R5" s="425">
        <v>0</v>
      </c>
      <c r="S5" s="425">
        <f t="shared" si="0"/>
        <v>28.756760576749848</v>
      </c>
      <c r="T5" s="60"/>
      <c r="U5" s="53">
        <f t="shared" si="1"/>
        <v>1.7953077634177222E-2</v>
      </c>
      <c r="V5" s="53"/>
      <c r="W5" s="53">
        <f t="shared" si="2"/>
        <v>2.2898097064112891E-2</v>
      </c>
      <c r="X5" s="53"/>
      <c r="Y5" s="53">
        <f t="shared" si="3"/>
        <v>2.9473069603103422E-2</v>
      </c>
      <c r="AE5" s="486"/>
      <c r="AF5" s="486"/>
    </row>
    <row r="6" spans="1:32" ht="15" customHeight="1">
      <c r="A6" s="596"/>
      <c r="B6" s="427" t="s">
        <v>108</v>
      </c>
      <c r="C6" s="425">
        <v>0</v>
      </c>
      <c r="D6" s="425">
        <v>172.45581907409999</v>
      </c>
      <c r="E6" s="425">
        <v>5.8876289631000001</v>
      </c>
      <c r="F6" s="425">
        <v>4.0914031779000002</v>
      </c>
      <c r="G6" s="425">
        <v>0</v>
      </c>
      <c r="H6" s="425">
        <v>0</v>
      </c>
      <c r="I6" s="425">
        <v>0</v>
      </c>
      <c r="J6" s="425">
        <v>0</v>
      </c>
      <c r="K6" s="425">
        <v>0</v>
      </c>
      <c r="L6" s="425">
        <v>0</v>
      </c>
      <c r="M6" s="425">
        <v>0</v>
      </c>
      <c r="N6" s="425">
        <v>0</v>
      </c>
      <c r="O6" s="425">
        <v>0</v>
      </c>
      <c r="P6" s="425">
        <v>0</v>
      </c>
      <c r="Q6" s="425">
        <v>0</v>
      </c>
      <c r="R6" s="425">
        <v>0</v>
      </c>
      <c r="S6" s="425">
        <f t="shared" si="0"/>
        <v>182.4348512151</v>
      </c>
      <c r="T6" s="60"/>
      <c r="U6" s="53">
        <f>S6/$S$14</f>
        <v>0.11389554947619344</v>
      </c>
      <c r="V6" s="53"/>
      <c r="W6" s="53">
        <f t="shared" si="2"/>
        <v>0.1452670901456764</v>
      </c>
      <c r="X6" s="53"/>
      <c r="Y6" s="484">
        <f t="shared" si="3"/>
        <v>0.18697916455310873</v>
      </c>
      <c r="AE6" s="486"/>
      <c r="AF6" s="486"/>
    </row>
    <row r="7" spans="1:32" ht="15" customHeight="1">
      <c r="A7" s="596"/>
      <c r="B7" s="427" t="s">
        <v>776</v>
      </c>
      <c r="C7" s="425">
        <v>0</v>
      </c>
      <c r="D7" s="425">
        <v>389.00000526122892</v>
      </c>
      <c r="E7" s="425">
        <v>25.000000000599996</v>
      </c>
      <c r="F7" s="425">
        <v>0</v>
      </c>
      <c r="G7" s="425">
        <v>28.834716934390002</v>
      </c>
      <c r="H7" s="425">
        <v>0</v>
      </c>
      <c r="I7" s="425">
        <v>0</v>
      </c>
      <c r="J7" s="425">
        <v>0</v>
      </c>
      <c r="K7" s="425">
        <v>0</v>
      </c>
      <c r="L7" s="425">
        <v>0</v>
      </c>
      <c r="M7" s="425">
        <v>0</v>
      </c>
      <c r="N7" s="425">
        <v>0</v>
      </c>
      <c r="O7" s="425">
        <v>0</v>
      </c>
      <c r="P7" s="425">
        <v>0</v>
      </c>
      <c r="Q7" s="425">
        <v>0</v>
      </c>
      <c r="R7" s="425">
        <v>0</v>
      </c>
      <c r="S7" s="425">
        <f>SUM(C7:R7)</f>
        <v>442.83472219621888</v>
      </c>
      <c r="T7" s="60"/>
      <c r="U7" s="53">
        <f t="shared" si="1"/>
        <v>0.27646528980478702</v>
      </c>
      <c r="V7" s="53"/>
      <c r="W7" s="53">
        <f t="shared" si="2"/>
        <v>0.35261525459883841</v>
      </c>
      <c r="X7" s="53"/>
      <c r="Y7" s="484">
        <f t="shared" si="3"/>
        <v>0.45386539819483585</v>
      </c>
      <c r="Z7" s="40">
        <f>Y3+Y6+Y7</f>
        <v>0.88311942925004516</v>
      </c>
      <c r="AE7" s="486"/>
      <c r="AF7" s="486"/>
    </row>
    <row r="8" spans="1:32" ht="15" customHeight="1">
      <c r="A8" s="597"/>
      <c r="B8" s="428" t="s">
        <v>777</v>
      </c>
      <c r="C8" s="429">
        <v>0</v>
      </c>
      <c r="D8" s="429">
        <v>0</v>
      </c>
      <c r="E8" s="429">
        <v>0.65870942655685827</v>
      </c>
      <c r="F8" s="429">
        <v>0</v>
      </c>
      <c r="G8" s="429">
        <v>0</v>
      </c>
      <c r="H8" s="429">
        <v>0</v>
      </c>
      <c r="I8" s="429">
        <v>0</v>
      </c>
      <c r="J8" s="429">
        <v>0</v>
      </c>
      <c r="K8" s="429">
        <v>0</v>
      </c>
      <c r="L8" s="429">
        <v>0</v>
      </c>
      <c r="M8" s="429">
        <v>11.24087636419279</v>
      </c>
      <c r="N8" s="429">
        <v>0</v>
      </c>
      <c r="O8" s="429">
        <v>0</v>
      </c>
      <c r="P8" s="429">
        <v>0</v>
      </c>
      <c r="Q8" s="429">
        <v>0</v>
      </c>
      <c r="R8" s="429">
        <v>0</v>
      </c>
      <c r="S8" s="429">
        <f t="shared" si="0"/>
        <v>11.899585790749647</v>
      </c>
      <c r="T8" s="60">
        <f>SUM(S3:S8)</f>
        <v>975.69615123230494</v>
      </c>
      <c r="U8" s="53">
        <f t="shared" si="1"/>
        <v>7.4290074136029822E-3</v>
      </c>
      <c r="V8" s="53">
        <f>T8/S14</f>
        <v>0.60913497901442948</v>
      </c>
      <c r="W8" s="53">
        <f t="shared" si="2"/>
        <v>9.4752630336125288E-3</v>
      </c>
      <c r="X8" s="53">
        <f>T8/S15</f>
        <v>0.77691592265305787</v>
      </c>
      <c r="Y8" s="53">
        <f t="shared" si="3"/>
        <v>1.219599541898414E-2</v>
      </c>
      <c r="AE8" s="486"/>
      <c r="AF8" s="486"/>
    </row>
    <row r="9" spans="1:32" ht="15" customHeight="1">
      <c r="A9" s="598" t="s">
        <v>782</v>
      </c>
      <c r="B9" s="430" t="s">
        <v>778</v>
      </c>
      <c r="C9" s="431">
        <v>0</v>
      </c>
      <c r="D9" s="431">
        <v>0</v>
      </c>
      <c r="E9" s="431">
        <v>21.266924564796906</v>
      </c>
      <c r="F9" s="431">
        <v>57.928933920588257</v>
      </c>
      <c r="G9" s="431">
        <v>0</v>
      </c>
      <c r="H9" s="431">
        <v>35.768984978868886</v>
      </c>
      <c r="I9" s="431">
        <v>0</v>
      </c>
      <c r="J9" s="431">
        <v>0</v>
      </c>
      <c r="K9" s="431">
        <v>0</v>
      </c>
      <c r="L9" s="431">
        <v>0</v>
      </c>
      <c r="M9" s="431">
        <v>0</v>
      </c>
      <c r="N9" s="431">
        <v>46.421663442940044</v>
      </c>
      <c r="O9" s="431">
        <v>54.612391902233966</v>
      </c>
      <c r="P9" s="431">
        <v>0</v>
      </c>
      <c r="Q9" s="431">
        <v>56.702487638257786</v>
      </c>
      <c r="R9" s="431">
        <v>5.5125725338491298</v>
      </c>
      <c r="S9" s="431">
        <f t="shared" si="0"/>
        <v>278.21395898153497</v>
      </c>
      <c r="T9" s="60"/>
      <c r="U9" s="53">
        <f t="shared" si="1"/>
        <v>0.17369121918918928</v>
      </c>
      <c r="V9" s="53"/>
      <c r="W9" s="53"/>
      <c r="X9" s="53"/>
    </row>
    <row r="10" spans="1:32" ht="15" customHeight="1">
      <c r="A10" s="599"/>
      <c r="B10" s="432" t="s">
        <v>436</v>
      </c>
      <c r="C10" s="433">
        <v>4.5168882849655434</v>
      </c>
      <c r="D10" s="433">
        <v>35.876233158997508</v>
      </c>
      <c r="E10" s="433">
        <v>8.1461191787681528</v>
      </c>
      <c r="F10" s="433">
        <v>109.53167751627441</v>
      </c>
      <c r="G10" s="433">
        <v>0</v>
      </c>
      <c r="H10" s="433">
        <v>184.42561442163245</v>
      </c>
      <c r="I10" s="433">
        <v>0</v>
      </c>
      <c r="J10" s="433">
        <v>0</v>
      </c>
      <c r="K10" s="433">
        <v>3.6999999999999997</v>
      </c>
      <c r="L10" s="433">
        <v>0</v>
      </c>
      <c r="M10" s="433">
        <v>0</v>
      </c>
      <c r="N10" s="433">
        <v>0</v>
      </c>
      <c r="O10" s="433">
        <v>0</v>
      </c>
      <c r="P10" s="433">
        <v>1.6666666666666701</v>
      </c>
      <c r="Q10" s="433">
        <v>0</v>
      </c>
      <c r="R10" s="433">
        <v>0</v>
      </c>
      <c r="S10" s="433">
        <f t="shared" si="0"/>
        <v>347.86319922730473</v>
      </c>
      <c r="T10" s="60">
        <f>SUM(S9:S10)</f>
        <v>626.07715820883971</v>
      </c>
      <c r="U10" s="53">
        <f t="shared" si="1"/>
        <v>0.21717380179638121</v>
      </c>
      <c r="V10" s="53">
        <f>T10/S14</f>
        <v>0.39086502098557052</v>
      </c>
      <c r="W10" s="53"/>
      <c r="X10" s="53"/>
    </row>
    <row r="11" spans="1:32" ht="15" customHeight="1">
      <c r="A11" s="595" t="s">
        <v>783</v>
      </c>
      <c r="B11" s="423" t="s">
        <v>110</v>
      </c>
      <c r="C11" s="424">
        <v>89.262000002200011</v>
      </c>
      <c r="D11" s="424">
        <v>29.042000007800002</v>
      </c>
      <c r="E11" s="424">
        <v>0</v>
      </c>
      <c r="F11" s="424">
        <v>0</v>
      </c>
      <c r="G11" s="424">
        <v>0</v>
      </c>
      <c r="H11" s="424">
        <v>0</v>
      </c>
      <c r="I11" s="424">
        <v>29.826000003499999</v>
      </c>
      <c r="J11" s="424">
        <v>0</v>
      </c>
      <c r="K11" s="424">
        <v>0</v>
      </c>
      <c r="L11" s="424">
        <v>0</v>
      </c>
      <c r="M11" s="424">
        <v>0</v>
      </c>
      <c r="N11" s="424">
        <v>0</v>
      </c>
      <c r="O11" s="424">
        <v>0</v>
      </c>
      <c r="P11" s="424">
        <v>0</v>
      </c>
      <c r="Q11" s="424">
        <v>0</v>
      </c>
      <c r="R11" s="424">
        <v>0</v>
      </c>
      <c r="S11" s="425">
        <f t="shared" si="0"/>
        <v>148.13000001350002</v>
      </c>
      <c r="T11" s="60"/>
      <c r="U11" s="53"/>
      <c r="V11" s="53"/>
      <c r="W11" s="53">
        <f t="shared" si="2"/>
        <v>0.11795122435169388</v>
      </c>
      <c r="X11" s="53"/>
    </row>
    <row r="12" spans="1:32" ht="15" customHeight="1">
      <c r="A12" s="596"/>
      <c r="B12" s="427" t="s">
        <v>109</v>
      </c>
      <c r="C12" s="425">
        <v>0</v>
      </c>
      <c r="D12" s="425">
        <v>26.568726921509828</v>
      </c>
      <c r="E12" s="425">
        <v>4.0000000005</v>
      </c>
      <c r="F12" s="425">
        <v>0</v>
      </c>
      <c r="G12" s="425">
        <v>0</v>
      </c>
      <c r="H12" s="425">
        <v>12.120000000899999</v>
      </c>
      <c r="I12" s="425">
        <v>0</v>
      </c>
      <c r="J12" s="425">
        <v>0</v>
      </c>
      <c r="K12" s="425">
        <v>0</v>
      </c>
      <c r="L12" s="425">
        <v>0</v>
      </c>
      <c r="M12" s="425">
        <v>0</v>
      </c>
      <c r="N12" s="425">
        <v>0</v>
      </c>
      <c r="O12" s="425">
        <v>0</v>
      </c>
      <c r="P12" s="425">
        <v>0</v>
      </c>
      <c r="Q12" s="425">
        <v>0</v>
      </c>
      <c r="R12" s="425">
        <v>0</v>
      </c>
      <c r="S12" s="425">
        <f t="shared" si="0"/>
        <v>42.688726922909829</v>
      </c>
      <c r="U12" s="53"/>
      <c r="V12" s="53"/>
      <c r="W12" s="53">
        <f t="shared" si="2"/>
        <v>3.39916803221052E-2</v>
      </c>
      <c r="X12" s="53"/>
    </row>
    <row r="13" spans="1:32" ht="15" customHeight="1">
      <c r="A13" s="597"/>
      <c r="B13" s="428" t="s">
        <v>779</v>
      </c>
      <c r="C13" s="429">
        <v>0</v>
      </c>
      <c r="D13" s="429">
        <v>53.147808862085498</v>
      </c>
      <c r="E13" s="429">
        <v>29.694507020211585</v>
      </c>
      <c r="F13" s="429">
        <v>6.5009017651230492</v>
      </c>
      <c r="G13" s="429">
        <v>0</v>
      </c>
      <c r="H13" s="429">
        <v>0</v>
      </c>
      <c r="I13" s="429">
        <v>0</v>
      </c>
      <c r="J13" s="429">
        <v>0</v>
      </c>
      <c r="K13" s="429">
        <v>0</v>
      </c>
      <c r="L13" s="429">
        <v>0</v>
      </c>
      <c r="M13" s="429">
        <v>0</v>
      </c>
      <c r="N13" s="429">
        <v>0</v>
      </c>
      <c r="O13" s="429">
        <v>0</v>
      </c>
      <c r="P13" s="429">
        <v>0</v>
      </c>
      <c r="Q13" s="429">
        <v>0</v>
      </c>
      <c r="R13" s="429">
        <v>0</v>
      </c>
      <c r="S13" s="425">
        <f t="shared" si="0"/>
        <v>89.343217647420133</v>
      </c>
      <c r="T13" s="410">
        <f>SUM(S11:S13)</f>
        <v>280.16194458383001</v>
      </c>
      <c r="U13" s="53"/>
      <c r="V13" s="53"/>
      <c r="W13" s="53">
        <f t="shared" si="2"/>
        <v>7.1141172673142919E-2</v>
      </c>
      <c r="X13" s="53">
        <f>T13/S15</f>
        <v>0.22308407734694202</v>
      </c>
    </row>
    <row r="14" spans="1:32" ht="15" customHeight="1">
      <c r="A14" s="434" t="s">
        <v>222</v>
      </c>
      <c r="B14" s="435"/>
      <c r="C14" s="431">
        <f>SUM(C3:C8)+SUM(C9:C10)</f>
        <v>22.679052859728603</v>
      </c>
      <c r="D14" s="431">
        <f t="shared" ref="D14:P14" si="4">SUM(D3:D8)+SUM(D9:D10)</f>
        <v>725.43745196392354</v>
      </c>
      <c r="E14" s="431">
        <f>SUM(E3:E8)+SUM(E9:E10)</f>
        <v>179.72320674838193</v>
      </c>
      <c r="F14" s="431">
        <f t="shared" si="4"/>
        <v>183.06781770802269</v>
      </c>
      <c r="G14" s="431">
        <f t="shared" si="4"/>
        <v>28.834716934390002</v>
      </c>
      <c r="H14" s="431">
        <f t="shared" si="4"/>
        <v>238.65722939823132</v>
      </c>
      <c r="I14" s="431">
        <f>SUM(I3:I8)+SUM(I9:I10)</f>
        <v>0</v>
      </c>
      <c r="J14" s="431">
        <f t="shared" si="4"/>
        <v>11.793401623899999</v>
      </c>
      <c r="K14" s="431">
        <f t="shared" si="4"/>
        <v>27.0953526036947</v>
      </c>
      <c r="L14" s="431">
        <f>SUM(L3:L8)+SUM(L9:L10)</f>
        <v>8.3284210527315796</v>
      </c>
      <c r="M14" s="431">
        <f t="shared" ref="M14:O14" si="5">SUM(M3:M8)+SUM(M9:M10)</f>
        <v>11.24087636419279</v>
      </c>
      <c r="N14" s="431">
        <f t="shared" si="5"/>
        <v>46.421663442940044</v>
      </c>
      <c r="O14" s="431">
        <f t="shared" si="5"/>
        <v>54.612391902233966</v>
      </c>
      <c r="P14" s="431">
        <f t="shared" si="4"/>
        <v>1.6666666666666701</v>
      </c>
      <c r="Q14" s="431">
        <f>SUM(Q3:Q8)+SUM(Q9:Q10)</f>
        <v>56.702487638257786</v>
      </c>
      <c r="R14" s="431">
        <f>SUM(R3:R8)+SUM(R9:R10)</f>
        <v>5.5125725338491298</v>
      </c>
      <c r="S14" s="431">
        <f>SUM(C14:R14)</f>
        <v>1601.7733094411446</v>
      </c>
      <c r="U14" s="53">
        <f>SUM(U3:U13)</f>
        <v>1</v>
      </c>
      <c r="V14" s="53">
        <f t="shared" ref="V14:X14" si="6">SUM(V3:V13)</f>
        <v>1</v>
      </c>
      <c r="W14" s="53">
        <f t="shared" si="6"/>
        <v>1</v>
      </c>
      <c r="X14" s="53">
        <f t="shared" si="6"/>
        <v>0.99999999999999989</v>
      </c>
      <c r="Y14" s="400"/>
    </row>
    <row r="15" spans="1:32" ht="15" customHeight="1">
      <c r="A15" s="427" t="s">
        <v>221</v>
      </c>
      <c r="B15" s="436"/>
      <c r="C15" s="425">
        <f>SUM(C3:C8)+SUM(C11:C13)</f>
        <v>107.42416457696308</v>
      </c>
      <c r="D15" s="425">
        <f t="shared" ref="D15:O15" si="7">SUM(D3:D8)+SUM(D11:D13)</f>
        <v>798.31975459632145</v>
      </c>
      <c r="E15" s="425">
        <f t="shared" si="7"/>
        <v>184.00467002552847</v>
      </c>
      <c r="F15" s="425">
        <f t="shared" si="7"/>
        <v>22.108108036283049</v>
      </c>
      <c r="G15" s="425">
        <f t="shared" si="7"/>
        <v>28.834716934390002</v>
      </c>
      <c r="H15" s="425">
        <f>SUM(H3:H8)+SUM(H11:H13)</f>
        <v>30.582629998630001</v>
      </c>
      <c r="I15" s="425">
        <f>SUM(I3:I8)+SUM(I11:I13)</f>
        <v>29.826000003499999</v>
      </c>
      <c r="J15" s="425">
        <f t="shared" si="7"/>
        <v>11.793401623899999</v>
      </c>
      <c r="K15" s="425">
        <f t="shared" si="7"/>
        <v>23.3953526036947</v>
      </c>
      <c r="L15" s="425">
        <f t="shared" si="7"/>
        <v>8.3284210527315796</v>
      </c>
      <c r="M15" s="425">
        <f>SUM(M3:M8)+SUM(M11:M13)</f>
        <v>11.24087636419279</v>
      </c>
      <c r="N15" s="425">
        <f t="shared" si="7"/>
        <v>0</v>
      </c>
      <c r="O15" s="425">
        <f t="shared" si="7"/>
        <v>0</v>
      </c>
      <c r="P15" s="425">
        <f>SUM(P3:P8)+SUM(P11:P13)</f>
        <v>0</v>
      </c>
      <c r="Q15" s="425">
        <f>SUM(Q3:Q8)+SUM(Q11:Q13)</f>
        <v>0</v>
      </c>
      <c r="R15" s="425">
        <f>SUM(R3:R8)+SUM(R11:R13)</f>
        <v>0</v>
      </c>
      <c r="S15" s="425">
        <f t="shared" si="0"/>
        <v>1255.8580958161351</v>
      </c>
    </row>
    <row r="16" spans="1:32">
      <c r="S16" s="410"/>
      <c r="AB16" s="400"/>
    </row>
    <row r="18" spans="1:20" ht="26.4">
      <c r="A18" s="427" t="s">
        <v>548</v>
      </c>
      <c r="B18" s="406" t="s">
        <v>773</v>
      </c>
      <c r="C18" s="406" t="s">
        <v>104</v>
      </c>
      <c r="D18" s="406" t="s">
        <v>86</v>
      </c>
      <c r="E18" s="406" t="s">
        <v>93</v>
      </c>
      <c r="F18" s="406" t="s">
        <v>102</v>
      </c>
      <c r="G18" s="406" t="s">
        <v>89</v>
      </c>
      <c r="H18" s="406" t="s">
        <v>87</v>
      </c>
      <c r="I18" s="406" t="s">
        <v>771</v>
      </c>
      <c r="J18" s="406" t="s">
        <v>91</v>
      </c>
      <c r="K18" s="406" t="s">
        <v>94</v>
      </c>
      <c r="L18" s="406" t="s">
        <v>95</v>
      </c>
      <c r="M18" s="406" t="s">
        <v>106</v>
      </c>
      <c r="N18" s="406" t="s">
        <v>772</v>
      </c>
      <c r="O18" s="406" t="s">
        <v>97</v>
      </c>
      <c r="P18" s="406" t="s">
        <v>96</v>
      </c>
      <c r="Q18" s="406" t="s">
        <v>218</v>
      </c>
      <c r="R18" s="406" t="s">
        <v>98</v>
      </c>
      <c r="S18" s="406" t="s">
        <v>788</v>
      </c>
      <c r="T18" s="421" t="s">
        <v>548</v>
      </c>
    </row>
    <row r="19" spans="1:20" ht="15" customHeight="1">
      <c r="A19" s="601" t="s">
        <v>785</v>
      </c>
      <c r="B19" s="423" t="s">
        <v>774</v>
      </c>
      <c r="C19" s="449">
        <f>C3/$S$3</f>
        <v>0</v>
      </c>
      <c r="D19" s="449">
        <f>D3/$S$3</f>
        <v>0.29849784064596702</v>
      </c>
      <c r="E19" s="449">
        <f t="shared" ref="E19:R19" si="8">E3/$S$3</f>
        <v>0.50241340705914839</v>
      </c>
      <c r="F19" s="449">
        <f t="shared" si="8"/>
        <v>4.8715961159756481E-2</v>
      </c>
      <c r="G19" s="449">
        <f t="shared" si="8"/>
        <v>0</v>
      </c>
      <c r="H19" s="449">
        <f t="shared" si="8"/>
        <v>7.8103520752520278E-2</v>
      </c>
      <c r="I19" s="449">
        <f t="shared" si="8"/>
        <v>0</v>
      </c>
      <c r="J19" s="449">
        <f t="shared" si="8"/>
        <v>4.9890302117755213E-2</v>
      </c>
      <c r="K19" s="449">
        <f t="shared" si="8"/>
        <v>2.2378968264852771E-2</v>
      </c>
      <c r="L19" s="449">
        <f t="shared" si="8"/>
        <v>0</v>
      </c>
      <c r="M19" s="449">
        <f t="shared" si="8"/>
        <v>0</v>
      </c>
      <c r="N19" s="449">
        <f t="shared" si="8"/>
        <v>0</v>
      </c>
      <c r="O19" s="449">
        <f t="shared" si="8"/>
        <v>0</v>
      </c>
      <c r="P19" s="449">
        <f t="shared" si="8"/>
        <v>0</v>
      </c>
      <c r="Q19" s="449">
        <f t="shared" si="8"/>
        <v>0</v>
      </c>
      <c r="R19" s="449">
        <f t="shared" si="8"/>
        <v>0</v>
      </c>
      <c r="S19" s="438">
        <f>SUM(C19:R19)</f>
        <v>1.0000000000000002</v>
      </c>
      <c r="T19" s="438">
        <f t="shared" ref="T19:T29" si="9">S3/$AB$3</f>
        <v>7.3789047861240367E-2</v>
      </c>
    </row>
    <row r="20" spans="1:20" ht="15" customHeight="1">
      <c r="A20" s="602"/>
      <c r="B20" s="427" t="s">
        <v>775</v>
      </c>
      <c r="C20" s="438">
        <f>C4/$S$4</f>
        <v>0</v>
      </c>
      <c r="D20" s="438">
        <f t="shared" ref="D20:R20" si="10">D4/$S$4</f>
        <v>0.63978746456236346</v>
      </c>
      <c r="E20" s="438">
        <f t="shared" si="10"/>
        <v>0</v>
      </c>
      <c r="F20" s="438">
        <f t="shared" si="10"/>
        <v>0</v>
      </c>
      <c r="G20" s="438">
        <f t="shared" si="10"/>
        <v>0</v>
      </c>
      <c r="H20" s="438">
        <f t="shared" si="10"/>
        <v>0</v>
      </c>
      <c r="I20" s="438">
        <f t="shared" si="10"/>
        <v>0</v>
      </c>
      <c r="J20" s="438">
        <f t="shared" si="10"/>
        <v>0</v>
      </c>
      <c r="K20" s="438">
        <f t="shared" si="10"/>
        <v>0.24672091468280857</v>
      </c>
      <c r="L20" s="438">
        <f t="shared" si="10"/>
        <v>0.11349162075482805</v>
      </c>
      <c r="M20" s="438">
        <f t="shared" si="10"/>
        <v>0</v>
      </c>
      <c r="N20" s="438">
        <f t="shared" si="10"/>
        <v>0</v>
      </c>
      <c r="O20" s="438">
        <f t="shared" si="10"/>
        <v>0</v>
      </c>
      <c r="P20" s="438">
        <f t="shared" si="10"/>
        <v>0</v>
      </c>
      <c r="Q20" s="438">
        <f t="shared" si="10"/>
        <v>0</v>
      </c>
      <c r="R20" s="438">
        <f t="shared" si="10"/>
        <v>0</v>
      </c>
      <c r="S20" s="438">
        <f t="shared" ref="S20:S29" si="11">SUM(C20:R20)</f>
        <v>1</v>
      </c>
      <c r="T20" s="438">
        <f t="shared" si="9"/>
        <v>2.2906979481594075E-2</v>
      </c>
    </row>
    <row r="21" spans="1:20" ht="15" customHeight="1">
      <c r="A21" s="602"/>
      <c r="B21" s="427" t="s">
        <v>107</v>
      </c>
      <c r="C21" s="438">
        <f>C5/$S$5</f>
        <v>0.63157894736750586</v>
      </c>
      <c r="D21" s="438">
        <f t="shared" ref="D21:R21" si="12">D5/$S$5</f>
        <v>0.36842105263249408</v>
      </c>
      <c r="E21" s="438">
        <f t="shared" si="12"/>
        <v>0</v>
      </c>
      <c r="F21" s="438">
        <f t="shared" si="12"/>
        <v>0</v>
      </c>
      <c r="G21" s="438">
        <f t="shared" si="12"/>
        <v>0</v>
      </c>
      <c r="H21" s="438">
        <f t="shared" si="12"/>
        <v>0</v>
      </c>
      <c r="I21" s="438">
        <f t="shared" si="12"/>
        <v>0</v>
      </c>
      <c r="J21" s="438">
        <f t="shared" si="12"/>
        <v>0</v>
      </c>
      <c r="K21" s="438">
        <f t="shared" si="12"/>
        <v>0</v>
      </c>
      <c r="L21" s="438">
        <f t="shared" si="12"/>
        <v>0</v>
      </c>
      <c r="M21" s="438">
        <f t="shared" si="12"/>
        <v>0</v>
      </c>
      <c r="N21" s="438">
        <f t="shared" si="12"/>
        <v>0</v>
      </c>
      <c r="O21" s="438">
        <f t="shared" si="12"/>
        <v>0</v>
      </c>
      <c r="P21" s="438">
        <f t="shared" si="12"/>
        <v>0</v>
      </c>
      <c r="Q21" s="438">
        <f t="shared" si="12"/>
        <v>0</v>
      </c>
      <c r="R21" s="438">
        <f t="shared" si="12"/>
        <v>0</v>
      </c>
      <c r="S21" s="438">
        <f t="shared" si="11"/>
        <v>1</v>
      </c>
      <c r="T21" s="438">
        <f t="shared" si="9"/>
        <v>8.9765388170886112E-3</v>
      </c>
    </row>
    <row r="22" spans="1:20" ht="15" customHeight="1">
      <c r="A22" s="602"/>
      <c r="B22" s="427" t="s">
        <v>108</v>
      </c>
      <c r="C22" s="438">
        <f>C6/$S$6</f>
        <v>0</v>
      </c>
      <c r="D22" s="438">
        <f t="shared" ref="D22:R22" si="13">D6/$S$6</f>
        <v>0.94530084534542025</v>
      </c>
      <c r="E22" s="438">
        <f t="shared" si="13"/>
        <v>3.2272501245708719E-2</v>
      </c>
      <c r="F22" s="438">
        <f t="shared" si="13"/>
        <v>2.2426653408871022E-2</v>
      </c>
      <c r="G22" s="438">
        <f t="shared" si="13"/>
        <v>0</v>
      </c>
      <c r="H22" s="438">
        <f t="shared" si="13"/>
        <v>0</v>
      </c>
      <c r="I22" s="438">
        <f t="shared" si="13"/>
        <v>0</v>
      </c>
      <c r="J22" s="438">
        <f t="shared" si="13"/>
        <v>0</v>
      </c>
      <c r="K22" s="438">
        <f t="shared" si="13"/>
        <v>0</v>
      </c>
      <c r="L22" s="438">
        <f t="shared" si="13"/>
        <v>0</v>
      </c>
      <c r="M22" s="438">
        <f t="shared" si="13"/>
        <v>0</v>
      </c>
      <c r="N22" s="438">
        <f t="shared" si="13"/>
        <v>0</v>
      </c>
      <c r="O22" s="438">
        <f t="shared" si="13"/>
        <v>0</v>
      </c>
      <c r="P22" s="438">
        <f t="shared" si="13"/>
        <v>0</v>
      </c>
      <c r="Q22" s="438">
        <f t="shared" si="13"/>
        <v>0</v>
      </c>
      <c r="R22" s="438">
        <f t="shared" si="13"/>
        <v>0</v>
      </c>
      <c r="S22" s="438">
        <f t="shared" si="11"/>
        <v>1</v>
      </c>
      <c r="T22" s="438">
        <f t="shared" si="9"/>
        <v>5.6947774738096722E-2</v>
      </c>
    </row>
    <row r="23" spans="1:20" ht="15" customHeight="1">
      <c r="A23" s="602"/>
      <c r="B23" s="427" t="s">
        <v>776</v>
      </c>
      <c r="C23" s="438">
        <f>C7/$S$7</f>
        <v>0</v>
      </c>
      <c r="D23" s="438">
        <f t="shared" ref="D23:R23" si="14">D7/$S$7</f>
        <v>0.87843158127258159</v>
      </c>
      <c r="E23" s="438">
        <f t="shared" si="14"/>
        <v>5.6454471041958096E-2</v>
      </c>
      <c r="F23" s="438">
        <f t="shared" si="14"/>
        <v>0</v>
      </c>
      <c r="G23" s="438">
        <f t="shared" si="14"/>
        <v>6.5113947685460444E-2</v>
      </c>
      <c r="H23" s="438">
        <f t="shared" si="14"/>
        <v>0</v>
      </c>
      <c r="I23" s="438">
        <f t="shared" si="14"/>
        <v>0</v>
      </c>
      <c r="J23" s="438">
        <f t="shared" si="14"/>
        <v>0</v>
      </c>
      <c r="K23" s="438">
        <f t="shared" si="14"/>
        <v>0</v>
      </c>
      <c r="L23" s="438">
        <f t="shared" si="14"/>
        <v>0</v>
      </c>
      <c r="M23" s="438">
        <f t="shared" si="14"/>
        <v>0</v>
      </c>
      <c r="N23" s="438">
        <f t="shared" si="14"/>
        <v>0</v>
      </c>
      <c r="O23" s="438">
        <f t="shared" si="14"/>
        <v>0</v>
      </c>
      <c r="P23" s="438">
        <f t="shared" si="14"/>
        <v>0</v>
      </c>
      <c r="Q23" s="438">
        <f t="shared" si="14"/>
        <v>0</v>
      </c>
      <c r="R23" s="438">
        <f t="shared" si="14"/>
        <v>0</v>
      </c>
      <c r="S23" s="438">
        <f t="shared" si="11"/>
        <v>1.0000000000000002</v>
      </c>
      <c r="T23" s="438">
        <f t="shared" si="9"/>
        <v>0.13823264490239351</v>
      </c>
    </row>
    <row r="24" spans="1:20" ht="15" customHeight="1">
      <c r="A24" s="602"/>
      <c r="B24" s="428" t="s">
        <v>777</v>
      </c>
      <c r="C24" s="441">
        <f>C8/$S$8</f>
        <v>0</v>
      </c>
      <c r="D24" s="441">
        <f t="shared" ref="D24:R24" si="15">D8/$S$8</f>
        <v>0</v>
      </c>
      <c r="E24" s="441">
        <f t="shared" si="15"/>
        <v>5.5355660116246874E-2</v>
      </c>
      <c r="F24" s="441">
        <f t="shared" si="15"/>
        <v>0</v>
      </c>
      <c r="G24" s="441">
        <f t="shared" si="15"/>
        <v>0</v>
      </c>
      <c r="H24" s="441">
        <f t="shared" si="15"/>
        <v>0</v>
      </c>
      <c r="I24" s="441">
        <f t="shared" si="15"/>
        <v>0</v>
      </c>
      <c r="J24" s="441">
        <f t="shared" si="15"/>
        <v>0</v>
      </c>
      <c r="K24" s="441">
        <f t="shared" si="15"/>
        <v>0</v>
      </c>
      <c r="L24" s="441">
        <f t="shared" si="15"/>
        <v>0</v>
      </c>
      <c r="M24" s="441">
        <f t="shared" si="15"/>
        <v>0.94464433988375318</v>
      </c>
      <c r="N24" s="441">
        <f t="shared" si="15"/>
        <v>0</v>
      </c>
      <c r="O24" s="441">
        <f t="shared" si="15"/>
        <v>0</v>
      </c>
      <c r="P24" s="441">
        <f t="shared" si="15"/>
        <v>0</v>
      </c>
      <c r="Q24" s="441">
        <f t="shared" si="15"/>
        <v>0</v>
      </c>
      <c r="R24" s="441">
        <f t="shared" si="15"/>
        <v>0</v>
      </c>
      <c r="S24" s="441">
        <f t="shared" si="11"/>
        <v>1</v>
      </c>
      <c r="T24" s="441">
        <f t="shared" si="9"/>
        <v>3.7145037068014911E-3</v>
      </c>
    </row>
    <row r="25" spans="1:20" ht="15" customHeight="1">
      <c r="A25" s="602"/>
      <c r="B25" s="430" t="s">
        <v>778</v>
      </c>
      <c r="C25" s="439">
        <f>C9/$S$9</f>
        <v>0</v>
      </c>
      <c r="D25" s="439">
        <f t="shared" ref="D25:R25" si="16">D9/$S$9</f>
        <v>0</v>
      </c>
      <c r="E25" s="439">
        <f t="shared" si="16"/>
        <v>7.6440896936477543E-2</v>
      </c>
      <c r="F25" s="439">
        <f t="shared" si="16"/>
        <v>0.20821720855650164</v>
      </c>
      <c r="G25" s="439">
        <f t="shared" si="16"/>
        <v>0</v>
      </c>
      <c r="H25" s="439">
        <f t="shared" si="16"/>
        <v>0.128566464133609</v>
      </c>
      <c r="I25" s="439">
        <f t="shared" si="16"/>
        <v>0</v>
      </c>
      <c r="J25" s="439">
        <f t="shared" si="16"/>
        <v>0</v>
      </c>
      <c r="K25" s="439">
        <f t="shared" si="16"/>
        <v>0</v>
      </c>
      <c r="L25" s="439">
        <f t="shared" si="16"/>
        <v>0</v>
      </c>
      <c r="M25" s="439">
        <f t="shared" si="16"/>
        <v>0</v>
      </c>
      <c r="N25" s="439">
        <f t="shared" si="16"/>
        <v>0.1668559823988596</v>
      </c>
      <c r="O25" s="439">
        <f t="shared" si="16"/>
        <v>0.19629637600555688</v>
      </c>
      <c r="P25" s="439">
        <f t="shared" si="16"/>
        <v>0</v>
      </c>
      <c r="Q25" s="439">
        <f t="shared" si="16"/>
        <v>0.20380892405913079</v>
      </c>
      <c r="R25" s="439">
        <f t="shared" si="16"/>
        <v>1.9814147909864577E-2</v>
      </c>
      <c r="S25" s="439">
        <f t="shared" si="11"/>
        <v>1</v>
      </c>
      <c r="T25" s="439">
        <f t="shared" si="9"/>
        <v>8.6845609594594642E-2</v>
      </c>
    </row>
    <row r="26" spans="1:20" ht="15" customHeight="1">
      <c r="A26" s="602"/>
      <c r="B26" s="432" t="s">
        <v>436</v>
      </c>
      <c r="C26" s="440">
        <f>C10/$S$10</f>
        <v>1.2984668384004791E-2</v>
      </c>
      <c r="D26" s="440">
        <f t="shared" ref="D26:R26" si="17">D10/$S$10</f>
        <v>0.10313316625238891</v>
      </c>
      <c r="E26" s="440">
        <f t="shared" si="17"/>
        <v>2.3417594033697205E-2</v>
      </c>
      <c r="F26" s="440">
        <f t="shared" si="17"/>
        <v>0.31486997693223356</v>
      </c>
      <c r="G26" s="440">
        <f t="shared" si="17"/>
        <v>0</v>
      </c>
      <c r="H26" s="440">
        <f t="shared" si="17"/>
        <v>0.53016707381318295</v>
      </c>
      <c r="I26" s="440">
        <f t="shared" si="17"/>
        <v>0</v>
      </c>
      <c r="J26" s="440">
        <f t="shared" si="17"/>
        <v>0</v>
      </c>
      <c r="K26" s="440">
        <f t="shared" si="17"/>
        <v>1.0636365123469998E-2</v>
      </c>
      <c r="L26" s="440">
        <f t="shared" si="17"/>
        <v>0</v>
      </c>
      <c r="M26" s="440">
        <f t="shared" si="17"/>
        <v>0</v>
      </c>
      <c r="N26" s="440">
        <f t="shared" si="17"/>
        <v>0</v>
      </c>
      <c r="O26" s="440">
        <f t="shared" si="17"/>
        <v>0</v>
      </c>
      <c r="P26" s="440">
        <f t="shared" si="17"/>
        <v>4.7911554610225318E-3</v>
      </c>
      <c r="Q26" s="440">
        <f t="shared" si="17"/>
        <v>0</v>
      </c>
      <c r="R26" s="440">
        <f t="shared" si="17"/>
        <v>0</v>
      </c>
      <c r="S26" s="440">
        <f t="shared" si="11"/>
        <v>0.99999999999999989</v>
      </c>
      <c r="T26" s="440">
        <f t="shared" si="9"/>
        <v>0.10858690089819061</v>
      </c>
    </row>
    <row r="27" spans="1:20" ht="15" customHeight="1">
      <c r="A27" s="602"/>
      <c r="B27" s="423" t="s">
        <v>110</v>
      </c>
      <c r="C27" s="449">
        <f>C11/$S$11</f>
        <v>0.6025923175188348</v>
      </c>
      <c r="D27" s="449">
        <f t="shared" ref="D27:R27" si="18">D11/$S$11</f>
        <v>0.19605751708062663</v>
      </c>
      <c r="E27" s="449">
        <f t="shared" si="18"/>
        <v>0</v>
      </c>
      <c r="F27" s="449">
        <f t="shared" si="18"/>
        <v>0</v>
      </c>
      <c r="G27" s="449">
        <f t="shared" si="18"/>
        <v>0</v>
      </c>
      <c r="H27" s="449">
        <f t="shared" si="18"/>
        <v>0</v>
      </c>
      <c r="I27" s="449">
        <f t="shared" si="18"/>
        <v>0.20135016540053849</v>
      </c>
      <c r="J27" s="449">
        <f t="shared" si="18"/>
        <v>0</v>
      </c>
      <c r="K27" s="449">
        <f t="shared" si="18"/>
        <v>0</v>
      </c>
      <c r="L27" s="449">
        <f t="shared" si="18"/>
        <v>0</v>
      </c>
      <c r="M27" s="449">
        <f t="shared" si="18"/>
        <v>0</v>
      </c>
      <c r="N27" s="449">
        <f t="shared" si="18"/>
        <v>0</v>
      </c>
      <c r="O27" s="449">
        <f t="shared" si="18"/>
        <v>0</v>
      </c>
      <c r="P27" s="449">
        <f t="shared" si="18"/>
        <v>0</v>
      </c>
      <c r="Q27" s="449">
        <f t="shared" si="18"/>
        <v>0</v>
      </c>
      <c r="R27" s="449">
        <f t="shared" si="18"/>
        <v>0</v>
      </c>
      <c r="S27" s="438">
        <f t="shared" si="11"/>
        <v>1</v>
      </c>
      <c r="T27" s="438">
        <f t="shared" si="9"/>
        <v>4.6239377051794636E-2</v>
      </c>
    </row>
    <row r="28" spans="1:20" ht="15" customHeight="1">
      <c r="A28" s="602"/>
      <c r="B28" s="427" t="s">
        <v>109</v>
      </c>
      <c r="C28" s="438">
        <f>C12/$S$12</f>
        <v>0</v>
      </c>
      <c r="D28" s="438">
        <f t="shared" ref="D28:R28" si="19">D12/$S$12</f>
        <v>0.6223827421578868</v>
      </c>
      <c r="E28" s="438">
        <f t="shared" si="19"/>
        <v>9.3701552817994985E-2</v>
      </c>
      <c r="F28" s="438">
        <f t="shared" si="19"/>
        <v>0</v>
      </c>
      <c r="G28" s="438">
        <f t="shared" si="19"/>
        <v>0</v>
      </c>
      <c r="H28" s="438">
        <f t="shared" si="19"/>
        <v>0.28391570502411817</v>
      </c>
      <c r="I28" s="438">
        <f t="shared" si="19"/>
        <v>0</v>
      </c>
      <c r="J28" s="438">
        <f t="shared" si="19"/>
        <v>0</v>
      </c>
      <c r="K28" s="438">
        <f t="shared" si="19"/>
        <v>0</v>
      </c>
      <c r="L28" s="438">
        <f t="shared" si="19"/>
        <v>0</v>
      </c>
      <c r="M28" s="438">
        <f t="shared" si="19"/>
        <v>0</v>
      </c>
      <c r="N28" s="438">
        <f t="shared" si="19"/>
        <v>0</v>
      </c>
      <c r="O28" s="438">
        <f t="shared" si="19"/>
        <v>0</v>
      </c>
      <c r="P28" s="438">
        <f t="shared" si="19"/>
        <v>0</v>
      </c>
      <c r="Q28" s="438">
        <f t="shared" si="19"/>
        <v>0</v>
      </c>
      <c r="R28" s="438">
        <f t="shared" si="19"/>
        <v>0</v>
      </c>
      <c r="S28" s="438">
        <f t="shared" si="11"/>
        <v>1</v>
      </c>
      <c r="T28" s="438">
        <f t="shared" si="9"/>
        <v>1.3325458312763321E-2</v>
      </c>
    </row>
    <row r="29" spans="1:20" ht="15" customHeight="1">
      <c r="A29" s="603"/>
      <c r="B29" s="428" t="s">
        <v>779</v>
      </c>
      <c r="C29" s="441">
        <f>C13/$S$13</f>
        <v>0</v>
      </c>
      <c r="D29" s="441">
        <f t="shared" ref="D29:R29" si="20">D13/$S$13</f>
        <v>0.59487233907139436</v>
      </c>
      <c r="E29" s="441">
        <f t="shared" si="20"/>
        <v>0.33236442342379685</v>
      </c>
      <c r="F29" s="441">
        <f t="shared" si="20"/>
        <v>7.2763237504808717E-2</v>
      </c>
      <c r="G29" s="441">
        <f t="shared" si="20"/>
        <v>0</v>
      </c>
      <c r="H29" s="441">
        <f t="shared" si="20"/>
        <v>0</v>
      </c>
      <c r="I29" s="441">
        <f t="shared" si="20"/>
        <v>0</v>
      </c>
      <c r="J29" s="441">
        <f t="shared" si="20"/>
        <v>0</v>
      </c>
      <c r="K29" s="441">
        <f t="shared" si="20"/>
        <v>0</v>
      </c>
      <c r="L29" s="441">
        <f t="shared" si="20"/>
        <v>0</v>
      </c>
      <c r="M29" s="441">
        <f t="shared" si="20"/>
        <v>0</v>
      </c>
      <c r="N29" s="441">
        <f t="shared" si="20"/>
        <v>0</v>
      </c>
      <c r="O29" s="441">
        <f t="shared" si="20"/>
        <v>0</v>
      </c>
      <c r="P29" s="441">
        <f t="shared" si="20"/>
        <v>0</v>
      </c>
      <c r="Q29" s="441">
        <f t="shared" si="20"/>
        <v>0</v>
      </c>
      <c r="R29" s="441">
        <f t="shared" si="20"/>
        <v>0</v>
      </c>
      <c r="S29" s="441">
        <f t="shared" si="11"/>
        <v>0.99999999999999989</v>
      </c>
      <c r="T29" s="441">
        <f t="shared" si="9"/>
        <v>2.7888845793850751E-2</v>
      </c>
    </row>
    <row r="30" spans="1:20">
      <c r="T30" s="60"/>
    </row>
    <row r="31" spans="1:20" ht="26.4">
      <c r="A31" s="427" t="s">
        <v>549</v>
      </c>
      <c r="B31" s="406" t="s">
        <v>773</v>
      </c>
      <c r="C31" s="406" t="s">
        <v>104</v>
      </c>
      <c r="D31" s="406" t="s">
        <v>86</v>
      </c>
      <c r="E31" s="406" t="s">
        <v>93</v>
      </c>
      <c r="F31" s="406" t="s">
        <v>102</v>
      </c>
      <c r="G31" s="406" t="s">
        <v>89</v>
      </c>
      <c r="H31" s="406" t="s">
        <v>87</v>
      </c>
      <c r="I31" s="406" t="s">
        <v>771</v>
      </c>
      <c r="J31" s="406" t="s">
        <v>91</v>
      </c>
      <c r="K31" s="406" t="s">
        <v>94</v>
      </c>
      <c r="L31" s="406" t="s">
        <v>95</v>
      </c>
      <c r="M31" s="406" t="s">
        <v>106</v>
      </c>
      <c r="N31" s="406" t="s">
        <v>772</v>
      </c>
      <c r="O31" s="406" t="s">
        <v>97</v>
      </c>
      <c r="P31" s="406" t="s">
        <v>96</v>
      </c>
      <c r="Q31" s="406" t="s">
        <v>218</v>
      </c>
      <c r="R31" s="406" t="s">
        <v>98</v>
      </c>
      <c r="S31" s="406" t="s">
        <v>549</v>
      </c>
    </row>
    <row r="32" spans="1:20">
      <c r="A32" s="601" t="s">
        <v>786</v>
      </c>
      <c r="B32" s="423" t="s">
        <v>774</v>
      </c>
      <c r="C32" s="442">
        <f>IF(C19&lt;=0,0,$T19*C19*LOG(C19,2))</f>
        <v>0</v>
      </c>
      <c r="D32" s="442">
        <f t="shared" ref="D32:R32" si="21">IF(D19&lt;=0,0,$T19*D19*LOG(D19,2))</f>
        <v>-3.841769237767638E-2</v>
      </c>
      <c r="E32" s="442">
        <f t="shared" si="21"/>
        <v>-3.6815068409622308E-2</v>
      </c>
      <c r="F32" s="442">
        <f t="shared" si="21"/>
        <v>-1.5670975963774394E-2</v>
      </c>
      <c r="G32" s="442">
        <f t="shared" si="21"/>
        <v>0</v>
      </c>
      <c r="H32" s="442">
        <f t="shared" si="21"/>
        <v>-2.1199693000358861E-2</v>
      </c>
      <c r="I32" s="442">
        <f t="shared" si="21"/>
        <v>0</v>
      </c>
      <c r="J32" s="442">
        <f t="shared" si="21"/>
        <v>-1.5922229174008672E-2</v>
      </c>
      <c r="K32" s="442">
        <f t="shared" si="21"/>
        <v>-9.0520768884906032E-3</v>
      </c>
      <c r="L32" s="442">
        <f t="shared" si="21"/>
        <v>0</v>
      </c>
      <c r="M32" s="442">
        <f t="shared" si="21"/>
        <v>0</v>
      </c>
      <c r="N32" s="442">
        <f t="shared" si="21"/>
        <v>0</v>
      </c>
      <c r="O32" s="442">
        <f t="shared" si="21"/>
        <v>0</v>
      </c>
      <c r="P32" s="442">
        <f t="shared" si="21"/>
        <v>0</v>
      </c>
      <c r="Q32" s="442">
        <f t="shared" si="21"/>
        <v>0</v>
      </c>
      <c r="R32" s="442">
        <f t="shared" si="21"/>
        <v>0</v>
      </c>
      <c r="S32" s="438">
        <f>-SUM(C32:R32)</f>
        <v>0.13707773581393121</v>
      </c>
    </row>
    <row r="33" spans="1:26">
      <c r="A33" s="602"/>
      <c r="B33" s="427" t="s">
        <v>775</v>
      </c>
      <c r="C33" s="442">
        <f t="shared" ref="C33:R33" si="22">IF(C20&lt;=0,0,$T20*C20*LOG(C20,2))</f>
        <v>0</v>
      </c>
      <c r="D33" s="442">
        <f t="shared" si="22"/>
        <v>-9.4431203545242218E-3</v>
      </c>
      <c r="E33" s="442">
        <f t="shared" si="22"/>
        <v>0</v>
      </c>
      <c r="F33" s="442">
        <f t="shared" si="22"/>
        <v>0</v>
      </c>
      <c r="G33" s="442">
        <f t="shared" si="22"/>
        <v>0</v>
      </c>
      <c r="H33" s="442">
        <f t="shared" si="22"/>
        <v>0</v>
      </c>
      <c r="I33" s="442">
        <f t="shared" si="22"/>
        <v>0</v>
      </c>
      <c r="J33" s="442">
        <f t="shared" si="22"/>
        <v>0</v>
      </c>
      <c r="K33" s="442">
        <f t="shared" si="22"/>
        <v>-1.1410914555696742E-2</v>
      </c>
      <c r="L33" s="442">
        <f t="shared" si="22"/>
        <v>-8.1615058851242633E-3</v>
      </c>
      <c r="M33" s="442">
        <f t="shared" si="22"/>
        <v>0</v>
      </c>
      <c r="N33" s="442">
        <f t="shared" si="22"/>
        <v>0</v>
      </c>
      <c r="O33" s="442">
        <f t="shared" si="22"/>
        <v>0</v>
      </c>
      <c r="P33" s="442">
        <f t="shared" si="22"/>
        <v>0</v>
      </c>
      <c r="Q33" s="442">
        <f t="shared" si="22"/>
        <v>0</v>
      </c>
      <c r="R33" s="442">
        <f t="shared" si="22"/>
        <v>0</v>
      </c>
      <c r="S33" s="438">
        <f t="shared" ref="S33:S42" si="23">-SUM(C33:R33)</f>
        <v>2.9015540795345227E-2</v>
      </c>
    </row>
    <row r="34" spans="1:26">
      <c r="A34" s="602"/>
      <c r="B34" s="427" t="s">
        <v>107</v>
      </c>
      <c r="C34" s="442">
        <f t="shared" ref="C34:R34" si="24">IF(C21&lt;=0,0,$T21*C21*LOG(C21,2))</f>
        <v>-3.7586091606850577E-3</v>
      </c>
      <c r="D34" s="442">
        <f t="shared" si="24"/>
        <v>-4.7641837104142647E-3</v>
      </c>
      <c r="E34" s="442">
        <f t="shared" si="24"/>
        <v>0</v>
      </c>
      <c r="F34" s="442">
        <f t="shared" si="24"/>
        <v>0</v>
      </c>
      <c r="G34" s="442">
        <f t="shared" si="24"/>
        <v>0</v>
      </c>
      <c r="H34" s="442">
        <f t="shared" si="24"/>
        <v>0</v>
      </c>
      <c r="I34" s="442">
        <f t="shared" si="24"/>
        <v>0</v>
      </c>
      <c r="J34" s="442">
        <f t="shared" si="24"/>
        <v>0</v>
      </c>
      <c r="K34" s="442">
        <f t="shared" si="24"/>
        <v>0</v>
      </c>
      <c r="L34" s="442">
        <f t="shared" si="24"/>
        <v>0</v>
      </c>
      <c r="M34" s="442">
        <f t="shared" si="24"/>
        <v>0</v>
      </c>
      <c r="N34" s="442">
        <f t="shared" si="24"/>
        <v>0</v>
      </c>
      <c r="O34" s="442">
        <f t="shared" si="24"/>
        <v>0</v>
      </c>
      <c r="P34" s="442">
        <f t="shared" si="24"/>
        <v>0</v>
      </c>
      <c r="Q34" s="442">
        <f t="shared" si="24"/>
        <v>0</v>
      </c>
      <c r="R34" s="442">
        <f t="shared" si="24"/>
        <v>0</v>
      </c>
      <c r="S34" s="438">
        <f t="shared" si="23"/>
        <v>8.5227928710993224E-3</v>
      </c>
    </row>
    <row r="35" spans="1:26">
      <c r="A35" s="602"/>
      <c r="B35" s="427" t="s">
        <v>108</v>
      </c>
      <c r="C35" s="442">
        <f t="shared" ref="C35:R35" si="25">IF(C22&lt;=0,0,$T22*C22*LOG(C22,2))</f>
        <v>0</v>
      </c>
      <c r="D35" s="442">
        <f t="shared" si="25"/>
        <v>-4.3687749856726153E-3</v>
      </c>
      <c r="E35" s="442">
        <f t="shared" si="25"/>
        <v>-9.1038691141940783E-3</v>
      </c>
      <c r="F35" s="442">
        <f t="shared" si="25"/>
        <v>-6.9970365012036583E-3</v>
      </c>
      <c r="G35" s="442">
        <f t="shared" si="25"/>
        <v>0</v>
      </c>
      <c r="H35" s="442">
        <f t="shared" si="25"/>
        <v>0</v>
      </c>
      <c r="I35" s="442">
        <f t="shared" si="25"/>
        <v>0</v>
      </c>
      <c r="J35" s="442">
        <f t="shared" si="25"/>
        <v>0</v>
      </c>
      <c r="K35" s="442">
        <f t="shared" si="25"/>
        <v>0</v>
      </c>
      <c r="L35" s="442">
        <f t="shared" si="25"/>
        <v>0</v>
      </c>
      <c r="M35" s="442">
        <f t="shared" si="25"/>
        <v>0</v>
      </c>
      <c r="N35" s="442">
        <f t="shared" si="25"/>
        <v>0</v>
      </c>
      <c r="O35" s="442">
        <f t="shared" si="25"/>
        <v>0</v>
      </c>
      <c r="P35" s="442">
        <f t="shared" si="25"/>
        <v>0</v>
      </c>
      <c r="Q35" s="442">
        <f t="shared" si="25"/>
        <v>0</v>
      </c>
      <c r="R35" s="442">
        <f t="shared" si="25"/>
        <v>0</v>
      </c>
      <c r="S35" s="438">
        <f t="shared" si="23"/>
        <v>2.046968060107035E-2</v>
      </c>
    </row>
    <row r="36" spans="1:26">
      <c r="A36" s="602"/>
      <c r="B36" s="427" t="s">
        <v>776</v>
      </c>
      <c r="C36" s="442">
        <f t="shared" ref="C36:R36" si="26">IF(C23&lt;=0,0,$T23*C23*LOG(C23,2))</f>
        <v>0</v>
      </c>
      <c r="D36" s="442">
        <f t="shared" si="26"/>
        <v>-2.2706799228204254E-2</v>
      </c>
      <c r="E36" s="442">
        <f>IF(E23&lt;=0,0,$T23*E23*LOG(E23,2))</f>
        <v>-3.2360761681681123E-2</v>
      </c>
      <c r="F36" s="442">
        <f t="shared" si="26"/>
        <v>0</v>
      </c>
      <c r="G36" s="442">
        <f t="shared" si="26"/>
        <v>-3.5471447455285618E-2</v>
      </c>
      <c r="H36" s="442">
        <f t="shared" si="26"/>
        <v>0</v>
      </c>
      <c r="I36" s="442">
        <f t="shared" si="26"/>
        <v>0</v>
      </c>
      <c r="J36" s="442">
        <f t="shared" si="26"/>
        <v>0</v>
      </c>
      <c r="K36" s="442">
        <f t="shared" si="26"/>
        <v>0</v>
      </c>
      <c r="L36" s="442">
        <f t="shared" si="26"/>
        <v>0</v>
      </c>
      <c r="M36" s="442">
        <f t="shared" si="26"/>
        <v>0</v>
      </c>
      <c r="N36" s="442">
        <f t="shared" si="26"/>
        <v>0</v>
      </c>
      <c r="O36" s="442">
        <f t="shared" si="26"/>
        <v>0</v>
      </c>
      <c r="P36" s="442">
        <f t="shared" si="26"/>
        <v>0</v>
      </c>
      <c r="Q36" s="442">
        <f t="shared" si="26"/>
        <v>0</v>
      </c>
      <c r="R36" s="442">
        <f t="shared" si="26"/>
        <v>0</v>
      </c>
      <c r="S36" s="438">
        <f t="shared" si="23"/>
        <v>9.0539008365170995E-2</v>
      </c>
    </row>
    <row r="37" spans="1:26">
      <c r="A37" s="602"/>
      <c r="B37" s="428" t="s">
        <v>777</v>
      </c>
      <c r="C37" s="442">
        <f t="shared" ref="C37:R37" si="27">IF(C24&lt;=0,0,$T24*C24*LOG(C24,2))</f>
        <v>0</v>
      </c>
      <c r="D37" s="442">
        <f t="shared" si="27"/>
        <v>0</v>
      </c>
      <c r="E37" s="442">
        <f t="shared" si="27"/>
        <v>-8.5848428384525141E-4</v>
      </c>
      <c r="F37" s="442">
        <f t="shared" si="27"/>
        <v>0</v>
      </c>
      <c r="G37" s="442">
        <f t="shared" si="27"/>
        <v>0</v>
      </c>
      <c r="H37" s="442">
        <f t="shared" si="27"/>
        <v>0</v>
      </c>
      <c r="I37" s="442">
        <f t="shared" si="27"/>
        <v>0</v>
      </c>
      <c r="J37" s="442">
        <f t="shared" si="27"/>
        <v>0</v>
      </c>
      <c r="K37" s="442">
        <f t="shared" si="27"/>
        <v>0</v>
      </c>
      <c r="L37" s="442">
        <f t="shared" si="27"/>
        <v>0</v>
      </c>
      <c r="M37" s="442">
        <f t="shared" si="27"/>
        <v>-2.8827889665132729E-4</v>
      </c>
      <c r="N37" s="442">
        <f t="shared" si="27"/>
        <v>0</v>
      </c>
      <c r="O37" s="442">
        <f t="shared" si="27"/>
        <v>0</v>
      </c>
      <c r="P37" s="442">
        <f t="shared" si="27"/>
        <v>0</v>
      </c>
      <c r="Q37" s="442">
        <f t="shared" si="27"/>
        <v>0</v>
      </c>
      <c r="R37" s="442">
        <f t="shared" si="27"/>
        <v>0</v>
      </c>
      <c r="S37" s="438">
        <f t="shared" si="23"/>
        <v>1.1467631804965787E-3</v>
      </c>
    </row>
    <row r="38" spans="1:26">
      <c r="A38" s="602"/>
      <c r="B38" s="430" t="s">
        <v>778</v>
      </c>
      <c r="C38" s="443">
        <f t="shared" ref="C38:R38" si="28">IF(C25&lt;=0,0,$T25*C25*LOG(C25,2))</f>
        <v>0</v>
      </c>
      <c r="D38" s="443">
        <f t="shared" si="28"/>
        <v>0</v>
      </c>
      <c r="E38" s="443">
        <f t="shared" si="28"/>
        <v>-2.4625800798369697E-2</v>
      </c>
      <c r="F38" s="443">
        <f t="shared" si="28"/>
        <v>-4.0936431737548191E-2</v>
      </c>
      <c r="G38" s="443">
        <f t="shared" si="28"/>
        <v>0</v>
      </c>
      <c r="H38" s="443">
        <f t="shared" si="28"/>
        <v>-3.30431354914053E-2</v>
      </c>
      <c r="I38" s="443">
        <f t="shared" si="28"/>
        <v>0</v>
      </c>
      <c r="J38" s="443">
        <f t="shared" si="28"/>
        <v>0</v>
      </c>
      <c r="K38" s="443">
        <f t="shared" si="28"/>
        <v>0</v>
      </c>
      <c r="L38" s="443">
        <f t="shared" si="28"/>
        <v>0</v>
      </c>
      <c r="M38" s="443">
        <f t="shared" si="28"/>
        <v>0</v>
      </c>
      <c r="N38" s="443">
        <f t="shared" si="28"/>
        <v>-3.743420751958932E-2</v>
      </c>
      <c r="O38" s="443">
        <f t="shared" si="28"/>
        <v>-4.004272930168952E-2</v>
      </c>
      <c r="P38" s="443">
        <f t="shared" si="28"/>
        <v>0</v>
      </c>
      <c r="Q38" s="443">
        <f t="shared" si="28"/>
        <v>-4.0616176478314135E-2</v>
      </c>
      <c r="R38" s="443">
        <f t="shared" si="28"/>
        <v>-9.7349655147556113E-3</v>
      </c>
      <c r="S38" s="439">
        <f t="shared" si="23"/>
        <v>0.2264334468416718</v>
      </c>
    </row>
    <row r="39" spans="1:26">
      <c r="A39" s="602"/>
      <c r="B39" s="432" t="s">
        <v>436</v>
      </c>
      <c r="C39" s="444">
        <f t="shared" ref="C39:R39" si="29">IF(C26&lt;=0,0,$T26*C26*LOG(C26,2))</f>
        <v>-8.8363163191199617E-3</v>
      </c>
      <c r="D39" s="444">
        <f t="shared" si="29"/>
        <v>-3.670353161639401E-2</v>
      </c>
      <c r="E39" s="444">
        <f t="shared" si="29"/>
        <v>-1.3772712512265018E-2</v>
      </c>
      <c r="F39" s="444">
        <f>IF(F26&lt;=0,0,$T26*F26*LOG(F26,2))</f>
        <v>-5.700186569839244E-2</v>
      </c>
      <c r="G39" s="444">
        <f t="shared" si="29"/>
        <v>0</v>
      </c>
      <c r="H39" s="444">
        <f>IF(H26&lt;=0,0,$T26*H26*LOG(H26,2))</f>
        <v>-5.2703509534722637E-2</v>
      </c>
      <c r="I39" s="444">
        <f t="shared" si="29"/>
        <v>0</v>
      </c>
      <c r="J39" s="444">
        <f t="shared" si="29"/>
        <v>0</v>
      </c>
      <c r="K39" s="444">
        <f t="shared" si="29"/>
        <v>-7.5706557508724223E-3</v>
      </c>
      <c r="L39" s="444">
        <f t="shared" si="29"/>
        <v>0</v>
      </c>
      <c r="M39" s="444">
        <f t="shared" si="29"/>
        <v>0</v>
      </c>
      <c r="N39" s="444">
        <f t="shared" si="29"/>
        <v>0</v>
      </c>
      <c r="O39" s="444">
        <f t="shared" si="29"/>
        <v>0</v>
      </c>
      <c r="P39" s="444">
        <f t="shared" si="29"/>
        <v>-4.008791700405921E-3</v>
      </c>
      <c r="Q39" s="444">
        <f t="shared" si="29"/>
        <v>0</v>
      </c>
      <c r="R39" s="444">
        <f t="shared" si="29"/>
        <v>0</v>
      </c>
      <c r="S39" s="440">
        <f t="shared" si="23"/>
        <v>0.18059738313217241</v>
      </c>
    </row>
    <row r="40" spans="1:26">
      <c r="A40" s="602"/>
      <c r="B40" s="423" t="s">
        <v>110</v>
      </c>
      <c r="C40" s="442">
        <f t="shared" ref="C40:R40" si="30">IF(C27&lt;=0,0,$T27*C27*LOG(C27,2))</f>
        <v>-2.0361131172789034E-2</v>
      </c>
      <c r="D40" s="442">
        <f t="shared" si="30"/>
        <v>-2.1310009957643192E-2</v>
      </c>
      <c r="E40" s="442">
        <f t="shared" si="30"/>
        <v>0</v>
      </c>
      <c r="F40" s="442">
        <f t="shared" si="30"/>
        <v>0</v>
      </c>
      <c r="G40" s="442">
        <f t="shared" si="30"/>
        <v>0</v>
      </c>
      <c r="H40" s="442">
        <f t="shared" si="30"/>
        <v>0</v>
      </c>
      <c r="I40" s="442">
        <f t="shared" si="30"/>
        <v>-2.1527489625470544E-2</v>
      </c>
      <c r="J40" s="442">
        <f t="shared" si="30"/>
        <v>0</v>
      </c>
      <c r="K40" s="442">
        <f t="shared" si="30"/>
        <v>0</v>
      </c>
      <c r="L40" s="442">
        <f t="shared" si="30"/>
        <v>0</v>
      </c>
      <c r="M40" s="442">
        <f t="shared" si="30"/>
        <v>0</v>
      </c>
      <c r="N40" s="442">
        <f t="shared" si="30"/>
        <v>0</v>
      </c>
      <c r="O40" s="442">
        <f t="shared" si="30"/>
        <v>0</v>
      </c>
      <c r="P40" s="442">
        <f t="shared" si="30"/>
        <v>0</v>
      </c>
      <c r="Q40" s="442">
        <f t="shared" si="30"/>
        <v>0</v>
      </c>
      <c r="R40" s="442">
        <f t="shared" si="30"/>
        <v>0</v>
      </c>
      <c r="S40" s="438">
        <f t="shared" si="23"/>
        <v>6.3198630755902777E-2</v>
      </c>
    </row>
    <row r="41" spans="1:26">
      <c r="A41" s="602"/>
      <c r="B41" s="427" t="s">
        <v>109</v>
      </c>
      <c r="C41" s="442">
        <f t="shared" ref="C41:R41" si="31">IF(C28&lt;=0,0,$T28*C28*LOG(C28,2))</f>
        <v>0</v>
      </c>
      <c r="D41" s="442">
        <f t="shared" si="31"/>
        <v>-5.6738234358078756E-3</v>
      </c>
      <c r="E41" s="442">
        <f t="shared" si="31"/>
        <v>-4.2650020620363417E-3</v>
      </c>
      <c r="F41" s="442">
        <f t="shared" si="31"/>
        <v>0</v>
      </c>
      <c r="G41" s="442">
        <f t="shared" si="31"/>
        <v>0</v>
      </c>
      <c r="H41" s="442">
        <f t="shared" si="31"/>
        <v>-6.8722462167740399E-3</v>
      </c>
      <c r="I41" s="442">
        <f t="shared" si="31"/>
        <v>0</v>
      </c>
      <c r="J41" s="442">
        <f t="shared" si="31"/>
        <v>0</v>
      </c>
      <c r="K41" s="442">
        <f t="shared" si="31"/>
        <v>0</v>
      </c>
      <c r="L41" s="442">
        <f t="shared" si="31"/>
        <v>0</v>
      </c>
      <c r="M41" s="442">
        <f t="shared" si="31"/>
        <v>0</v>
      </c>
      <c r="N41" s="442">
        <f t="shared" si="31"/>
        <v>0</v>
      </c>
      <c r="O41" s="442">
        <f t="shared" si="31"/>
        <v>0</v>
      </c>
      <c r="P41" s="442">
        <f t="shared" si="31"/>
        <v>0</v>
      </c>
      <c r="Q41" s="442">
        <f t="shared" si="31"/>
        <v>0</v>
      </c>
      <c r="R41" s="442">
        <f t="shared" si="31"/>
        <v>0</v>
      </c>
      <c r="S41" s="438">
        <f t="shared" si="23"/>
        <v>1.6811071714618257E-2</v>
      </c>
    </row>
    <row r="42" spans="1:26">
      <c r="A42" s="603"/>
      <c r="B42" s="428" t="s">
        <v>779</v>
      </c>
      <c r="C42" s="445">
        <f t="shared" ref="C42:R42" si="32">IF(C29&lt;=0,0,$T29*C29*LOG(C29,2))</f>
        <v>0</v>
      </c>
      <c r="D42" s="445">
        <f t="shared" si="32"/>
        <v>-1.2431910301434805E-2</v>
      </c>
      <c r="E42" s="445">
        <f t="shared" si="32"/>
        <v>-1.4730357224126014E-2</v>
      </c>
      <c r="F42" s="445">
        <f t="shared" si="32"/>
        <v>-7.6720004836889118E-3</v>
      </c>
      <c r="G42" s="445">
        <f t="shared" si="32"/>
        <v>0</v>
      </c>
      <c r="H42" s="445">
        <f t="shared" si="32"/>
        <v>0</v>
      </c>
      <c r="I42" s="445">
        <f t="shared" si="32"/>
        <v>0</v>
      </c>
      <c r="J42" s="445">
        <f t="shared" si="32"/>
        <v>0</v>
      </c>
      <c r="K42" s="445">
        <f t="shared" si="32"/>
        <v>0</v>
      </c>
      <c r="L42" s="445">
        <f t="shared" si="32"/>
        <v>0</v>
      </c>
      <c r="M42" s="445">
        <f t="shared" si="32"/>
        <v>0</v>
      </c>
      <c r="N42" s="445">
        <f t="shared" si="32"/>
        <v>0</v>
      </c>
      <c r="O42" s="445">
        <f t="shared" si="32"/>
        <v>0</v>
      </c>
      <c r="P42" s="445">
        <f t="shared" si="32"/>
        <v>0</v>
      </c>
      <c r="Q42" s="445">
        <f t="shared" si="32"/>
        <v>0</v>
      </c>
      <c r="R42" s="445">
        <f t="shared" si="32"/>
        <v>0</v>
      </c>
      <c r="S42" s="441">
        <f t="shared" si="23"/>
        <v>3.4834268009249734E-2</v>
      </c>
    </row>
    <row r="44" spans="1:26" ht="26.4">
      <c r="A44" s="428" t="s">
        <v>796</v>
      </c>
      <c r="B44" s="406" t="s">
        <v>773</v>
      </c>
      <c r="C44" s="406" t="s">
        <v>104</v>
      </c>
      <c r="D44" s="406" t="s">
        <v>86</v>
      </c>
      <c r="E44" s="406" t="s">
        <v>93</v>
      </c>
      <c r="F44" s="406" t="s">
        <v>102</v>
      </c>
      <c r="G44" s="406" t="s">
        <v>89</v>
      </c>
      <c r="H44" s="406" t="s">
        <v>87</v>
      </c>
      <c r="I44" s="406" t="s">
        <v>771</v>
      </c>
      <c r="J44" s="406" t="s">
        <v>91</v>
      </c>
      <c r="K44" s="406" t="s">
        <v>94</v>
      </c>
      <c r="L44" s="406" t="s">
        <v>95</v>
      </c>
      <c r="M44" s="406" t="s">
        <v>106</v>
      </c>
      <c r="N44" s="406" t="s">
        <v>772</v>
      </c>
      <c r="O44" s="406" t="s">
        <v>97</v>
      </c>
      <c r="P44" s="406" t="s">
        <v>96</v>
      </c>
      <c r="Q44" s="406" t="s">
        <v>218</v>
      </c>
      <c r="R44" s="406" t="s">
        <v>98</v>
      </c>
      <c r="S44" s="406" t="s">
        <v>796</v>
      </c>
      <c r="T44" s="406" t="s">
        <v>797</v>
      </c>
      <c r="U44" s="413" t="s">
        <v>803</v>
      </c>
      <c r="V44" s="413" t="s">
        <v>803</v>
      </c>
      <c r="X44" s="413" t="s">
        <v>804</v>
      </c>
      <c r="Y44" s="413" t="s">
        <v>805</v>
      </c>
      <c r="Z44" s="400"/>
    </row>
    <row r="45" spans="1:26">
      <c r="A45" s="596" t="s">
        <v>781</v>
      </c>
      <c r="B45" s="423" t="s">
        <v>774</v>
      </c>
      <c r="C45" s="438">
        <f t="shared" ref="C45:R45" si="33">C32/$AB$2</f>
        <v>0</v>
      </c>
      <c r="D45" s="438">
        <f t="shared" si="33"/>
        <v>1.4807049992534302E-2</v>
      </c>
      <c r="E45" s="438">
        <f t="shared" si="33"/>
        <v>1.4189362366194742E-2</v>
      </c>
      <c r="F45" s="438">
        <f t="shared" si="33"/>
        <v>6.0399495692313992E-3</v>
      </c>
      <c r="G45" s="438">
        <f t="shared" si="33"/>
        <v>0</v>
      </c>
      <c r="H45" s="438">
        <f t="shared" si="33"/>
        <v>8.1708425117458638E-3</v>
      </c>
      <c r="I45" s="438">
        <f t="shared" si="33"/>
        <v>0</v>
      </c>
      <c r="J45" s="438">
        <f t="shared" si="33"/>
        <v>6.1367882551199215E-3</v>
      </c>
      <c r="K45" s="438">
        <f t="shared" si="33"/>
        <v>3.4888757426260473E-3</v>
      </c>
      <c r="L45" s="438">
        <f t="shared" si="33"/>
        <v>0</v>
      </c>
      <c r="M45" s="438">
        <f t="shared" si="33"/>
        <v>0</v>
      </c>
      <c r="N45" s="438">
        <f t="shared" si="33"/>
        <v>0</v>
      </c>
      <c r="O45" s="438">
        <f t="shared" si="33"/>
        <v>0</v>
      </c>
      <c r="P45" s="438">
        <f t="shared" si="33"/>
        <v>0</v>
      </c>
      <c r="Q45" s="438">
        <f t="shared" si="33"/>
        <v>0</v>
      </c>
      <c r="R45" s="438">
        <f t="shared" si="33"/>
        <v>0</v>
      </c>
      <c r="S45" s="438">
        <f>SUM(C45:R45)</f>
        <v>5.2832868437452281E-2</v>
      </c>
      <c r="U45" s="53">
        <f>S45/$S$56</f>
        <v>0.19757461977121091</v>
      </c>
      <c r="V45" s="400"/>
      <c r="W45" s="53">
        <f>S45/$S$57</f>
        <v>0.34131585685307636</v>
      </c>
      <c r="X45" s="400"/>
      <c r="Y45" s="484">
        <f>S45/$T$50</f>
        <v>0.47800330742803709</v>
      </c>
      <c r="Z45" s="400"/>
    </row>
    <row r="46" spans="1:26">
      <c r="A46" s="596"/>
      <c r="B46" s="427" t="s">
        <v>775</v>
      </c>
      <c r="C46" s="438">
        <f t="shared" ref="C46:R46" si="34">C33/$AB$2</f>
        <v>0</v>
      </c>
      <c r="D46" s="438">
        <f t="shared" si="34"/>
        <v>3.6395927636769586E-3</v>
      </c>
      <c r="E46" s="438">
        <f t="shared" si="34"/>
        <v>0</v>
      </c>
      <c r="F46" s="438">
        <f t="shared" si="34"/>
        <v>0</v>
      </c>
      <c r="G46" s="438">
        <f t="shared" si="34"/>
        <v>0</v>
      </c>
      <c r="H46" s="438">
        <f t="shared" si="34"/>
        <v>0</v>
      </c>
      <c r="I46" s="438">
        <f t="shared" si="34"/>
        <v>0</v>
      </c>
      <c r="J46" s="438">
        <f t="shared" si="34"/>
        <v>0</v>
      </c>
      <c r="K46" s="438">
        <f t="shared" si="34"/>
        <v>4.3980252802721395E-3</v>
      </c>
      <c r="L46" s="438">
        <f t="shared" si="34"/>
        <v>3.145629478922574E-3</v>
      </c>
      <c r="M46" s="438">
        <f t="shared" si="34"/>
        <v>0</v>
      </c>
      <c r="N46" s="438">
        <f t="shared" si="34"/>
        <v>0</v>
      </c>
      <c r="O46" s="438">
        <f t="shared" si="34"/>
        <v>0</v>
      </c>
      <c r="P46" s="438">
        <f t="shared" si="34"/>
        <v>0</v>
      </c>
      <c r="Q46" s="438">
        <f t="shared" si="34"/>
        <v>0</v>
      </c>
      <c r="R46" s="438">
        <f t="shared" si="34"/>
        <v>0</v>
      </c>
      <c r="S46" s="438">
        <f t="shared" ref="S46:S55" si="35">SUM(C46:R46)</f>
        <v>1.1183247522871672E-2</v>
      </c>
      <c r="U46" s="53">
        <f t="shared" ref="U46:U52" si="36">S46/$S$56</f>
        <v>4.1821047058130452E-2</v>
      </c>
      <c r="V46" s="400"/>
      <c r="W46" s="53">
        <f t="shared" ref="W46:W54" si="37">S46/$S$57</f>
        <v>7.224706557789641E-2</v>
      </c>
      <c r="X46" s="400"/>
      <c r="Y46" s="484">
        <f t="shared" ref="Y46:Y50" si="38">S46/$T$50</f>
        <v>0.10117999385264571</v>
      </c>
      <c r="Z46" s="400"/>
    </row>
    <row r="47" spans="1:26">
      <c r="A47" s="596"/>
      <c r="B47" s="427" t="s">
        <v>107</v>
      </c>
      <c r="C47" s="438">
        <f t="shared" ref="C47:R47" si="39">C34/$AB$2</f>
        <v>1.4486532193953489E-3</v>
      </c>
      <c r="D47" s="438">
        <f t="shared" si="39"/>
        <v>1.8362244582580073E-3</v>
      </c>
      <c r="E47" s="438">
        <f t="shared" si="39"/>
        <v>0</v>
      </c>
      <c r="F47" s="438">
        <f t="shared" si="39"/>
        <v>0</v>
      </c>
      <c r="G47" s="438">
        <f t="shared" si="39"/>
        <v>0</v>
      </c>
      <c r="H47" s="438">
        <f t="shared" si="39"/>
        <v>0</v>
      </c>
      <c r="I47" s="438">
        <f t="shared" si="39"/>
        <v>0</v>
      </c>
      <c r="J47" s="438">
        <f t="shared" si="39"/>
        <v>0</v>
      </c>
      <c r="K47" s="438">
        <f t="shared" si="39"/>
        <v>0</v>
      </c>
      <c r="L47" s="438">
        <f t="shared" si="39"/>
        <v>0</v>
      </c>
      <c r="M47" s="438">
        <f t="shared" si="39"/>
        <v>0</v>
      </c>
      <c r="N47" s="438">
        <f t="shared" si="39"/>
        <v>0</v>
      </c>
      <c r="O47" s="438">
        <f t="shared" si="39"/>
        <v>0</v>
      </c>
      <c r="P47" s="438">
        <f t="shared" si="39"/>
        <v>0</v>
      </c>
      <c r="Q47" s="438">
        <f t="shared" si="39"/>
        <v>0</v>
      </c>
      <c r="R47" s="438">
        <f t="shared" si="39"/>
        <v>0</v>
      </c>
      <c r="S47" s="438">
        <f t="shared" si="35"/>
        <v>3.2848776776533565E-3</v>
      </c>
      <c r="U47" s="53">
        <f t="shared" si="36"/>
        <v>1.2284179855304424E-2</v>
      </c>
      <c r="V47" s="400"/>
      <c r="W47" s="53">
        <f t="shared" si="37"/>
        <v>2.1221275171404735E-2</v>
      </c>
      <c r="X47" s="400"/>
      <c r="Y47" s="484">
        <f t="shared" si="38"/>
        <v>2.9719802101484224E-2</v>
      </c>
      <c r="Z47" s="400"/>
    </row>
    <row r="48" spans="1:26">
      <c r="A48" s="596"/>
      <c r="B48" s="427" t="s">
        <v>108</v>
      </c>
      <c r="C48" s="438">
        <f t="shared" ref="C48:R48" si="40">C35/$AB$2</f>
        <v>0</v>
      </c>
      <c r="D48" s="438">
        <f t="shared" si="40"/>
        <v>1.6838249674927591E-3</v>
      </c>
      <c r="E48" s="438">
        <f t="shared" si="40"/>
        <v>3.5088376411096115E-3</v>
      </c>
      <c r="F48" s="438">
        <f t="shared" si="40"/>
        <v>2.6968165670750326E-3</v>
      </c>
      <c r="G48" s="438">
        <f t="shared" si="40"/>
        <v>0</v>
      </c>
      <c r="H48" s="438">
        <f t="shared" si="40"/>
        <v>0</v>
      </c>
      <c r="I48" s="438">
        <f t="shared" si="40"/>
        <v>0</v>
      </c>
      <c r="J48" s="438">
        <f t="shared" si="40"/>
        <v>0</v>
      </c>
      <c r="K48" s="438">
        <f t="shared" si="40"/>
        <v>0</v>
      </c>
      <c r="L48" s="438">
        <f t="shared" si="40"/>
        <v>0</v>
      </c>
      <c r="M48" s="438">
        <f t="shared" si="40"/>
        <v>0</v>
      </c>
      <c r="N48" s="438">
        <f t="shared" si="40"/>
        <v>0</v>
      </c>
      <c r="O48" s="438">
        <f t="shared" si="40"/>
        <v>0</v>
      </c>
      <c r="P48" s="438">
        <f t="shared" si="40"/>
        <v>0</v>
      </c>
      <c r="Q48" s="438">
        <f t="shared" si="40"/>
        <v>0</v>
      </c>
      <c r="R48" s="438">
        <f t="shared" si="40"/>
        <v>0</v>
      </c>
      <c r="S48" s="438">
        <f t="shared" si="35"/>
        <v>7.8894791756774028E-3</v>
      </c>
      <c r="U48" s="53">
        <f t="shared" si="36"/>
        <v>2.9503619516186848E-2</v>
      </c>
      <c r="V48" s="400"/>
      <c r="W48" s="53">
        <f t="shared" si="37"/>
        <v>5.0968354068429762E-2</v>
      </c>
      <c r="X48" s="400"/>
      <c r="Y48" s="484">
        <f t="shared" si="38"/>
        <v>7.1379753766787485E-2</v>
      </c>
      <c r="Z48" s="400"/>
    </row>
    <row r="49" spans="1:26">
      <c r="A49" s="596"/>
      <c r="B49" s="427" t="s">
        <v>776</v>
      </c>
      <c r="C49" s="438">
        <f t="shared" ref="C49:R49" si="41">C36/$AB$2</f>
        <v>0</v>
      </c>
      <c r="D49" s="438">
        <f t="shared" si="41"/>
        <v>8.7517154345748693E-3</v>
      </c>
      <c r="E49" s="438">
        <f t="shared" si="41"/>
        <v>1.2472571525289576E-2</v>
      </c>
      <c r="F49" s="438">
        <f t="shared" si="41"/>
        <v>0</v>
      </c>
      <c r="G49" s="438">
        <f t="shared" si="41"/>
        <v>1.3671500375779083E-2</v>
      </c>
      <c r="H49" s="438">
        <f t="shared" si="41"/>
        <v>0</v>
      </c>
      <c r="I49" s="438">
        <f t="shared" si="41"/>
        <v>0</v>
      </c>
      <c r="J49" s="438">
        <f t="shared" si="41"/>
        <v>0</v>
      </c>
      <c r="K49" s="438">
        <f t="shared" si="41"/>
        <v>0</v>
      </c>
      <c r="L49" s="438">
        <f t="shared" si="41"/>
        <v>0</v>
      </c>
      <c r="M49" s="438">
        <f t="shared" si="41"/>
        <v>0</v>
      </c>
      <c r="N49" s="438">
        <f t="shared" si="41"/>
        <v>0</v>
      </c>
      <c r="O49" s="438">
        <f t="shared" si="41"/>
        <v>0</v>
      </c>
      <c r="P49" s="438">
        <f t="shared" si="41"/>
        <v>0</v>
      </c>
      <c r="Q49" s="438">
        <f t="shared" si="41"/>
        <v>0</v>
      </c>
      <c r="R49" s="438">
        <f t="shared" si="41"/>
        <v>0</v>
      </c>
      <c r="S49" s="438">
        <f t="shared" si="35"/>
        <v>3.4895787335643531E-2</v>
      </c>
      <c r="U49" s="53">
        <f t="shared" si="36"/>
        <v>0.13049683120308123</v>
      </c>
      <c r="V49" s="400"/>
      <c r="W49" s="53">
        <f t="shared" si="37"/>
        <v>0.22543704151003038</v>
      </c>
      <c r="X49" s="400"/>
      <c r="Y49" s="484">
        <f t="shared" si="38"/>
        <v>0.31571826885550375</v>
      </c>
      <c r="Z49" s="40">
        <f>Y45+Y48+Y49</f>
        <v>0.8651013300503283</v>
      </c>
    </row>
    <row r="50" spans="1:26">
      <c r="A50" s="597"/>
      <c r="B50" s="428" t="s">
        <v>777</v>
      </c>
      <c r="C50" s="438">
        <f t="shared" ref="C50:R50" si="42">C37/$AB$2</f>
        <v>0</v>
      </c>
      <c r="D50" s="438">
        <f t="shared" si="42"/>
        <v>0</v>
      </c>
      <c r="E50" s="438">
        <f t="shared" si="42"/>
        <v>3.3087931424241585E-4</v>
      </c>
      <c r="F50" s="438">
        <f t="shared" si="42"/>
        <v>0</v>
      </c>
      <c r="G50" s="438">
        <f t="shared" si="42"/>
        <v>0</v>
      </c>
      <c r="H50" s="438">
        <f t="shared" si="42"/>
        <v>0</v>
      </c>
      <c r="I50" s="438">
        <f t="shared" si="42"/>
        <v>0</v>
      </c>
      <c r="J50" s="438">
        <f t="shared" si="42"/>
        <v>0</v>
      </c>
      <c r="K50" s="438">
        <f t="shared" si="42"/>
        <v>0</v>
      </c>
      <c r="L50" s="438">
        <f t="shared" si="42"/>
        <v>0</v>
      </c>
      <c r="M50" s="438">
        <f t="shared" si="42"/>
        <v>1.1110922521179833E-4</v>
      </c>
      <c r="N50" s="438">
        <f t="shared" si="42"/>
        <v>0</v>
      </c>
      <c r="O50" s="438">
        <f t="shared" si="42"/>
        <v>0</v>
      </c>
      <c r="P50" s="438">
        <f t="shared" si="42"/>
        <v>0</v>
      </c>
      <c r="Q50" s="438">
        <f t="shared" si="42"/>
        <v>0</v>
      </c>
      <c r="R50" s="438">
        <f t="shared" si="42"/>
        <v>0</v>
      </c>
      <c r="S50" s="438">
        <f t="shared" si="35"/>
        <v>4.4198853945421419E-4</v>
      </c>
      <c r="T50" s="441">
        <f>SUM(S45:S50)</f>
        <v>0.11052824868875247</v>
      </c>
      <c r="U50" s="53">
        <f t="shared" si="36"/>
        <v>1.6528672436038998E-3</v>
      </c>
      <c r="V50" s="53">
        <f>T50/S56</f>
        <v>0.41333316464751779</v>
      </c>
      <c r="W50" s="53">
        <f t="shared" si="37"/>
        <v>2.8553758583381122E-3</v>
      </c>
      <c r="X50" s="53">
        <f>SUM(T50/S57)</f>
        <v>0.7140449690391758</v>
      </c>
      <c r="Y50" s="484">
        <f t="shared" si="38"/>
        <v>3.998873995541663E-3</v>
      </c>
      <c r="Z50" s="400"/>
    </row>
    <row r="51" spans="1:26">
      <c r="A51" s="600" t="s">
        <v>782</v>
      </c>
      <c r="B51" s="430" t="s">
        <v>778</v>
      </c>
      <c r="C51" s="439">
        <f t="shared" ref="C51:R51" si="43">C38/$AB$2</f>
        <v>0</v>
      </c>
      <c r="D51" s="439">
        <f t="shared" si="43"/>
        <v>0</v>
      </c>
      <c r="E51" s="439">
        <f t="shared" si="43"/>
        <v>9.4913421645161679E-3</v>
      </c>
      <c r="F51" s="439">
        <f t="shared" si="43"/>
        <v>1.5777829269257779E-2</v>
      </c>
      <c r="G51" s="439">
        <f t="shared" si="43"/>
        <v>0</v>
      </c>
      <c r="H51" s="439">
        <f t="shared" si="43"/>
        <v>1.2735573868450957E-2</v>
      </c>
      <c r="I51" s="439">
        <f t="shared" si="43"/>
        <v>0</v>
      </c>
      <c r="J51" s="439">
        <f t="shared" si="43"/>
        <v>0</v>
      </c>
      <c r="K51" s="439">
        <f t="shared" si="43"/>
        <v>0</v>
      </c>
      <c r="L51" s="439">
        <f t="shared" si="43"/>
        <v>0</v>
      </c>
      <c r="M51" s="439">
        <f t="shared" si="43"/>
        <v>0</v>
      </c>
      <c r="N51" s="439">
        <f t="shared" si="43"/>
        <v>1.4427992621845959E-2</v>
      </c>
      <c r="O51" s="439">
        <f t="shared" si="43"/>
        <v>1.5433376080447864E-2</v>
      </c>
      <c r="P51" s="439">
        <f t="shared" si="43"/>
        <v>0</v>
      </c>
      <c r="Q51" s="439">
        <f t="shared" si="43"/>
        <v>1.5654395628651969E-2</v>
      </c>
      <c r="R51" s="439">
        <f t="shared" si="43"/>
        <v>3.7520765077587977E-3</v>
      </c>
      <c r="S51" s="439">
        <f t="shared" si="35"/>
        <v>8.727258614092949E-2</v>
      </c>
      <c r="U51" s="53">
        <f t="shared" si="36"/>
        <v>0.32636592585651181</v>
      </c>
      <c r="V51" s="53"/>
      <c r="W51" s="53"/>
      <c r="X51" s="53"/>
    </row>
    <row r="52" spans="1:26">
      <c r="A52" s="599"/>
      <c r="B52" s="432" t="s">
        <v>436</v>
      </c>
      <c r="C52" s="440">
        <f t="shared" ref="C52:R52" si="44">C39/$AB$2</f>
        <v>3.4057167255335695E-3</v>
      </c>
      <c r="D52" s="440">
        <f t="shared" si="44"/>
        <v>1.4146373556322913E-2</v>
      </c>
      <c r="E52" s="440">
        <f t="shared" si="44"/>
        <v>5.3083157805806072E-3</v>
      </c>
      <c r="F52" s="440">
        <f t="shared" si="44"/>
        <v>2.19698118972463E-2</v>
      </c>
      <c r="G52" s="440">
        <f t="shared" si="44"/>
        <v>0</v>
      </c>
      <c r="H52" s="440">
        <f t="shared" si="44"/>
        <v>2.0313127940919974E-2</v>
      </c>
      <c r="I52" s="440">
        <f t="shared" si="44"/>
        <v>0</v>
      </c>
      <c r="J52" s="440">
        <f t="shared" si="44"/>
        <v>0</v>
      </c>
      <c r="K52" s="440">
        <f t="shared" si="44"/>
        <v>2.9179024361331348E-3</v>
      </c>
      <c r="L52" s="440">
        <f t="shared" si="44"/>
        <v>0</v>
      </c>
      <c r="M52" s="440">
        <f t="shared" si="44"/>
        <v>0</v>
      </c>
      <c r="N52" s="440">
        <f t="shared" si="44"/>
        <v>0</v>
      </c>
      <c r="O52" s="440">
        <f t="shared" si="44"/>
        <v>0</v>
      </c>
      <c r="P52" s="440">
        <f t="shared" si="44"/>
        <v>1.5450792445841654E-3</v>
      </c>
      <c r="Q52" s="440">
        <f t="shared" si="44"/>
        <v>0</v>
      </c>
      <c r="R52" s="440">
        <f t="shared" si="44"/>
        <v>0</v>
      </c>
      <c r="S52" s="440">
        <f t="shared" si="35"/>
        <v>6.9606327581320654E-2</v>
      </c>
      <c r="T52" s="440">
        <f>SUM(S51:S52)</f>
        <v>0.15687891372225016</v>
      </c>
      <c r="U52" s="53">
        <f t="shared" si="36"/>
        <v>0.26030090949597046</v>
      </c>
      <c r="V52" s="53">
        <f>T52/S56</f>
        <v>0.58666683535248232</v>
      </c>
      <c r="W52" s="53"/>
      <c r="X52" s="53"/>
    </row>
    <row r="53" spans="1:26">
      <c r="A53" s="595" t="s">
        <v>783</v>
      </c>
      <c r="B53" s="423" t="s">
        <v>110</v>
      </c>
      <c r="C53" s="438">
        <f t="shared" ref="C53:R53" si="45">C40/$AB$2</f>
        <v>7.8476417640124477E-3</v>
      </c>
      <c r="D53" s="438">
        <f t="shared" si="45"/>
        <v>8.2133611691778373E-3</v>
      </c>
      <c r="E53" s="438">
        <f t="shared" si="45"/>
        <v>0</v>
      </c>
      <c r="F53" s="438">
        <f t="shared" si="45"/>
        <v>0</v>
      </c>
      <c r="G53" s="438">
        <f t="shared" si="45"/>
        <v>0</v>
      </c>
      <c r="H53" s="438">
        <f t="shared" si="45"/>
        <v>0</v>
      </c>
      <c r="I53" s="438">
        <f t="shared" si="45"/>
        <v>8.2971827658063352E-3</v>
      </c>
      <c r="J53" s="438">
        <f t="shared" si="45"/>
        <v>0</v>
      </c>
      <c r="K53" s="438">
        <f t="shared" si="45"/>
        <v>0</v>
      </c>
      <c r="L53" s="438">
        <f t="shared" si="45"/>
        <v>0</v>
      </c>
      <c r="M53" s="438">
        <f t="shared" si="45"/>
        <v>0</v>
      </c>
      <c r="N53" s="438">
        <f t="shared" si="45"/>
        <v>0</v>
      </c>
      <c r="O53" s="438">
        <f t="shared" si="45"/>
        <v>0</v>
      </c>
      <c r="P53" s="438">
        <f t="shared" si="45"/>
        <v>0</v>
      </c>
      <c r="Q53" s="438">
        <f t="shared" si="45"/>
        <v>0</v>
      </c>
      <c r="R53" s="438">
        <f t="shared" si="45"/>
        <v>0</v>
      </c>
      <c r="S53" s="438">
        <f t="shared" si="35"/>
        <v>2.4358185698996622E-2</v>
      </c>
      <c r="U53" s="53"/>
      <c r="V53" s="53"/>
      <c r="W53" s="53">
        <f t="shared" si="37"/>
        <v>0.1573610381022934</v>
      </c>
      <c r="X53" s="53"/>
    </row>
    <row r="54" spans="1:26">
      <c r="A54" s="596"/>
      <c r="B54" s="427" t="s">
        <v>109</v>
      </c>
      <c r="C54" s="438">
        <f t="shared" ref="C54:R54" si="46">C41/$AB$2</f>
        <v>0</v>
      </c>
      <c r="D54" s="438">
        <f t="shared" si="46"/>
        <v>2.1868202399277291E-3</v>
      </c>
      <c r="E54" s="438">
        <f t="shared" si="46"/>
        <v>1.6438285290537181E-3</v>
      </c>
      <c r="F54" s="438">
        <f t="shared" si="46"/>
        <v>0</v>
      </c>
      <c r="G54" s="438">
        <f t="shared" si="46"/>
        <v>0</v>
      </c>
      <c r="H54" s="438">
        <f t="shared" si="46"/>
        <v>2.6487195610922988E-3</v>
      </c>
      <c r="I54" s="438">
        <f t="shared" si="46"/>
        <v>0</v>
      </c>
      <c r="J54" s="438">
        <f t="shared" si="46"/>
        <v>0</v>
      </c>
      <c r="K54" s="438">
        <f t="shared" si="46"/>
        <v>0</v>
      </c>
      <c r="L54" s="438">
        <f t="shared" si="46"/>
        <v>0</v>
      </c>
      <c r="M54" s="438">
        <f t="shared" si="46"/>
        <v>0</v>
      </c>
      <c r="N54" s="438">
        <f t="shared" si="46"/>
        <v>0</v>
      </c>
      <c r="O54" s="438">
        <f t="shared" si="46"/>
        <v>0</v>
      </c>
      <c r="P54" s="438">
        <f t="shared" si="46"/>
        <v>0</v>
      </c>
      <c r="Q54" s="438">
        <f t="shared" si="46"/>
        <v>0</v>
      </c>
      <c r="R54" s="438">
        <f t="shared" si="46"/>
        <v>0</v>
      </c>
      <c r="S54" s="438">
        <f t="shared" si="35"/>
        <v>6.4793683300737454E-3</v>
      </c>
      <c r="U54" s="53"/>
      <c r="V54" s="53"/>
      <c r="W54" s="53">
        <f t="shared" si="37"/>
        <v>4.1858623596482715E-2</v>
      </c>
      <c r="X54" s="53"/>
    </row>
    <row r="55" spans="1:26">
      <c r="A55" s="597"/>
      <c r="B55" s="428" t="s">
        <v>779</v>
      </c>
      <c r="C55" s="441">
        <f t="shared" ref="C55:R55" si="47">C42/$AB$2</f>
        <v>0</v>
      </c>
      <c r="D55" s="441">
        <f t="shared" si="47"/>
        <v>4.7915401978441546E-3</v>
      </c>
      <c r="E55" s="441">
        <f t="shared" si="47"/>
        <v>5.6774137728340789E-3</v>
      </c>
      <c r="F55" s="441">
        <f t="shared" si="47"/>
        <v>2.9569629947565302E-3</v>
      </c>
      <c r="G55" s="441">
        <f t="shared" si="47"/>
        <v>0</v>
      </c>
      <c r="H55" s="441">
        <f t="shared" si="47"/>
        <v>0</v>
      </c>
      <c r="I55" s="441">
        <f t="shared" si="47"/>
        <v>0</v>
      </c>
      <c r="J55" s="441">
        <f t="shared" si="47"/>
        <v>0</v>
      </c>
      <c r="K55" s="441">
        <f t="shared" si="47"/>
        <v>0</v>
      </c>
      <c r="L55" s="441">
        <f t="shared" si="47"/>
        <v>0</v>
      </c>
      <c r="M55" s="441">
        <f t="shared" si="47"/>
        <v>0</v>
      </c>
      <c r="N55" s="441">
        <f t="shared" si="47"/>
        <v>0</v>
      </c>
      <c r="O55" s="441">
        <f t="shared" si="47"/>
        <v>0</v>
      </c>
      <c r="P55" s="441">
        <f t="shared" si="47"/>
        <v>0</v>
      </c>
      <c r="Q55" s="441">
        <f t="shared" si="47"/>
        <v>0</v>
      </c>
      <c r="R55" s="441">
        <f t="shared" si="47"/>
        <v>0</v>
      </c>
      <c r="S55" s="441">
        <f t="shared" si="35"/>
        <v>1.3425916965434763E-2</v>
      </c>
      <c r="T55" s="441">
        <f>SUM(S53:S55)</f>
        <v>4.426347099450513E-2</v>
      </c>
      <c r="U55" s="53"/>
      <c r="V55" s="53"/>
      <c r="W55" s="53">
        <f>S55/$S$57</f>
        <v>8.6735369262047932E-2</v>
      </c>
      <c r="X55" s="53">
        <f>T55/S57</f>
        <v>0.28595503096082409</v>
      </c>
    </row>
    <row r="56" spans="1:26" s="400" customFormat="1">
      <c r="A56" s="426"/>
      <c r="B56" s="427"/>
      <c r="C56" s="438"/>
      <c r="D56" s="438"/>
      <c r="E56" s="438"/>
      <c r="F56" s="438"/>
      <c r="G56" s="438"/>
      <c r="H56" s="438"/>
      <c r="I56" s="438"/>
      <c r="J56" s="438"/>
      <c r="K56" s="438"/>
      <c r="L56" s="438"/>
      <c r="M56" s="438"/>
      <c r="N56" s="438"/>
      <c r="O56" s="438"/>
      <c r="P56" s="438"/>
      <c r="Q56" s="438"/>
      <c r="R56" s="438"/>
      <c r="S56" s="438">
        <f>SUM(S45:S52)</f>
        <v>0.2674071624110026</v>
      </c>
      <c r="T56" s="438"/>
      <c r="U56" s="53">
        <f>SUM(U45:U55)</f>
        <v>1</v>
      </c>
      <c r="W56" s="53">
        <f>SUM(W45:W55)</f>
        <v>0.99999999999999978</v>
      </c>
    </row>
    <row r="57" spans="1:26" s="400" customFormat="1">
      <c r="A57" s="426"/>
      <c r="B57" s="427"/>
      <c r="C57" s="438"/>
      <c r="D57" s="438"/>
      <c r="E57" s="438"/>
      <c r="F57" s="438"/>
      <c r="G57" s="438"/>
      <c r="H57" s="438"/>
      <c r="I57" s="438"/>
      <c r="J57" s="438"/>
      <c r="K57" s="438"/>
      <c r="L57" s="438"/>
      <c r="M57" s="438"/>
      <c r="N57" s="438"/>
      <c r="O57" s="438"/>
      <c r="P57" s="438"/>
      <c r="Q57" s="438"/>
      <c r="R57" s="438"/>
      <c r="S57" s="438">
        <f>SUM(S45:S50)+SUM(S53:S55)</f>
        <v>0.15479171968325761</v>
      </c>
      <c r="T57" s="438"/>
    </row>
    <row r="58" spans="1:26" s="400" customFormat="1" ht="26.4">
      <c r="A58" s="426"/>
      <c r="B58" s="427"/>
      <c r="C58" s="406" t="s">
        <v>104</v>
      </c>
      <c r="D58" s="406" t="s">
        <v>86</v>
      </c>
      <c r="E58" s="406" t="s">
        <v>93</v>
      </c>
      <c r="F58" s="406" t="s">
        <v>102</v>
      </c>
      <c r="G58" s="406" t="s">
        <v>89</v>
      </c>
      <c r="H58" s="406" t="s">
        <v>87</v>
      </c>
      <c r="I58" s="406" t="s">
        <v>771</v>
      </c>
      <c r="J58" s="406" t="s">
        <v>91</v>
      </c>
      <c r="K58" s="406" t="s">
        <v>94</v>
      </c>
      <c r="L58" s="406" t="s">
        <v>95</v>
      </c>
      <c r="M58" s="406" t="s">
        <v>106</v>
      </c>
      <c r="N58" s="406" t="s">
        <v>772</v>
      </c>
      <c r="O58" s="406" t="s">
        <v>97</v>
      </c>
      <c r="P58" s="406" t="s">
        <v>96</v>
      </c>
      <c r="Q58" s="406" t="s">
        <v>218</v>
      </c>
      <c r="R58" s="406" t="s">
        <v>98</v>
      </c>
      <c r="S58" s="406" t="s">
        <v>796</v>
      </c>
      <c r="T58" s="438"/>
    </row>
    <row r="59" spans="1:26">
      <c r="A59" s="434"/>
      <c r="B59" s="482" t="s">
        <v>800</v>
      </c>
      <c r="C59" s="446">
        <f>SUM(C45:C55)</f>
        <v>1.2702011708941367E-2</v>
      </c>
      <c r="D59" s="446">
        <f t="shared" ref="D59:R59" si="48">SUM(D45:D55)</f>
        <v>6.0056502779809527E-2</v>
      </c>
      <c r="E59" s="446">
        <f t="shared" si="48"/>
        <v>5.2622551093820913E-2</v>
      </c>
      <c r="F59" s="446">
        <f t="shared" si="48"/>
        <v>4.9441370297567039E-2</v>
      </c>
      <c r="G59" s="446">
        <f t="shared" si="48"/>
        <v>1.3671500375779083E-2</v>
      </c>
      <c r="H59" s="446">
        <f t="shared" si="48"/>
        <v>4.3868263882209095E-2</v>
      </c>
      <c r="I59" s="446">
        <f t="shared" si="48"/>
        <v>8.2971827658063352E-3</v>
      </c>
      <c r="J59" s="446">
        <f t="shared" si="48"/>
        <v>6.1367882551199215E-3</v>
      </c>
      <c r="K59" s="446">
        <f t="shared" si="48"/>
        <v>1.0804803459031322E-2</v>
      </c>
      <c r="L59" s="446">
        <f t="shared" si="48"/>
        <v>3.145629478922574E-3</v>
      </c>
      <c r="M59" s="446">
        <f t="shared" si="48"/>
        <v>1.1110922521179833E-4</v>
      </c>
      <c r="N59" s="446">
        <f t="shared" si="48"/>
        <v>1.4427992621845959E-2</v>
      </c>
      <c r="O59" s="446">
        <f t="shared" si="48"/>
        <v>1.5433376080447864E-2</v>
      </c>
      <c r="P59" s="446">
        <f t="shared" si="48"/>
        <v>1.5450792445841654E-3</v>
      </c>
      <c r="Q59" s="446">
        <f t="shared" si="48"/>
        <v>1.5654395628651969E-2</v>
      </c>
      <c r="R59" s="446">
        <f t="shared" si="48"/>
        <v>3.7520765077587977E-3</v>
      </c>
      <c r="S59" s="446">
        <f>SUM(S45:S50)+SUM(S51:S52)</f>
        <v>0.2674071624110026</v>
      </c>
    </row>
    <row r="60" spans="1:26">
      <c r="A60" s="427"/>
      <c r="B60" s="482" t="s">
        <v>801</v>
      </c>
      <c r="C60" s="483">
        <f>SUM(C3:C13)</f>
        <v>111.94105286192861</v>
      </c>
      <c r="D60" s="483">
        <f t="shared" ref="D60:R60" si="49">SUM(D3:D13)</f>
        <v>834.19598775531881</v>
      </c>
      <c r="E60" s="483">
        <f t="shared" si="49"/>
        <v>213.4177137690935</v>
      </c>
      <c r="F60" s="483">
        <f t="shared" si="49"/>
        <v>189.56871947314573</v>
      </c>
      <c r="G60" s="483">
        <f t="shared" si="49"/>
        <v>28.834716934390002</v>
      </c>
      <c r="H60" s="483">
        <f t="shared" si="49"/>
        <v>250.77722939913133</v>
      </c>
      <c r="I60" s="483">
        <f t="shared" si="49"/>
        <v>29.826000003499999</v>
      </c>
      <c r="J60" s="483">
        <f t="shared" si="49"/>
        <v>11.793401623899999</v>
      </c>
      <c r="K60" s="483">
        <f t="shared" si="49"/>
        <v>27.0953526036947</v>
      </c>
      <c r="L60" s="483">
        <f t="shared" si="49"/>
        <v>8.3284210527315796</v>
      </c>
      <c r="M60" s="483">
        <f t="shared" si="49"/>
        <v>11.24087636419279</v>
      </c>
      <c r="N60" s="483">
        <f t="shared" si="49"/>
        <v>46.421663442940044</v>
      </c>
      <c r="O60" s="483">
        <f t="shared" si="49"/>
        <v>54.612391902233966</v>
      </c>
      <c r="P60" s="483">
        <f t="shared" si="49"/>
        <v>1.6666666666666701</v>
      </c>
      <c r="Q60" s="483">
        <f t="shared" si="49"/>
        <v>56.702487638257786</v>
      </c>
      <c r="R60" s="483">
        <f t="shared" si="49"/>
        <v>5.5125725338491298</v>
      </c>
      <c r="S60" s="447">
        <f>SUM(S45:S50)+SUM(S53:S55)</f>
        <v>0.15479171968325761</v>
      </c>
    </row>
    <row r="62" spans="1:26" s="400" customFormat="1" ht="26.4">
      <c r="A62" s="428" t="s">
        <v>798</v>
      </c>
      <c r="B62" s="406" t="s">
        <v>773</v>
      </c>
      <c r="C62" s="406" t="s">
        <v>104</v>
      </c>
      <c r="D62" s="406" t="s">
        <v>86</v>
      </c>
      <c r="E62" s="406" t="s">
        <v>93</v>
      </c>
      <c r="F62" s="406" t="s">
        <v>102</v>
      </c>
      <c r="G62" s="406" t="s">
        <v>89</v>
      </c>
      <c r="H62" s="406" t="s">
        <v>87</v>
      </c>
      <c r="I62" s="406" t="s">
        <v>771</v>
      </c>
      <c r="J62" s="406" t="s">
        <v>91</v>
      </c>
      <c r="K62" s="406" t="s">
        <v>94</v>
      </c>
      <c r="L62" s="406" t="s">
        <v>95</v>
      </c>
      <c r="M62" s="406" t="s">
        <v>106</v>
      </c>
      <c r="N62" s="406" t="s">
        <v>772</v>
      </c>
      <c r="O62" s="406" t="s">
        <v>97</v>
      </c>
      <c r="P62" s="406" t="s">
        <v>96</v>
      </c>
      <c r="Q62" s="406" t="s">
        <v>218</v>
      </c>
      <c r="R62" s="406" t="s">
        <v>98</v>
      </c>
      <c r="S62" s="406" t="s">
        <v>798</v>
      </c>
      <c r="T62" s="406" t="s">
        <v>799</v>
      </c>
    </row>
    <row r="63" spans="1:26" s="400" customFormat="1">
      <c r="A63" s="596" t="s">
        <v>781</v>
      </c>
      <c r="B63" s="423" t="s">
        <v>774</v>
      </c>
      <c r="C63" s="476">
        <f t="shared" ref="C63:R63" si="50">IF(C3=0,0,C45/C3)</f>
        <v>0</v>
      </c>
      <c r="D63" s="476">
        <f t="shared" si="50"/>
        <v>2.0984778724594772E-4</v>
      </c>
      <c r="E63" s="476">
        <f t="shared" si="50"/>
        <v>1.1947545822345619E-4</v>
      </c>
      <c r="F63" s="476">
        <f t="shared" si="50"/>
        <v>5.2449225818792231E-4</v>
      </c>
      <c r="G63" s="476">
        <f t="shared" si="50"/>
        <v>0</v>
      </c>
      <c r="H63" s="476">
        <f t="shared" si="50"/>
        <v>4.4256113634679768E-4</v>
      </c>
      <c r="I63" s="476">
        <f t="shared" si="50"/>
        <v>0</v>
      </c>
      <c r="J63" s="476">
        <f t="shared" si="50"/>
        <v>5.2035777724073861E-4</v>
      </c>
      <c r="K63" s="476">
        <f t="shared" si="50"/>
        <v>6.5951167337292328E-4</v>
      </c>
      <c r="L63" s="476">
        <f t="shared" si="50"/>
        <v>0</v>
      </c>
      <c r="M63" s="476">
        <f t="shared" si="50"/>
        <v>0</v>
      </c>
      <c r="N63" s="476">
        <f t="shared" si="50"/>
        <v>0</v>
      </c>
      <c r="O63" s="476">
        <f t="shared" si="50"/>
        <v>0</v>
      </c>
      <c r="P63" s="476">
        <f t="shared" si="50"/>
        <v>0</v>
      </c>
      <c r="Q63" s="476">
        <f t="shared" si="50"/>
        <v>0</v>
      </c>
      <c r="R63" s="476">
        <f t="shared" si="50"/>
        <v>0</v>
      </c>
      <c r="S63" s="476">
        <f>IF(S3=0,0,S45/S3)</f>
        <v>2.2350190828322275E-4</v>
      </c>
    </row>
    <row r="64" spans="1:26" s="400" customFormat="1">
      <c r="A64" s="596"/>
      <c r="B64" s="427" t="s">
        <v>775</v>
      </c>
      <c r="C64" s="476">
        <f t="shared" ref="C64:S64" si="51">IF(C4=0,0,C46/C4)</f>
        <v>0</v>
      </c>
      <c r="D64" s="476">
        <f t="shared" si="51"/>
        <v>7.7520790213981533E-5</v>
      </c>
      <c r="E64" s="476">
        <f t="shared" si="51"/>
        <v>0</v>
      </c>
      <c r="F64" s="476">
        <f t="shared" si="51"/>
        <v>0</v>
      </c>
      <c r="G64" s="476">
        <f t="shared" si="51"/>
        <v>0</v>
      </c>
      <c r="H64" s="476">
        <f t="shared" si="51"/>
        <v>0</v>
      </c>
      <c r="I64" s="476">
        <f t="shared" si="51"/>
        <v>0</v>
      </c>
      <c r="J64" s="476">
        <f t="shared" si="51"/>
        <v>0</v>
      </c>
      <c r="K64" s="476">
        <f t="shared" si="51"/>
        <v>2.4291418699043399E-4</v>
      </c>
      <c r="L64" s="476">
        <f t="shared" si="51"/>
        <v>3.7769818060421685E-4</v>
      </c>
      <c r="M64" s="476">
        <f t="shared" si="51"/>
        <v>0</v>
      </c>
      <c r="N64" s="476">
        <f t="shared" si="51"/>
        <v>0</v>
      </c>
      <c r="O64" s="476">
        <f t="shared" si="51"/>
        <v>0</v>
      </c>
      <c r="P64" s="476">
        <f t="shared" si="51"/>
        <v>0</v>
      </c>
      <c r="Q64" s="476">
        <f t="shared" si="51"/>
        <v>0</v>
      </c>
      <c r="R64" s="476">
        <f t="shared" si="51"/>
        <v>0</v>
      </c>
      <c r="S64" s="476">
        <f t="shared" si="51"/>
        <v>1.5239441889850711E-4</v>
      </c>
    </row>
    <row r="65" spans="1:20" s="400" customFormat="1">
      <c r="A65" s="596"/>
      <c r="B65" s="427" t="s">
        <v>107</v>
      </c>
      <c r="C65" s="476">
        <f t="shared" ref="C65:S65" si="52">IF(C5=0,0,C47/C5)</f>
        <v>7.9762145829704757E-5</v>
      </c>
      <c r="D65" s="476">
        <f t="shared" si="52"/>
        <v>1.7331708145489107E-4</v>
      </c>
      <c r="E65" s="476">
        <f t="shared" si="52"/>
        <v>0</v>
      </c>
      <c r="F65" s="476">
        <f t="shared" si="52"/>
        <v>0</v>
      </c>
      <c r="G65" s="476">
        <f t="shared" si="52"/>
        <v>0</v>
      </c>
      <c r="H65" s="476">
        <f t="shared" si="52"/>
        <v>0</v>
      </c>
      <c r="I65" s="476">
        <f t="shared" si="52"/>
        <v>0</v>
      </c>
      <c r="J65" s="476">
        <f t="shared" si="52"/>
        <v>0</v>
      </c>
      <c r="K65" s="476">
        <f t="shared" si="52"/>
        <v>0</v>
      </c>
      <c r="L65" s="476">
        <f t="shared" si="52"/>
        <v>0</v>
      </c>
      <c r="M65" s="476">
        <f t="shared" si="52"/>
        <v>0</v>
      </c>
      <c r="N65" s="476">
        <f t="shared" si="52"/>
        <v>0</v>
      </c>
      <c r="O65" s="476">
        <f t="shared" si="52"/>
        <v>0</v>
      </c>
      <c r="P65" s="476">
        <f t="shared" si="52"/>
        <v>0</v>
      </c>
      <c r="Q65" s="476">
        <f t="shared" si="52"/>
        <v>0</v>
      </c>
      <c r="R65" s="476">
        <f t="shared" si="52"/>
        <v>0</v>
      </c>
      <c r="S65" s="476">
        <f t="shared" si="52"/>
        <v>1.1422975369170112E-4</v>
      </c>
    </row>
    <row r="66" spans="1:20" s="400" customFormat="1">
      <c r="A66" s="596"/>
      <c r="B66" s="427" t="s">
        <v>108</v>
      </c>
      <c r="C66" s="476">
        <f t="shared" ref="C66:S66" si="53">IF(C6=0,0,C48/C6)</f>
        <v>0</v>
      </c>
      <c r="D66" s="476">
        <f t="shared" si="53"/>
        <v>9.7638048778699734E-6</v>
      </c>
      <c r="E66" s="476">
        <f t="shared" si="53"/>
        <v>5.9596786127332846E-4</v>
      </c>
      <c r="F66" s="476">
        <f t="shared" si="53"/>
        <v>6.5914221840616331E-4</v>
      </c>
      <c r="G66" s="476">
        <f t="shared" si="53"/>
        <v>0</v>
      </c>
      <c r="H66" s="476">
        <f t="shared" si="53"/>
        <v>0</v>
      </c>
      <c r="I66" s="476">
        <f t="shared" si="53"/>
        <v>0</v>
      </c>
      <c r="J66" s="476">
        <f t="shared" si="53"/>
        <v>0</v>
      </c>
      <c r="K66" s="476">
        <f t="shared" si="53"/>
        <v>0</v>
      </c>
      <c r="L66" s="476">
        <f t="shared" si="53"/>
        <v>0</v>
      </c>
      <c r="M66" s="476">
        <f t="shared" si="53"/>
        <v>0</v>
      </c>
      <c r="N66" s="476">
        <f t="shared" si="53"/>
        <v>0</v>
      </c>
      <c r="O66" s="476">
        <f t="shared" si="53"/>
        <v>0</v>
      </c>
      <c r="P66" s="476">
        <f t="shared" si="53"/>
        <v>0</v>
      </c>
      <c r="Q66" s="476">
        <f t="shared" si="53"/>
        <v>0</v>
      </c>
      <c r="R66" s="476">
        <f t="shared" si="53"/>
        <v>0</v>
      </c>
      <c r="S66" s="476">
        <f t="shared" si="53"/>
        <v>4.3245460629533469E-5</v>
      </c>
    </row>
    <row r="67" spans="1:20" s="400" customFormat="1">
      <c r="A67" s="596"/>
      <c r="B67" s="427" t="s">
        <v>776</v>
      </c>
      <c r="C67" s="476">
        <f t="shared" ref="C67:S67" si="54">IF(C7=0,0,C49/C7)</f>
        <v>0</v>
      </c>
      <c r="D67" s="476">
        <f t="shared" si="54"/>
        <v>2.2497982818014992E-5</v>
      </c>
      <c r="E67" s="476">
        <f t="shared" si="54"/>
        <v>4.9890286099960946E-4</v>
      </c>
      <c r="F67" s="476">
        <f t="shared" si="54"/>
        <v>0</v>
      </c>
      <c r="G67" s="476">
        <f t="shared" si="54"/>
        <v>4.7413333055729211E-4</v>
      </c>
      <c r="H67" s="476">
        <f t="shared" si="54"/>
        <v>0</v>
      </c>
      <c r="I67" s="476">
        <f t="shared" si="54"/>
        <v>0</v>
      </c>
      <c r="J67" s="476">
        <f t="shared" si="54"/>
        <v>0</v>
      </c>
      <c r="K67" s="476">
        <f t="shared" si="54"/>
        <v>0</v>
      </c>
      <c r="L67" s="476">
        <f t="shared" si="54"/>
        <v>0</v>
      </c>
      <c r="M67" s="476">
        <f t="shared" si="54"/>
        <v>0</v>
      </c>
      <c r="N67" s="476">
        <f t="shared" si="54"/>
        <v>0</v>
      </c>
      <c r="O67" s="476">
        <f t="shared" si="54"/>
        <v>0</v>
      </c>
      <c r="P67" s="476">
        <f t="shared" si="54"/>
        <v>0</v>
      </c>
      <c r="Q67" s="476">
        <f t="shared" si="54"/>
        <v>0</v>
      </c>
      <c r="R67" s="476">
        <f t="shared" si="54"/>
        <v>0</v>
      </c>
      <c r="S67" s="476">
        <f t="shared" si="54"/>
        <v>7.8800928623165415E-5</v>
      </c>
    </row>
    <row r="68" spans="1:20" s="400" customFormat="1">
      <c r="A68" s="597"/>
      <c r="B68" s="428" t="s">
        <v>777</v>
      </c>
      <c r="C68" s="476">
        <f t="shared" ref="C68:S68" si="55">IF(C8=0,0,C50/C8)</f>
        <v>0</v>
      </c>
      <c r="D68" s="476">
        <f t="shared" si="55"/>
        <v>0</v>
      </c>
      <c r="E68" s="476">
        <f t="shared" si="55"/>
        <v>5.023145273204241E-4</v>
      </c>
      <c r="F68" s="476">
        <f t="shared" si="55"/>
        <v>0</v>
      </c>
      <c r="G68" s="476">
        <f t="shared" si="55"/>
        <v>0</v>
      </c>
      <c r="H68" s="476">
        <f t="shared" si="55"/>
        <v>0</v>
      </c>
      <c r="I68" s="476">
        <f t="shared" si="55"/>
        <v>0</v>
      </c>
      <c r="J68" s="476">
        <f t="shared" si="55"/>
        <v>0</v>
      </c>
      <c r="K68" s="476">
        <f t="shared" si="55"/>
        <v>0</v>
      </c>
      <c r="L68" s="476">
        <f t="shared" si="55"/>
        <v>0</v>
      </c>
      <c r="M68" s="476">
        <f t="shared" si="55"/>
        <v>9.8843917157323086E-6</v>
      </c>
      <c r="N68" s="476">
        <f t="shared" si="55"/>
        <v>0</v>
      </c>
      <c r="O68" s="476">
        <f t="shared" si="55"/>
        <v>0</v>
      </c>
      <c r="P68" s="476">
        <f t="shared" si="55"/>
        <v>0</v>
      </c>
      <c r="Q68" s="476">
        <f t="shared" si="55"/>
        <v>0</v>
      </c>
      <c r="R68" s="476">
        <f t="shared" si="55"/>
        <v>0</v>
      </c>
      <c r="S68" s="476">
        <f t="shared" si="55"/>
        <v>3.7143186933262984E-5</v>
      </c>
      <c r="T68" s="478">
        <f>SUM(S63:S68)</f>
        <v>6.4931565705939292E-4</v>
      </c>
    </row>
    <row r="69" spans="1:20" s="400" customFormat="1">
      <c r="A69" s="600" t="s">
        <v>782</v>
      </c>
      <c r="B69" s="430" t="s">
        <v>778</v>
      </c>
      <c r="C69" s="481">
        <f t="shared" ref="C69:S69" si="56">IF(C9=0,0,C51/C9)</f>
        <v>0</v>
      </c>
      <c r="D69" s="481">
        <f t="shared" si="56"/>
        <v>0</v>
      </c>
      <c r="E69" s="481">
        <f t="shared" si="56"/>
        <v>4.4629594352477115E-4</v>
      </c>
      <c r="F69" s="481">
        <f t="shared" si="56"/>
        <v>2.7236526207933984E-4</v>
      </c>
      <c r="G69" s="481">
        <f t="shared" si="56"/>
        <v>0</v>
      </c>
      <c r="H69" s="481">
        <f t="shared" si="56"/>
        <v>3.5605074832217648E-4</v>
      </c>
      <c r="I69" s="481">
        <f t="shared" si="56"/>
        <v>0</v>
      </c>
      <c r="J69" s="481">
        <f t="shared" si="56"/>
        <v>0</v>
      </c>
      <c r="K69" s="481">
        <f t="shared" si="56"/>
        <v>0</v>
      </c>
      <c r="L69" s="481">
        <f t="shared" si="56"/>
        <v>0</v>
      </c>
      <c r="M69" s="481">
        <f t="shared" si="56"/>
        <v>0</v>
      </c>
      <c r="N69" s="481">
        <f t="shared" si="56"/>
        <v>3.1080300772893166E-4</v>
      </c>
      <c r="O69" s="481">
        <f t="shared" si="56"/>
        <v>2.82598427625664E-4</v>
      </c>
      <c r="P69" s="481">
        <f t="shared" si="56"/>
        <v>0</v>
      </c>
      <c r="Q69" s="481">
        <f t="shared" si="56"/>
        <v>2.760795210348016E-4</v>
      </c>
      <c r="R69" s="481">
        <f t="shared" si="56"/>
        <v>6.8063984368817491E-4</v>
      </c>
      <c r="S69" s="481">
        <f t="shared" si="56"/>
        <v>3.1368873963193833E-4</v>
      </c>
      <c r="T69" s="479"/>
    </row>
    <row r="70" spans="1:20" s="400" customFormat="1">
      <c r="A70" s="599"/>
      <c r="B70" s="432" t="s">
        <v>436</v>
      </c>
      <c r="C70" s="480">
        <f t="shared" ref="C70:S70" si="57">IF(C10=0,0,C52/C10)</f>
        <v>7.539962271968277E-4</v>
      </c>
      <c r="D70" s="480">
        <f t="shared" si="57"/>
        <v>3.9431044763335479E-4</v>
      </c>
      <c r="E70" s="480">
        <f t="shared" si="57"/>
        <v>6.5163738267125682E-4</v>
      </c>
      <c r="F70" s="480">
        <f t="shared" si="57"/>
        <v>2.005795254435137E-4</v>
      </c>
      <c r="G70" s="480">
        <f t="shared" si="57"/>
        <v>0</v>
      </c>
      <c r="H70" s="480">
        <f t="shared" si="57"/>
        <v>1.1014266106485759E-4</v>
      </c>
      <c r="I70" s="480">
        <f t="shared" si="57"/>
        <v>0</v>
      </c>
      <c r="J70" s="480">
        <f t="shared" si="57"/>
        <v>0</v>
      </c>
      <c r="K70" s="480">
        <f t="shared" si="57"/>
        <v>7.8862228003598247E-4</v>
      </c>
      <c r="L70" s="480">
        <f t="shared" si="57"/>
        <v>0</v>
      </c>
      <c r="M70" s="480">
        <f t="shared" si="57"/>
        <v>0</v>
      </c>
      <c r="N70" s="480">
        <f t="shared" si="57"/>
        <v>0</v>
      </c>
      <c r="O70" s="480">
        <f t="shared" si="57"/>
        <v>0</v>
      </c>
      <c r="P70" s="480">
        <f t="shared" si="57"/>
        <v>9.2704754675049738E-4</v>
      </c>
      <c r="Q70" s="480">
        <f t="shared" si="57"/>
        <v>0</v>
      </c>
      <c r="R70" s="480">
        <f t="shared" si="57"/>
        <v>0</v>
      </c>
      <c r="S70" s="480">
        <f t="shared" si="57"/>
        <v>2.0009684190778023E-4</v>
      </c>
      <c r="T70" s="480">
        <f>SUM(S69:S70)</f>
        <v>5.1378558153971862E-4</v>
      </c>
    </row>
    <row r="71" spans="1:20" s="400" customFormat="1">
      <c r="A71" s="595" t="s">
        <v>783</v>
      </c>
      <c r="B71" s="423" t="s">
        <v>110</v>
      </c>
      <c r="C71" s="476">
        <f t="shared" ref="C71:S71" si="58">IF(C11=0,0,C53/C11)</f>
        <v>8.7916938493637042E-5</v>
      </c>
      <c r="D71" s="476">
        <f t="shared" si="58"/>
        <v>2.8280976403043595E-4</v>
      </c>
      <c r="E71" s="476">
        <f t="shared" si="58"/>
        <v>0</v>
      </c>
      <c r="F71" s="476">
        <f t="shared" si="58"/>
        <v>0</v>
      </c>
      <c r="G71" s="476">
        <f t="shared" si="58"/>
        <v>0</v>
      </c>
      <c r="H71" s="476">
        <f t="shared" si="58"/>
        <v>0</v>
      </c>
      <c r="I71" s="476">
        <f t="shared" si="58"/>
        <v>2.7818623901403755E-4</v>
      </c>
      <c r="J71" s="476">
        <f t="shared" si="58"/>
        <v>0</v>
      </c>
      <c r="K71" s="476">
        <f t="shared" si="58"/>
        <v>0</v>
      </c>
      <c r="L71" s="476">
        <f t="shared" si="58"/>
        <v>0</v>
      </c>
      <c r="M71" s="476">
        <f t="shared" si="58"/>
        <v>0</v>
      </c>
      <c r="N71" s="476">
        <f t="shared" si="58"/>
        <v>0</v>
      </c>
      <c r="O71" s="476">
        <f t="shared" si="58"/>
        <v>0</v>
      </c>
      <c r="P71" s="476">
        <f t="shared" si="58"/>
        <v>0</v>
      </c>
      <c r="Q71" s="476">
        <f t="shared" si="58"/>
        <v>0</v>
      </c>
      <c r="R71" s="476">
        <f t="shared" si="58"/>
        <v>0</v>
      </c>
      <c r="S71" s="476">
        <f t="shared" si="58"/>
        <v>1.6443789709563698E-4</v>
      </c>
      <c r="T71" s="479"/>
    </row>
    <row r="72" spans="1:20" s="400" customFormat="1">
      <c r="A72" s="596"/>
      <c r="B72" s="427" t="s">
        <v>109</v>
      </c>
      <c r="C72" s="476">
        <f t="shared" ref="C72:S72" si="59">IF(C12=0,0,C54/C12)</f>
        <v>0</v>
      </c>
      <c r="D72" s="476">
        <f t="shared" si="59"/>
        <v>8.230805512014567E-5</v>
      </c>
      <c r="E72" s="476">
        <f t="shared" si="59"/>
        <v>4.1095713221205987E-4</v>
      </c>
      <c r="F72" s="476">
        <f t="shared" si="59"/>
        <v>0</v>
      </c>
      <c r="G72" s="476">
        <f t="shared" si="59"/>
        <v>0</v>
      </c>
      <c r="H72" s="476">
        <f t="shared" si="59"/>
        <v>2.1854121789567754E-4</v>
      </c>
      <c r="I72" s="476">
        <f t="shared" si="59"/>
        <v>0</v>
      </c>
      <c r="J72" s="476">
        <f t="shared" si="59"/>
        <v>0</v>
      </c>
      <c r="K72" s="476">
        <f t="shared" si="59"/>
        <v>0</v>
      </c>
      <c r="L72" s="476">
        <f t="shared" si="59"/>
        <v>0</v>
      </c>
      <c r="M72" s="476">
        <f t="shared" si="59"/>
        <v>0</v>
      </c>
      <c r="N72" s="476">
        <f t="shared" si="59"/>
        <v>0</v>
      </c>
      <c r="O72" s="476">
        <f t="shared" si="59"/>
        <v>0</v>
      </c>
      <c r="P72" s="476">
        <f t="shared" si="59"/>
        <v>0</v>
      </c>
      <c r="Q72" s="476">
        <f t="shared" si="59"/>
        <v>0</v>
      </c>
      <c r="R72" s="476">
        <f t="shared" si="59"/>
        <v>0</v>
      </c>
      <c r="S72" s="476">
        <f t="shared" si="59"/>
        <v>1.5178171843293955E-4</v>
      </c>
      <c r="T72" s="479"/>
    </row>
    <row r="73" spans="1:20" s="400" customFormat="1">
      <c r="A73" s="597"/>
      <c r="B73" s="428" t="s">
        <v>779</v>
      </c>
      <c r="C73" s="476">
        <f t="shared" ref="C73:S73" si="60">IF(C13=0,0,C55/C13)</f>
        <v>0</v>
      </c>
      <c r="D73" s="476">
        <f t="shared" si="60"/>
        <v>9.0154990401915445E-5</v>
      </c>
      <c r="E73" s="476">
        <f t="shared" si="60"/>
        <v>1.9119407400734902E-4</v>
      </c>
      <c r="F73" s="476">
        <f t="shared" si="60"/>
        <v>4.5485428046620558E-4</v>
      </c>
      <c r="G73" s="476">
        <f t="shared" si="60"/>
        <v>0</v>
      </c>
      <c r="H73" s="476">
        <f t="shared" si="60"/>
        <v>0</v>
      </c>
      <c r="I73" s="476">
        <f t="shared" si="60"/>
        <v>0</v>
      </c>
      <c r="J73" s="476">
        <f t="shared" si="60"/>
        <v>0</v>
      </c>
      <c r="K73" s="476">
        <f t="shared" si="60"/>
        <v>0</v>
      </c>
      <c r="L73" s="476">
        <f t="shared" si="60"/>
        <v>0</v>
      </c>
      <c r="M73" s="476">
        <f t="shared" si="60"/>
        <v>0</v>
      </c>
      <c r="N73" s="476">
        <f t="shared" si="60"/>
        <v>0</v>
      </c>
      <c r="O73" s="476">
        <f t="shared" si="60"/>
        <v>0</v>
      </c>
      <c r="P73" s="476">
        <f t="shared" si="60"/>
        <v>0</v>
      </c>
      <c r="Q73" s="476">
        <f t="shared" si="60"/>
        <v>0</v>
      </c>
      <c r="R73" s="476">
        <f t="shared" si="60"/>
        <v>0</v>
      </c>
      <c r="S73" s="476">
        <f t="shared" si="60"/>
        <v>1.5027348822848724E-4</v>
      </c>
      <c r="T73" s="478">
        <f>SUM(S71:S73)</f>
        <v>4.6649310375706377E-4</v>
      </c>
    </row>
    <row r="74" spans="1:20" s="400" customFormat="1">
      <c r="A74" s="434"/>
      <c r="B74" s="482" t="s">
        <v>802</v>
      </c>
      <c r="C74" s="481">
        <f>SUM(C63:C73)</f>
        <v>9.2167531152016952E-4</v>
      </c>
      <c r="D74" s="481">
        <f t="shared" ref="D74:Q74" si="61">SUM(D63:D73)</f>
        <v>1.3425307037965573E-3</v>
      </c>
      <c r="E74" s="481">
        <f t="shared" si="61"/>
        <v>3.4167452402322548E-3</v>
      </c>
      <c r="F74" s="481">
        <f t="shared" si="61"/>
        <v>2.1114335445831449E-3</v>
      </c>
      <c r="G74" s="481">
        <f t="shared" si="61"/>
        <v>4.7413333055729211E-4</v>
      </c>
      <c r="H74" s="481">
        <f t="shared" si="61"/>
        <v>1.1272957636295094E-3</v>
      </c>
      <c r="I74" s="481">
        <f t="shared" si="61"/>
        <v>2.7818623901403755E-4</v>
      </c>
      <c r="J74" s="481">
        <f t="shared" si="61"/>
        <v>5.2035777724073861E-4</v>
      </c>
      <c r="K74" s="481">
        <f t="shared" si="61"/>
        <v>1.6910481403993398E-3</v>
      </c>
      <c r="L74" s="481">
        <f t="shared" si="61"/>
        <v>3.7769818060421685E-4</v>
      </c>
      <c r="M74" s="481">
        <f t="shared" si="61"/>
        <v>9.8843917157323086E-6</v>
      </c>
      <c r="N74" s="481">
        <f t="shared" si="61"/>
        <v>3.1080300772893166E-4</v>
      </c>
      <c r="O74" s="481">
        <f t="shared" si="61"/>
        <v>2.82598427625664E-4</v>
      </c>
      <c r="P74" s="481">
        <f t="shared" si="61"/>
        <v>9.2704754675049738E-4</v>
      </c>
      <c r="Q74" s="481">
        <f t="shared" si="61"/>
        <v>2.760795210348016E-4</v>
      </c>
      <c r="R74" s="481">
        <f>SUM(R63:R73)</f>
        <v>6.8063984368817491E-4</v>
      </c>
      <c r="S74" s="481">
        <f>SUM(S63:S68)+SUM(S69:S73)</f>
        <v>1.6295943423561754E-3</v>
      </c>
    </row>
    <row r="75" spans="1:20" s="400" customFormat="1">
      <c r="A75" s="427"/>
      <c r="B75" s="482"/>
      <c r="C75" s="477"/>
      <c r="D75" s="477"/>
      <c r="E75" s="477"/>
      <c r="F75" s="477"/>
      <c r="G75" s="477"/>
      <c r="H75" s="477"/>
      <c r="I75" s="477"/>
      <c r="J75" s="477"/>
      <c r="K75" s="477"/>
      <c r="L75" s="477"/>
      <c r="M75" s="477"/>
      <c r="N75" s="477"/>
      <c r="O75" s="477"/>
      <c r="P75" s="477"/>
      <c r="Q75" s="477"/>
      <c r="R75" s="477"/>
      <c r="S75" s="477"/>
    </row>
    <row r="76" spans="1:20" s="400" customFormat="1"/>
    <row r="77" spans="1:20" s="400" customFormat="1"/>
    <row r="78" spans="1:20" s="400" customFormat="1"/>
    <row r="79" spans="1:20" s="400" customFormat="1"/>
    <row r="80" spans="1:20" s="400" customFormat="1"/>
    <row r="82" spans="2:34">
      <c r="R82" s="413"/>
      <c r="S82" s="413"/>
      <c r="T82" s="413"/>
      <c r="V82" s="413"/>
      <c r="W82" s="413"/>
      <c r="X82" s="413"/>
      <c r="AA82" s="413"/>
      <c r="AB82" s="413"/>
      <c r="AC82" s="413"/>
    </row>
    <row r="83" spans="2:34">
      <c r="R83" s="400"/>
      <c r="S83" s="400"/>
      <c r="T83" s="400"/>
      <c r="V83" s="410"/>
      <c r="W83" s="437"/>
      <c r="AA83" s="410"/>
      <c r="AB83" s="437"/>
      <c r="AC83" s="400"/>
    </row>
    <row r="84" spans="2:34">
      <c r="R84" s="400"/>
      <c r="S84" s="400"/>
      <c r="T84" s="400"/>
      <c r="V84" s="410"/>
      <c r="W84" s="437"/>
      <c r="X84" s="400"/>
      <c r="AA84" s="410"/>
      <c r="AB84" s="437"/>
      <c r="AC84" s="400"/>
    </row>
    <row r="85" spans="2:34">
      <c r="R85" s="400"/>
      <c r="S85" s="400"/>
      <c r="T85" s="400"/>
      <c r="V85" s="410"/>
      <c r="W85" s="437"/>
      <c r="X85" s="400"/>
      <c r="AA85" s="410"/>
      <c r="AB85" s="437"/>
      <c r="AC85" s="400"/>
    </row>
    <row r="86" spans="2:34">
      <c r="R86" s="400"/>
      <c r="S86" s="400"/>
      <c r="T86" s="400"/>
      <c r="V86" s="410"/>
      <c r="W86" s="437"/>
      <c r="X86" s="400"/>
      <c r="AA86" s="410"/>
      <c r="AB86" s="437"/>
      <c r="AC86" s="400"/>
    </row>
    <row r="87" spans="2:34">
      <c r="B87" s="448"/>
      <c r="C87" s="448"/>
      <c r="D87" s="448"/>
      <c r="E87" s="448"/>
      <c r="F87" s="448"/>
      <c r="G87" s="448"/>
      <c r="H87" s="448"/>
      <c r="I87" s="448"/>
      <c r="J87" s="448"/>
      <c r="K87" s="448"/>
      <c r="L87" s="448"/>
      <c r="M87" s="448"/>
      <c r="N87" s="448"/>
      <c r="O87" s="448"/>
      <c r="P87" s="448"/>
      <c r="Q87" s="448"/>
      <c r="R87" s="400"/>
      <c r="S87" s="400"/>
      <c r="T87" s="400"/>
      <c r="V87" s="410"/>
      <c r="W87" s="437"/>
      <c r="X87" s="400"/>
      <c r="AA87" s="410"/>
      <c r="AB87" s="437"/>
      <c r="AC87" s="400"/>
    </row>
    <row r="88" spans="2:34">
      <c r="B88" s="448"/>
      <c r="C88" s="448"/>
      <c r="D88" s="448"/>
      <c r="E88" s="448"/>
      <c r="F88" s="448"/>
      <c r="G88" s="448"/>
      <c r="H88" s="448"/>
      <c r="I88" s="448"/>
      <c r="J88" s="448"/>
      <c r="K88" s="448"/>
      <c r="L88" s="448"/>
      <c r="M88" s="448"/>
      <c r="N88" s="448"/>
      <c r="O88" s="448"/>
      <c r="P88" s="448"/>
      <c r="Q88" s="448"/>
      <c r="R88" s="400"/>
      <c r="S88" s="400"/>
      <c r="T88" s="400"/>
      <c r="V88" s="410"/>
      <c r="W88" s="437"/>
      <c r="X88" s="400"/>
      <c r="AA88" s="410"/>
      <c r="AB88" s="437"/>
      <c r="AC88" s="400"/>
    </row>
    <row r="89" spans="2:34">
      <c r="B89" s="448"/>
      <c r="C89" s="448"/>
      <c r="D89" s="448"/>
      <c r="E89" s="448"/>
      <c r="F89" s="448"/>
      <c r="G89" s="448"/>
      <c r="H89" s="448"/>
      <c r="I89" s="448"/>
      <c r="J89" s="448"/>
      <c r="K89" s="448"/>
      <c r="L89" s="448"/>
      <c r="M89" s="448"/>
      <c r="N89" s="448"/>
      <c r="O89" s="448"/>
      <c r="P89" s="448"/>
      <c r="Q89" s="448"/>
      <c r="R89" s="400"/>
      <c r="S89" s="400"/>
      <c r="T89" s="400"/>
      <c r="V89" s="410"/>
      <c r="W89" s="437"/>
      <c r="X89" s="400"/>
      <c r="AA89" s="410"/>
      <c r="AB89" s="437"/>
      <c r="AC89" s="400"/>
    </row>
    <row r="90" spans="2:34">
      <c r="B90" s="448"/>
      <c r="C90" s="448"/>
      <c r="D90" s="448"/>
      <c r="E90" s="448"/>
      <c r="F90" s="448"/>
      <c r="G90" s="448"/>
      <c r="H90" s="448"/>
      <c r="I90" s="448"/>
      <c r="J90" s="448"/>
      <c r="K90" s="448"/>
      <c r="L90" s="448"/>
      <c r="M90" s="448"/>
      <c r="N90" s="448"/>
      <c r="O90" s="448"/>
      <c r="P90" s="448"/>
      <c r="Q90" s="448"/>
      <c r="R90" s="400"/>
      <c r="S90" s="400"/>
      <c r="T90" s="400"/>
      <c r="V90" s="410"/>
      <c r="W90" s="437"/>
      <c r="X90" s="400"/>
      <c r="AA90" s="410"/>
      <c r="AB90" s="437"/>
      <c r="AC90" s="400"/>
    </row>
    <row r="91" spans="2:34">
      <c r="B91" s="448"/>
      <c r="C91" s="448"/>
      <c r="D91" s="448"/>
      <c r="E91" s="448"/>
      <c r="F91" s="448"/>
      <c r="G91" s="448"/>
      <c r="H91" s="448"/>
      <c r="I91" s="448"/>
      <c r="J91" s="448"/>
      <c r="K91" s="448"/>
      <c r="L91" s="448"/>
      <c r="M91" s="448"/>
      <c r="N91" s="448"/>
      <c r="O91" s="448"/>
      <c r="P91" s="448"/>
      <c r="Q91" s="448"/>
      <c r="R91" s="400"/>
      <c r="S91" s="400"/>
      <c r="T91" s="400"/>
      <c r="V91" s="410"/>
      <c r="W91" s="437"/>
      <c r="X91" s="400"/>
      <c r="AA91" s="410"/>
      <c r="AB91" s="437"/>
      <c r="AC91" s="400"/>
    </row>
    <row r="92" spans="2:34">
      <c r="B92" s="448"/>
      <c r="C92" s="448"/>
      <c r="D92" s="448"/>
      <c r="E92" s="448"/>
      <c r="F92" s="448"/>
      <c r="G92" s="448"/>
      <c r="H92" s="448"/>
      <c r="I92" s="448"/>
      <c r="J92" s="448"/>
      <c r="K92" s="448"/>
      <c r="L92" s="448"/>
      <c r="M92" s="448"/>
      <c r="N92" s="448"/>
      <c r="O92" s="448"/>
      <c r="P92" s="448"/>
      <c r="Q92" s="448"/>
      <c r="R92" s="400"/>
      <c r="S92" s="400"/>
      <c r="T92" s="400"/>
      <c r="V92" s="410"/>
      <c r="W92" s="437"/>
      <c r="X92" s="400"/>
      <c r="AA92" s="410"/>
      <c r="AB92" s="437"/>
      <c r="AC92" s="400"/>
    </row>
    <row r="93" spans="2:34">
      <c r="B93" s="448"/>
      <c r="C93" s="448"/>
      <c r="D93" s="448"/>
      <c r="E93" s="448"/>
      <c r="F93" s="448"/>
      <c r="G93" s="448"/>
      <c r="H93" s="448"/>
      <c r="I93" s="448"/>
      <c r="J93" s="448"/>
      <c r="K93" s="448"/>
      <c r="L93" s="448"/>
      <c r="M93" s="448"/>
      <c r="N93" s="448"/>
      <c r="O93" s="448"/>
      <c r="P93" s="448"/>
      <c r="Q93" s="448"/>
      <c r="R93" s="400"/>
      <c r="S93" s="400"/>
      <c r="T93" s="400"/>
      <c r="V93" s="410"/>
      <c r="W93" s="437"/>
      <c r="X93" s="400"/>
      <c r="AA93" s="410"/>
      <c r="AB93" s="437"/>
      <c r="AC93" s="400"/>
    </row>
    <row r="94" spans="2:34">
      <c r="B94" s="448"/>
      <c r="C94" s="448"/>
      <c r="D94" s="448"/>
      <c r="E94" s="448"/>
      <c r="F94" s="448"/>
      <c r="G94" s="448"/>
      <c r="H94" s="448"/>
      <c r="I94" s="448"/>
      <c r="J94" s="448"/>
      <c r="K94" s="448"/>
      <c r="L94" s="448"/>
      <c r="M94" s="448"/>
      <c r="N94" s="448"/>
      <c r="O94" s="448"/>
      <c r="P94" s="448"/>
      <c r="Q94" s="448"/>
      <c r="R94" s="400"/>
      <c r="S94" s="400"/>
      <c r="T94" s="400"/>
      <c r="V94" s="410"/>
      <c r="W94" s="437"/>
      <c r="AA94" s="437"/>
      <c r="AB94" s="437"/>
    </row>
    <row r="95" spans="2:34">
      <c r="B95" s="448"/>
      <c r="C95" s="448"/>
      <c r="D95" s="448"/>
      <c r="E95" s="448"/>
      <c r="F95" s="448"/>
      <c r="G95" s="448"/>
      <c r="H95" s="448"/>
      <c r="I95" s="448"/>
      <c r="J95" s="448"/>
      <c r="K95" s="448"/>
      <c r="L95" s="448"/>
      <c r="M95" s="448"/>
      <c r="N95" s="448"/>
      <c r="O95" s="448"/>
      <c r="P95" s="448"/>
      <c r="Q95" s="448"/>
      <c r="R95" s="400"/>
      <c r="S95" s="400"/>
      <c r="T95" s="400"/>
      <c r="AA95" s="437"/>
      <c r="AB95" s="437"/>
      <c r="AC95" s="400"/>
    </row>
    <row r="96" spans="2:34">
      <c r="B96" s="448"/>
      <c r="C96" s="448"/>
      <c r="D96" s="448"/>
      <c r="E96" s="448"/>
      <c r="F96" s="448"/>
      <c r="G96" s="448"/>
      <c r="H96" s="448"/>
      <c r="I96" s="448"/>
      <c r="J96" s="448"/>
      <c r="K96" s="448"/>
      <c r="L96" s="448"/>
      <c r="M96" s="448"/>
      <c r="N96" s="448"/>
      <c r="O96" s="448"/>
      <c r="P96" s="448"/>
      <c r="Q96" s="448"/>
      <c r="R96" s="400"/>
      <c r="S96" s="400"/>
      <c r="T96" s="400"/>
      <c r="V96" s="413"/>
      <c r="W96" s="413"/>
      <c r="X96" s="413"/>
      <c r="AA96" s="437"/>
      <c r="AB96" s="437"/>
      <c r="AC96" s="400"/>
      <c r="AF96" s="413"/>
      <c r="AG96" s="413"/>
      <c r="AH96" s="413"/>
    </row>
    <row r="97" spans="2:29">
      <c r="B97" s="448"/>
      <c r="C97" s="448"/>
      <c r="D97" s="448"/>
      <c r="E97" s="448"/>
      <c r="F97" s="448"/>
      <c r="G97" s="448"/>
      <c r="H97" s="448"/>
      <c r="I97" s="448"/>
      <c r="J97" s="448"/>
      <c r="K97" s="448"/>
      <c r="L97" s="448"/>
      <c r="M97" s="448"/>
      <c r="N97" s="448"/>
      <c r="O97" s="448"/>
      <c r="P97" s="448"/>
      <c r="Q97" s="448"/>
      <c r="R97" s="400"/>
      <c r="S97" s="400"/>
      <c r="T97" s="400"/>
      <c r="V97" s="437"/>
      <c r="W97" s="437"/>
      <c r="AA97" s="437"/>
      <c r="AB97" s="437"/>
      <c r="AC97" s="400"/>
    </row>
    <row r="98" spans="2:29">
      <c r="B98" s="448"/>
      <c r="C98" s="448"/>
      <c r="D98" s="448"/>
      <c r="E98" s="448"/>
      <c r="F98" s="448"/>
      <c r="G98" s="448"/>
      <c r="H98" s="448"/>
      <c r="I98" s="448"/>
      <c r="J98" s="448"/>
      <c r="K98" s="448"/>
      <c r="L98" s="448"/>
      <c r="M98" s="448"/>
      <c r="N98" s="448"/>
      <c r="O98" s="448"/>
      <c r="P98" s="448"/>
      <c r="Q98" s="448"/>
      <c r="R98" s="400"/>
      <c r="S98" s="400"/>
      <c r="T98" s="400"/>
      <c r="V98" s="437"/>
      <c r="W98" s="437"/>
      <c r="X98" s="400"/>
      <c r="AA98" s="437"/>
      <c r="AB98" s="437"/>
      <c r="AC98" s="400"/>
    </row>
    <row r="99" spans="2:29">
      <c r="B99" s="448"/>
      <c r="C99" s="448"/>
      <c r="D99" s="448"/>
      <c r="E99" s="448"/>
      <c r="F99" s="448"/>
      <c r="G99" s="448"/>
      <c r="H99" s="448"/>
      <c r="I99" s="448"/>
      <c r="J99" s="448"/>
      <c r="K99" s="448"/>
      <c r="L99" s="448"/>
      <c r="M99" s="448"/>
      <c r="N99" s="448"/>
      <c r="O99" s="448"/>
      <c r="P99" s="448"/>
      <c r="Q99" s="448"/>
      <c r="R99" s="400"/>
      <c r="S99" s="400"/>
      <c r="T99" s="400"/>
      <c r="V99" s="437"/>
      <c r="W99" s="437"/>
      <c r="X99" s="400"/>
      <c r="AA99" s="437"/>
      <c r="AB99" s="437"/>
      <c r="AC99" s="400"/>
    </row>
    <row r="100" spans="2:29">
      <c r="B100" s="448"/>
      <c r="C100" s="448"/>
      <c r="D100" s="448"/>
      <c r="E100" s="448"/>
      <c r="F100" s="448"/>
      <c r="G100" s="448"/>
      <c r="H100" s="448"/>
      <c r="I100" s="448"/>
      <c r="J100" s="448"/>
      <c r="K100" s="448"/>
      <c r="L100" s="448"/>
      <c r="M100" s="448"/>
      <c r="N100" s="448"/>
      <c r="O100" s="448"/>
      <c r="P100" s="448"/>
      <c r="Q100" s="448"/>
      <c r="R100" s="400"/>
      <c r="S100" s="400"/>
      <c r="T100" s="400"/>
      <c r="V100" s="437"/>
      <c r="W100" s="437"/>
      <c r="X100" s="400"/>
      <c r="AA100" s="437"/>
      <c r="AB100" s="437"/>
      <c r="AC100" s="400"/>
    </row>
    <row r="101" spans="2:29">
      <c r="B101" s="448"/>
      <c r="C101" s="448"/>
      <c r="D101" s="448"/>
      <c r="E101" s="448"/>
      <c r="F101" s="448"/>
      <c r="G101" s="448"/>
      <c r="H101" s="448"/>
      <c r="I101" s="448"/>
      <c r="J101" s="448"/>
      <c r="K101" s="448"/>
      <c r="L101" s="448"/>
      <c r="M101" s="448"/>
      <c r="N101" s="448"/>
      <c r="O101" s="448"/>
      <c r="P101" s="448"/>
      <c r="Q101" s="448"/>
      <c r="R101" s="413"/>
      <c r="S101" s="413"/>
      <c r="T101" s="413"/>
      <c r="V101" s="437"/>
      <c r="W101" s="437"/>
      <c r="X101" s="400"/>
      <c r="AA101" s="437"/>
      <c r="AB101" s="437"/>
      <c r="AC101" s="400"/>
    </row>
    <row r="102" spans="2:29">
      <c r="B102" s="448"/>
      <c r="C102" s="448"/>
      <c r="D102" s="448"/>
      <c r="E102" s="448"/>
      <c r="F102" s="448"/>
      <c r="G102" s="448"/>
      <c r="H102" s="448"/>
      <c r="I102" s="448"/>
      <c r="J102" s="448"/>
      <c r="K102" s="448"/>
      <c r="L102" s="448"/>
      <c r="M102" s="448"/>
      <c r="N102" s="448"/>
      <c r="O102" s="448"/>
      <c r="P102" s="448"/>
      <c r="Q102" s="448"/>
      <c r="R102" s="53"/>
      <c r="S102" s="53"/>
      <c r="T102" s="400"/>
      <c r="V102" s="437"/>
      <c r="W102" s="437"/>
      <c r="X102" s="400"/>
      <c r="AA102" s="437"/>
      <c r="AB102" s="437"/>
      <c r="AC102" s="400"/>
    </row>
    <row r="103" spans="2:29">
      <c r="B103" s="448"/>
      <c r="C103" s="448"/>
      <c r="D103" s="448"/>
      <c r="E103" s="448"/>
      <c r="F103" s="448"/>
      <c r="G103" s="448"/>
      <c r="H103" s="448"/>
      <c r="I103" s="448"/>
      <c r="J103" s="448"/>
      <c r="K103" s="448"/>
      <c r="L103" s="448"/>
      <c r="M103" s="448"/>
      <c r="N103" s="448"/>
      <c r="O103" s="448"/>
      <c r="P103" s="448"/>
      <c r="Q103" s="448"/>
      <c r="R103" s="53"/>
      <c r="S103" s="53"/>
      <c r="T103" s="400"/>
      <c r="V103" s="437"/>
      <c r="W103" s="437"/>
      <c r="X103" s="400"/>
      <c r="AA103" s="437"/>
      <c r="AB103" s="437"/>
      <c r="AC103" s="400"/>
    </row>
    <row r="104" spans="2:29">
      <c r="B104" s="448"/>
      <c r="C104" s="448"/>
      <c r="D104" s="448"/>
      <c r="E104" s="448"/>
      <c r="F104" s="448"/>
      <c r="G104" s="448"/>
      <c r="H104" s="448"/>
      <c r="I104" s="448"/>
      <c r="J104" s="448"/>
      <c r="K104" s="448"/>
      <c r="L104" s="448"/>
      <c r="M104" s="448"/>
      <c r="N104" s="448"/>
      <c r="O104" s="448"/>
      <c r="P104" s="448"/>
      <c r="Q104" s="448"/>
      <c r="R104" s="53"/>
      <c r="S104" s="53"/>
      <c r="T104" s="400"/>
      <c r="V104" s="437"/>
      <c r="W104" s="437"/>
      <c r="X104" s="400"/>
      <c r="AA104" s="437"/>
      <c r="AB104" s="437"/>
      <c r="AC104" s="400"/>
    </row>
    <row r="105" spans="2:29">
      <c r="B105" s="448"/>
      <c r="C105" s="448"/>
      <c r="D105" s="448"/>
      <c r="E105" s="448"/>
      <c r="F105" s="448"/>
      <c r="G105" s="448"/>
      <c r="H105" s="448"/>
      <c r="I105" s="448"/>
      <c r="J105" s="448"/>
      <c r="K105" s="448"/>
      <c r="L105" s="448"/>
      <c r="M105" s="448"/>
      <c r="N105" s="448"/>
      <c r="O105" s="448"/>
      <c r="P105" s="448"/>
      <c r="Q105" s="448"/>
      <c r="R105" s="53"/>
      <c r="S105" s="53"/>
      <c r="T105" s="400"/>
      <c r="V105" s="437"/>
      <c r="W105" s="437"/>
      <c r="X105" s="400"/>
      <c r="AA105" s="437"/>
      <c r="AB105" s="437"/>
      <c r="AC105" s="400"/>
    </row>
    <row r="106" spans="2:29">
      <c r="B106" s="448"/>
      <c r="C106" s="448"/>
      <c r="D106" s="448"/>
      <c r="E106" s="448"/>
      <c r="F106" s="448"/>
      <c r="G106" s="448"/>
      <c r="H106" s="448"/>
      <c r="I106" s="448"/>
      <c r="J106" s="448"/>
      <c r="K106" s="448"/>
      <c r="L106" s="448"/>
      <c r="M106" s="448"/>
      <c r="N106" s="448"/>
      <c r="O106" s="448"/>
      <c r="P106" s="448"/>
      <c r="Q106" s="448"/>
      <c r="R106" s="53"/>
      <c r="S106" s="53"/>
      <c r="T106" s="400"/>
      <c r="V106" s="437"/>
      <c r="W106" s="437"/>
      <c r="X106" s="400"/>
      <c r="AA106" s="437"/>
      <c r="AB106" s="437"/>
      <c r="AC106" s="400"/>
    </row>
    <row r="107" spans="2:29">
      <c r="B107" s="448"/>
      <c r="C107" s="448"/>
      <c r="D107" s="448"/>
      <c r="E107" s="448"/>
      <c r="F107" s="448"/>
      <c r="G107" s="448"/>
      <c r="H107" s="448"/>
      <c r="I107" s="448"/>
      <c r="J107" s="448"/>
      <c r="K107" s="448"/>
      <c r="L107" s="448"/>
      <c r="M107" s="448"/>
      <c r="N107" s="448"/>
      <c r="O107" s="448"/>
      <c r="P107" s="448"/>
      <c r="Q107" s="448"/>
      <c r="R107" s="53"/>
      <c r="S107" s="53"/>
      <c r="T107" s="400"/>
      <c r="V107" s="437"/>
      <c r="W107" s="437"/>
      <c r="X107" s="400"/>
      <c r="AA107" s="437"/>
      <c r="AB107" s="437"/>
      <c r="AC107" s="400"/>
    </row>
    <row r="108" spans="2:29">
      <c r="B108" s="448"/>
      <c r="C108" s="448"/>
      <c r="D108" s="448"/>
      <c r="E108" s="448"/>
      <c r="F108" s="448"/>
      <c r="G108" s="448"/>
      <c r="H108" s="448"/>
      <c r="I108" s="448"/>
      <c r="J108" s="448"/>
      <c r="K108" s="448"/>
      <c r="L108" s="448"/>
      <c r="M108" s="448"/>
      <c r="N108" s="448"/>
      <c r="O108" s="448"/>
      <c r="P108" s="448"/>
      <c r="Q108" s="448"/>
      <c r="R108" s="53"/>
      <c r="S108" s="53"/>
      <c r="T108" s="400"/>
      <c r="V108" s="410"/>
      <c r="W108" s="437"/>
      <c r="X108" s="400"/>
      <c r="AA108" s="437"/>
      <c r="AB108" s="437"/>
      <c r="AC108" s="400"/>
    </row>
    <row r="109" spans="2:29">
      <c r="B109" s="448"/>
      <c r="C109" s="448"/>
      <c r="D109" s="448"/>
      <c r="E109" s="448"/>
      <c r="F109" s="448"/>
      <c r="G109" s="448"/>
      <c r="H109" s="448"/>
      <c r="I109" s="448"/>
      <c r="J109" s="448"/>
      <c r="K109" s="448"/>
      <c r="L109" s="448"/>
      <c r="M109" s="448"/>
      <c r="N109" s="448"/>
      <c r="O109" s="448"/>
      <c r="P109" s="448"/>
      <c r="Q109" s="448"/>
      <c r="R109" s="53"/>
      <c r="S109" s="53"/>
      <c r="T109" s="400"/>
      <c r="V109" s="410"/>
      <c r="W109" s="437"/>
      <c r="X109" s="400"/>
      <c r="AA109" s="437"/>
      <c r="AB109" s="437"/>
      <c r="AC109" s="400"/>
    </row>
    <row r="110" spans="2:29">
      <c r="B110" s="448"/>
      <c r="C110" s="448"/>
      <c r="D110" s="448"/>
      <c r="E110" s="448"/>
      <c r="F110" s="448"/>
      <c r="G110" s="448"/>
      <c r="H110" s="448"/>
      <c r="I110" s="448"/>
      <c r="J110" s="448"/>
      <c r="K110" s="448"/>
      <c r="L110" s="448"/>
      <c r="M110" s="448"/>
      <c r="N110" s="448"/>
      <c r="O110" s="448"/>
      <c r="P110" s="448"/>
      <c r="Q110" s="448"/>
      <c r="R110" s="53"/>
      <c r="S110" s="53"/>
      <c r="T110" s="400"/>
      <c r="V110" s="410"/>
      <c r="W110" s="437"/>
      <c r="X110" s="400"/>
      <c r="AA110" s="437"/>
      <c r="AB110" s="437"/>
      <c r="AC110" s="400"/>
    </row>
    <row r="111" spans="2:29">
      <c r="B111" s="448"/>
      <c r="C111" s="448"/>
      <c r="D111" s="448"/>
      <c r="E111" s="448"/>
      <c r="F111" s="448"/>
      <c r="G111" s="448"/>
      <c r="H111" s="448"/>
      <c r="I111" s="448"/>
      <c r="J111" s="448"/>
      <c r="K111" s="448"/>
      <c r="L111" s="448"/>
      <c r="M111" s="448"/>
      <c r="N111" s="448"/>
      <c r="O111" s="448"/>
      <c r="P111" s="448"/>
      <c r="Q111" s="448"/>
      <c r="R111" s="53"/>
      <c r="S111" s="53"/>
      <c r="T111" s="400"/>
      <c r="V111" s="410"/>
      <c r="W111" s="437"/>
      <c r="X111" s="400"/>
      <c r="AA111" s="437"/>
      <c r="AB111" s="437"/>
      <c r="AC111" s="400"/>
    </row>
    <row r="112" spans="2:29">
      <c r="B112" s="448"/>
      <c r="C112" s="448"/>
      <c r="D112" s="448"/>
      <c r="E112" s="448"/>
      <c r="F112" s="448"/>
      <c r="G112" s="448"/>
      <c r="H112" s="448"/>
      <c r="I112" s="448"/>
      <c r="J112" s="448"/>
      <c r="K112" s="448"/>
      <c r="L112" s="448"/>
      <c r="M112" s="448"/>
      <c r="N112" s="448"/>
      <c r="O112" s="448"/>
      <c r="P112" s="448"/>
      <c r="Q112" s="448"/>
      <c r="R112" s="53"/>
      <c r="S112" s="53"/>
      <c r="T112" s="400"/>
      <c r="V112" s="410"/>
      <c r="W112" s="437"/>
      <c r="X112" s="400"/>
      <c r="AA112" s="437"/>
      <c r="AB112" s="437"/>
      <c r="AC112" s="400"/>
    </row>
    <row r="113" spans="2:29">
      <c r="B113" s="448"/>
      <c r="C113" s="448"/>
      <c r="D113" s="448"/>
      <c r="E113" s="448"/>
      <c r="F113" s="448"/>
      <c r="G113" s="448"/>
      <c r="H113" s="448"/>
      <c r="I113" s="448"/>
      <c r="J113" s="448"/>
      <c r="K113" s="448"/>
      <c r="L113" s="448"/>
      <c r="M113" s="448"/>
      <c r="N113" s="448"/>
      <c r="O113" s="448"/>
      <c r="P113" s="448"/>
      <c r="Q113" s="448"/>
      <c r="R113" s="53"/>
      <c r="S113" s="53"/>
      <c r="T113" s="400"/>
      <c r="V113" s="410"/>
      <c r="W113" s="437"/>
      <c r="X113" s="400"/>
      <c r="AA113" s="437"/>
      <c r="AB113" s="437"/>
      <c r="AC113" s="400"/>
    </row>
    <row r="114" spans="2:29">
      <c r="B114" s="448"/>
      <c r="C114" s="448"/>
      <c r="D114" s="448"/>
      <c r="E114" s="448"/>
      <c r="F114" s="448"/>
      <c r="G114" s="448"/>
      <c r="H114" s="448"/>
      <c r="I114" s="448"/>
      <c r="J114" s="448"/>
      <c r="K114" s="448"/>
      <c r="L114" s="448"/>
      <c r="M114" s="448"/>
      <c r="N114" s="448"/>
      <c r="O114" s="448"/>
      <c r="P114" s="448"/>
      <c r="Q114" s="448"/>
      <c r="R114" s="53"/>
      <c r="S114" s="53"/>
      <c r="T114" s="400"/>
      <c r="V114" s="410"/>
      <c r="W114" s="437"/>
      <c r="X114" s="400"/>
      <c r="AA114" s="437"/>
      <c r="AB114" s="437"/>
      <c r="AC114" s="400"/>
    </row>
    <row r="115" spans="2:29">
      <c r="B115" s="448"/>
      <c r="C115" s="448"/>
      <c r="D115" s="448"/>
      <c r="E115" s="448"/>
      <c r="F115" s="448"/>
      <c r="G115" s="448"/>
      <c r="H115" s="448"/>
      <c r="I115" s="448"/>
      <c r="J115" s="448"/>
      <c r="K115" s="448"/>
      <c r="L115" s="448"/>
      <c r="M115" s="448"/>
      <c r="N115" s="448"/>
      <c r="O115" s="448"/>
      <c r="P115" s="448"/>
      <c r="Q115" s="448"/>
      <c r="R115" s="53"/>
      <c r="S115" s="53"/>
      <c r="T115" s="400"/>
      <c r="V115" s="410"/>
      <c r="W115" s="437"/>
      <c r="X115" s="400"/>
      <c r="AA115" s="437"/>
      <c r="AB115" s="437"/>
      <c r="AC115" s="400"/>
    </row>
    <row r="116" spans="2:29">
      <c r="B116" s="448"/>
      <c r="C116" s="448"/>
      <c r="D116" s="448"/>
      <c r="E116" s="448"/>
      <c r="F116" s="448"/>
      <c r="G116" s="448"/>
      <c r="H116" s="448"/>
      <c r="I116" s="448"/>
      <c r="J116" s="448"/>
      <c r="K116" s="448"/>
      <c r="L116" s="448"/>
      <c r="M116" s="448"/>
      <c r="N116" s="448"/>
      <c r="O116" s="448"/>
      <c r="P116" s="448"/>
      <c r="Q116" s="448"/>
      <c r="R116" s="53"/>
      <c r="S116" s="53"/>
      <c r="T116" s="400"/>
      <c r="V116" s="410"/>
      <c r="W116" s="437"/>
      <c r="X116" s="400"/>
      <c r="AA116" s="437"/>
      <c r="AB116" s="437"/>
      <c r="AC116" s="400"/>
    </row>
    <row r="117" spans="2:29">
      <c r="B117" s="448"/>
      <c r="C117" s="448"/>
      <c r="D117" s="448"/>
      <c r="E117" s="448"/>
      <c r="F117" s="448"/>
      <c r="G117" s="448"/>
      <c r="H117" s="448"/>
      <c r="I117" s="448"/>
      <c r="J117" s="448"/>
      <c r="K117" s="448"/>
      <c r="L117" s="448"/>
      <c r="M117" s="448"/>
      <c r="N117" s="448"/>
      <c r="O117" s="448"/>
      <c r="P117" s="448"/>
      <c r="Q117" s="448"/>
      <c r="R117" s="53"/>
      <c r="S117" s="53"/>
      <c r="T117" s="400"/>
      <c r="V117" s="410"/>
      <c r="W117" s="437"/>
      <c r="X117" s="400"/>
      <c r="AA117" s="437"/>
      <c r="AB117" s="437"/>
      <c r="AC117" s="400"/>
    </row>
    <row r="118" spans="2:29">
      <c r="B118" s="448"/>
      <c r="C118" s="448"/>
      <c r="D118" s="448"/>
      <c r="E118" s="448"/>
      <c r="F118" s="448"/>
      <c r="G118" s="448"/>
      <c r="H118" s="448"/>
      <c r="I118" s="448"/>
      <c r="J118" s="448"/>
      <c r="K118" s="448"/>
      <c r="L118" s="448"/>
      <c r="M118" s="448"/>
      <c r="N118" s="448"/>
      <c r="O118" s="448"/>
      <c r="P118" s="448"/>
      <c r="Q118" s="448"/>
      <c r="R118" s="53"/>
      <c r="S118" s="53"/>
      <c r="T118" s="400"/>
      <c r="V118" s="410"/>
      <c r="W118" s="437"/>
      <c r="X118" s="400"/>
      <c r="AA118" s="437"/>
      <c r="AB118" s="437"/>
      <c r="AC118" s="400"/>
    </row>
    <row r="119" spans="2:29">
      <c r="B119" s="448"/>
      <c r="C119" s="448"/>
      <c r="D119" s="448"/>
      <c r="E119" s="448"/>
      <c r="F119" s="448"/>
      <c r="G119" s="448"/>
      <c r="H119" s="448"/>
      <c r="I119" s="448"/>
      <c r="J119" s="448"/>
      <c r="K119" s="448"/>
      <c r="L119" s="448"/>
      <c r="M119" s="448"/>
      <c r="N119" s="448"/>
      <c r="O119" s="448"/>
      <c r="P119" s="448"/>
      <c r="Q119" s="448"/>
      <c r="R119" s="53"/>
      <c r="S119" s="53"/>
      <c r="T119" s="400"/>
      <c r="V119" s="410"/>
      <c r="W119" s="437"/>
      <c r="X119" s="400"/>
      <c r="AA119" s="437"/>
      <c r="AB119" s="437"/>
      <c r="AC119" s="400"/>
    </row>
    <row r="120" spans="2:29">
      <c r="B120" s="448"/>
      <c r="C120" s="448"/>
      <c r="D120" s="448"/>
      <c r="E120" s="448"/>
      <c r="F120" s="448"/>
      <c r="G120" s="448"/>
      <c r="H120" s="448"/>
      <c r="I120" s="448"/>
      <c r="J120" s="448"/>
      <c r="K120" s="448"/>
      <c r="L120" s="448"/>
      <c r="M120" s="448"/>
      <c r="N120" s="448"/>
      <c r="O120" s="448"/>
      <c r="P120" s="448"/>
      <c r="Q120" s="448"/>
      <c r="R120" s="53"/>
      <c r="S120" s="53"/>
      <c r="T120" s="400"/>
      <c r="V120" s="410"/>
      <c r="W120" s="437"/>
      <c r="X120" s="400"/>
      <c r="AA120" s="437"/>
      <c r="AB120" s="437"/>
      <c r="AC120" s="400"/>
    </row>
    <row r="121" spans="2:29">
      <c r="B121" s="448"/>
      <c r="C121" s="448"/>
      <c r="D121" s="448"/>
      <c r="E121" s="448"/>
      <c r="F121" s="448"/>
      <c r="G121" s="448"/>
      <c r="H121" s="448"/>
      <c r="I121" s="448"/>
      <c r="J121" s="448"/>
      <c r="K121" s="448"/>
      <c r="L121" s="448"/>
      <c r="M121" s="448"/>
      <c r="N121" s="448"/>
      <c r="O121" s="448"/>
      <c r="P121" s="448"/>
      <c r="Q121" s="448"/>
      <c r="R121" s="53"/>
      <c r="S121" s="53"/>
      <c r="T121" s="400"/>
      <c r="V121" s="410"/>
      <c r="W121" s="437"/>
      <c r="X121" s="400"/>
      <c r="AA121" s="437"/>
      <c r="AB121" s="437"/>
      <c r="AC121" s="400"/>
    </row>
    <row r="122" spans="2:29">
      <c r="B122" s="448"/>
      <c r="C122" s="448"/>
      <c r="D122" s="448"/>
      <c r="E122" s="448"/>
      <c r="F122" s="448"/>
      <c r="G122" s="448"/>
      <c r="H122" s="448"/>
      <c r="I122" s="448"/>
      <c r="J122" s="448"/>
      <c r="K122" s="448"/>
      <c r="L122" s="448"/>
      <c r="M122" s="448"/>
      <c r="N122" s="448"/>
      <c r="O122" s="448"/>
      <c r="P122" s="448"/>
      <c r="Q122" s="448"/>
      <c r="R122" s="53"/>
      <c r="S122" s="53"/>
      <c r="T122" s="400"/>
      <c r="V122" s="410"/>
      <c r="W122" s="437"/>
      <c r="X122" s="400"/>
      <c r="AA122" s="437"/>
      <c r="AB122" s="437"/>
      <c r="AC122" s="400"/>
    </row>
    <row r="123" spans="2:29">
      <c r="B123" s="448"/>
      <c r="C123" s="448"/>
      <c r="D123" s="448"/>
      <c r="E123" s="448"/>
      <c r="F123" s="448"/>
      <c r="G123" s="448"/>
      <c r="H123" s="448"/>
      <c r="I123" s="448"/>
      <c r="J123" s="448"/>
      <c r="K123" s="448"/>
      <c r="L123" s="448"/>
      <c r="M123" s="448"/>
      <c r="N123" s="448"/>
      <c r="O123" s="448"/>
      <c r="P123" s="448"/>
      <c r="Q123" s="448"/>
      <c r="R123" s="53"/>
      <c r="S123" s="53"/>
      <c r="T123" s="400"/>
      <c r="V123" s="410"/>
      <c r="W123" s="437"/>
      <c r="X123" s="400"/>
      <c r="AA123" s="437"/>
      <c r="AB123" s="437"/>
      <c r="AC123" s="400"/>
    </row>
    <row r="124" spans="2:29">
      <c r="B124" s="448"/>
      <c r="C124" s="448"/>
      <c r="D124" s="448"/>
      <c r="E124" s="448"/>
      <c r="F124" s="448"/>
      <c r="G124" s="448"/>
      <c r="H124" s="448"/>
      <c r="I124" s="448"/>
      <c r="J124" s="448"/>
      <c r="K124" s="448"/>
      <c r="L124" s="448"/>
      <c r="M124" s="448"/>
      <c r="N124" s="448"/>
      <c r="O124" s="448"/>
      <c r="P124" s="448"/>
      <c r="Q124" s="448"/>
      <c r="R124" s="53"/>
      <c r="S124" s="53"/>
      <c r="T124" s="400"/>
      <c r="U124" s="437"/>
      <c r="V124" s="403"/>
      <c r="W124" s="403"/>
      <c r="X124" s="403"/>
      <c r="AA124" s="437"/>
      <c r="AB124" s="437"/>
      <c r="AC124" s="400"/>
    </row>
    <row r="125" spans="2:29">
      <c r="B125" s="448"/>
      <c r="C125" s="448"/>
      <c r="D125" s="448"/>
      <c r="E125" s="448"/>
      <c r="F125" s="448"/>
      <c r="G125" s="448"/>
      <c r="H125" s="448"/>
      <c r="I125" s="448"/>
      <c r="J125" s="448"/>
      <c r="K125" s="448"/>
      <c r="L125" s="448"/>
      <c r="M125" s="448"/>
      <c r="N125" s="448"/>
      <c r="O125" s="448"/>
      <c r="P125" s="448"/>
      <c r="Q125" s="448"/>
      <c r="R125" s="53"/>
      <c r="S125" s="53"/>
      <c r="T125" s="400"/>
      <c r="U125" s="410"/>
      <c r="V125" s="410"/>
      <c r="W125" s="437"/>
      <c r="X125" s="400"/>
      <c r="AA125" s="437"/>
      <c r="AB125" s="437"/>
      <c r="AC125" s="400"/>
    </row>
    <row r="126" spans="2:29">
      <c r="B126" s="448"/>
      <c r="C126" s="448"/>
      <c r="D126" s="448"/>
      <c r="E126" s="448"/>
      <c r="F126" s="448"/>
      <c r="G126" s="448"/>
      <c r="H126" s="448"/>
      <c r="I126" s="448"/>
      <c r="J126" s="448"/>
      <c r="K126" s="448"/>
      <c r="L126" s="448"/>
      <c r="M126" s="448"/>
      <c r="N126" s="448"/>
      <c r="O126" s="448"/>
      <c r="P126" s="448"/>
      <c r="Q126" s="448"/>
      <c r="R126" s="53"/>
      <c r="S126" s="53"/>
      <c r="T126" s="400"/>
      <c r="V126" s="410"/>
      <c r="W126" s="437"/>
      <c r="X126" s="400"/>
      <c r="AA126" s="437"/>
      <c r="AB126" s="437"/>
      <c r="AC126" s="400"/>
    </row>
    <row r="127" spans="2:29">
      <c r="B127" s="448"/>
      <c r="C127" s="448"/>
      <c r="D127" s="448"/>
      <c r="E127" s="448"/>
      <c r="F127" s="448"/>
      <c r="G127" s="448"/>
      <c r="H127" s="448"/>
      <c r="I127" s="448"/>
      <c r="J127" s="448"/>
      <c r="K127" s="448"/>
      <c r="L127" s="448"/>
      <c r="M127" s="448"/>
      <c r="N127" s="448"/>
      <c r="O127" s="448"/>
      <c r="P127" s="448"/>
      <c r="Q127" s="448"/>
      <c r="R127" s="53"/>
      <c r="S127" s="53"/>
      <c r="T127" s="400"/>
      <c r="V127" s="410"/>
      <c r="W127" s="437"/>
      <c r="X127" s="400"/>
      <c r="AA127" s="437"/>
      <c r="AB127" s="437"/>
      <c r="AC127" s="400"/>
    </row>
    <row r="128" spans="2:29">
      <c r="B128" s="448"/>
      <c r="C128" s="448"/>
      <c r="D128" s="448"/>
      <c r="E128" s="448"/>
      <c r="F128" s="448"/>
      <c r="G128" s="448"/>
      <c r="H128" s="448"/>
      <c r="I128" s="448"/>
      <c r="J128" s="448"/>
      <c r="K128" s="448"/>
      <c r="L128" s="448"/>
      <c r="M128" s="448"/>
      <c r="N128" s="448"/>
      <c r="O128" s="448"/>
      <c r="P128" s="448"/>
      <c r="Q128" s="448"/>
      <c r="R128" s="53"/>
      <c r="S128" s="53"/>
      <c r="T128" s="400"/>
      <c r="V128" s="410"/>
      <c r="W128" s="437"/>
      <c r="X128" s="400"/>
      <c r="AA128" s="437"/>
      <c r="AB128" s="437"/>
      <c r="AC128" s="400"/>
    </row>
    <row r="129" spans="2:29">
      <c r="B129" s="448"/>
      <c r="C129" s="448"/>
      <c r="D129" s="448"/>
      <c r="E129" s="448"/>
      <c r="F129" s="448"/>
      <c r="G129" s="448"/>
      <c r="H129" s="448"/>
      <c r="I129" s="448"/>
      <c r="J129" s="448"/>
      <c r="K129" s="448"/>
      <c r="L129" s="448"/>
      <c r="M129" s="448"/>
      <c r="N129" s="448"/>
      <c r="O129" s="448"/>
      <c r="P129" s="448"/>
      <c r="Q129" s="448"/>
      <c r="R129" s="40"/>
      <c r="V129" s="410"/>
      <c r="W129" s="437"/>
      <c r="X129" s="400"/>
      <c r="AA129" s="437"/>
      <c r="AB129" s="437"/>
      <c r="AC129" s="400"/>
    </row>
    <row r="130" spans="2:29">
      <c r="B130" s="448"/>
      <c r="C130" s="448"/>
      <c r="D130" s="448"/>
      <c r="E130" s="448"/>
      <c r="F130" s="448"/>
      <c r="G130" s="448"/>
      <c r="H130" s="448"/>
      <c r="I130" s="448"/>
      <c r="J130" s="448"/>
      <c r="K130" s="448"/>
      <c r="L130" s="448"/>
      <c r="M130" s="448"/>
      <c r="N130" s="448"/>
      <c r="O130" s="448"/>
      <c r="P130" s="448"/>
      <c r="Q130" s="448"/>
      <c r="V130" s="410"/>
      <c r="W130" s="437"/>
      <c r="X130" s="400"/>
      <c r="AA130" s="437"/>
      <c r="AB130" s="437"/>
      <c r="AC130" s="400"/>
    </row>
    <row r="131" spans="2:29">
      <c r="B131" s="448"/>
      <c r="C131" s="448"/>
      <c r="D131" s="448"/>
      <c r="E131" s="448"/>
      <c r="F131" s="448"/>
      <c r="G131" s="448"/>
      <c r="H131" s="448"/>
      <c r="I131" s="448"/>
      <c r="J131" s="448"/>
      <c r="K131" s="448"/>
      <c r="L131" s="448"/>
      <c r="M131" s="448"/>
      <c r="N131" s="448"/>
      <c r="O131" s="448"/>
      <c r="P131" s="448"/>
      <c r="Q131" s="448"/>
      <c r="V131" s="410"/>
      <c r="W131" s="437"/>
      <c r="X131" s="400"/>
      <c r="AA131" s="437"/>
      <c r="AB131" s="437"/>
      <c r="AC131" s="400"/>
    </row>
    <row r="132" spans="2:29">
      <c r="B132" s="448"/>
      <c r="C132" s="448"/>
      <c r="D132" s="448"/>
      <c r="E132" s="448"/>
      <c r="F132" s="448"/>
      <c r="G132" s="448"/>
      <c r="H132" s="448"/>
      <c r="I132" s="448"/>
      <c r="J132" s="448"/>
      <c r="K132" s="448"/>
      <c r="L132" s="448"/>
      <c r="M132" s="448"/>
      <c r="N132" s="448"/>
      <c r="O132" s="448"/>
      <c r="P132" s="448"/>
      <c r="Q132" s="448"/>
      <c r="V132" s="410"/>
      <c r="W132" s="437"/>
      <c r="X132" s="400"/>
      <c r="AA132" s="437"/>
      <c r="AB132" s="437"/>
      <c r="AC132" s="400"/>
    </row>
    <row r="133" spans="2:29">
      <c r="B133" s="448"/>
      <c r="C133" s="448"/>
      <c r="D133" s="448"/>
      <c r="E133" s="448"/>
      <c r="F133" s="448"/>
      <c r="G133" s="448"/>
      <c r="H133" s="448"/>
      <c r="I133" s="448"/>
      <c r="J133" s="448"/>
      <c r="K133" s="448"/>
      <c r="L133" s="448"/>
      <c r="M133" s="448"/>
      <c r="N133" s="448"/>
      <c r="O133" s="448"/>
      <c r="P133" s="448"/>
      <c r="Q133" s="448"/>
      <c r="V133" s="410"/>
      <c r="W133" s="437"/>
      <c r="X133" s="400"/>
      <c r="AA133" s="437"/>
      <c r="AB133" s="437"/>
      <c r="AC133" s="400"/>
    </row>
    <row r="134" spans="2:29">
      <c r="B134" s="448"/>
      <c r="C134" s="448"/>
      <c r="D134" s="448"/>
      <c r="E134" s="448"/>
      <c r="F134" s="448"/>
      <c r="G134" s="448"/>
      <c r="H134" s="448"/>
      <c r="I134" s="448"/>
      <c r="J134" s="448"/>
      <c r="K134" s="448"/>
      <c r="L134" s="448"/>
      <c r="M134" s="448"/>
      <c r="N134" s="448"/>
      <c r="O134" s="448"/>
      <c r="P134" s="448"/>
      <c r="Q134" s="448"/>
      <c r="V134" s="410"/>
      <c r="W134" s="437"/>
      <c r="X134" s="400"/>
      <c r="AA134" s="437"/>
      <c r="AB134" s="437"/>
      <c r="AC134" s="400"/>
    </row>
    <row r="135" spans="2:29">
      <c r="B135" s="448"/>
      <c r="C135" s="448"/>
      <c r="D135" s="448"/>
      <c r="E135" s="448"/>
      <c r="F135" s="448"/>
      <c r="G135" s="448"/>
      <c r="H135" s="448"/>
      <c r="I135" s="448"/>
      <c r="J135" s="448"/>
      <c r="K135" s="448"/>
      <c r="L135" s="448"/>
      <c r="M135" s="448"/>
      <c r="N135" s="448"/>
      <c r="O135" s="448"/>
      <c r="P135" s="448"/>
      <c r="Q135" s="448"/>
      <c r="V135" s="410"/>
      <c r="W135" s="437"/>
      <c r="X135" s="400"/>
      <c r="AA135" s="437"/>
      <c r="AB135" s="437"/>
      <c r="AC135" s="400"/>
    </row>
    <row r="136" spans="2:29">
      <c r="B136" s="448"/>
      <c r="C136" s="448"/>
      <c r="D136" s="448"/>
      <c r="E136" s="448"/>
      <c r="F136" s="448"/>
      <c r="G136" s="448"/>
      <c r="H136" s="448"/>
      <c r="I136" s="448"/>
      <c r="J136" s="448"/>
      <c r="K136" s="448"/>
      <c r="L136" s="448"/>
      <c r="M136" s="448"/>
      <c r="N136" s="448"/>
      <c r="O136" s="448"/>
      <c r="P136" s="448"/>
      <c r="Q136" s="448"/>
      <c r="V136" s="410"/>
      <c r="W136" s="437"/>
      <c r="X136" s="400"/>
      <c r="AA136" s="437"/>
      <c r="AB136" s="437"/>
      <c r="AC136" s="400"/>
    </row>
    <row r="137" spans="2:29">
      <c r="V137" s="410"/>
      <c r="W137" s="437"/>
      <c r="X137" s="400"/>
      <c r="AA137" s="437"/>
      <c r="AB137" s="437"/>
      <c r="AC137" s="400"/>
    </row>
    <row r="138" spans="2:29">
      <c r="V138" s="410"/>
      <c r="W138" s="437"/>
      <c r="X138" s="400"/>
      <c r="AA138" s="437"/>
      <c r="AB138" s="437"/>
      <c r="AC138" s="400"/>
    </row>
    <row r="139" spans="2:29">
      <c r="V139" s="410"/>
      <c r="W139" s="437"/>
      <c r="X139" s="400"/>
      <c r="AA139" s="437"/>
      <c r="AB139" s="437"/>
      <c r="AC139" s="400"/>
    </row>
    <row r="140" spans="2:29">
      <c r="V140" s="410"/>
      <c r="W140" s="437"/>
      <c r="X140" s="400"/>
      <c r="AA140" s="437"/>
      <c r="AB140" s="437"/>
      <c r="AC140" s="400"/>
    </row>
    <row r="141" spans="2:29">
      <c r="V141" s="410"/>
      <c r="W141" s="437"/>
      <c r="X141" s="400"/>
      <c r="AA141" s="437"/>
      <c r="AB141" s="437"/>
      <c r="AC141" s="400"/>
    </row>
    <row r="142" spans="2:29">
      <c r="V142" s="410"/>
      <c r="W142" s="437"/>
      <c r="X142" s="400"/>
      <c r="AA142" s="437"/>
      <c r="AB142" s="437"/>
      <c r="AC142" s="400"/>
    </row>
    <row r="143" spans="2:29">
      <c r="V143" s="410"/>
      <c r="W143" s="437"/>
      <c r="X143" s="400"/>
      <c r="AA143" s="437"/>
      <c r="AB143" s="437"/>
      <c r="AC143" s="400"/>
    </row>
    <row r="144" spans="2:29">
      <c r="V144" s="410"/>
      <c r="W144" s="437"/>
      <c r="X144" s="400"/>
      <c r="AA144" s="437"/>
      <c r="AB144" s="437"/>
      <c r="AC144" s="400"/>
    </row>
    <row r="145" spans="18:29">
      <c r="R145" s="400"/>
      <c r="V145" s="410"/>
      <c r="W145" s="437"/>
      <c r="X145" s="400"/>
      <c r="AA145" s="437"/>
      <c r="AB145" s="437"/>
      <c r="AC145" s="400"/>
    </row>
    <row r="146" spans="18:29">
      <c r="R146" s="400"/>
      <c r="V146" s="410"/>
      <c r="W146" s="437"/>
      <c r="X146" s="400"/>
      <c r="AA146" s="437"/>
      <c r="AB146" s="437"/>
      <c r="AC146" s="400"/>
    </row>
    <row r="147" spans="18:29">
      <c r="R147" s="400"/>
      <c r="V147" s="410"/>
      <c r="W147" s="437"/>
      <c r="X147" s="400"/>
      <c r="AA147" s="437"/>
      <c r="AB147" s="437"/>
      <c r="AC147" s="400"/>
    </row>
    <row r="148" spans="18:29">
      <c r="R148" s="400"/>
      <c r="V148" s="410"/>
      <c r="W148" s="437"/>
      <c r="X148" s="400"/>
      <c r="AA148" s="437"/>
      <c r="AB148" s="437"/>
      <c r="AC148" s="400"/>
    </row>
    <row r="149" spans="18:29">
      <c r="R149" s="400"/>
      <c r="V149" s="410"/>
      <c r="W149" s="437"/>
      <c r="X149" s="400"/>
      <c r="AA149" s="437"/>
      <c r="AB149" s="437"/>
      <c r="AC149" s="400"/>
    </row>
    <row r="150" spans="18:29">
      <c r="R150" s="400"/>
      <c r="V150" s="410"/>
      <c r="W150" s="437"/>
      <c r="X150" s="400"/>
      <c r="AA150" s="437"/>
      <c r="AB150" s="437"/>
      <c r="AC150" s="400"/>
    </row>
    <row r="151" spans="18:29">
      <c r="R151" s="400"/>
      <c r="V151" s="410"/>
      <c r="W151" s="437"/>
      <c r="X151" s="400"/>
      <c r="AA151" s="437"/>
      <c r="AB151" s="437"/>
      <c r="AC151" s="400"/>
    </row>
    <row r="152" spans="18:29">
      <c r="R152" s="400"/>
      <c r="V152" s="410"/>
      <c r="W152" s="437"/>
      <c r="X152" s="400"/>
      <c r="AA152" s="437"/>
      <c r="AB152" s="437"/>
      <c r="AC152" s="400"/>
    </row>
    <row r="153" spans="18:29">
      <c r="R153" s="400"/>
      <c r="V153" s="410"/>
      <c r="W153" s="437"/>
      <c r="X153" s="400"/>
      <c r="AA153" s="437"/>
      <c r="AB153" s="437"/>
      <c r="AC153" s="400"/>
    </row>
    <row r="154" spans="18:29">
      <c r="R154" s="400"/>
      <c r="V154" s="410"/>
      <c r="W154" s="437"/>
      <c r="X154" s="400"/>
      <c r="AA154" s="437"/>
      <c r="AB154" s="437"/>
      <c r="AC154" s="400"/>
    </row>
    <row r="155" spans="18:29">
      <c r="R155" s="400"/>
      <c r="V155" s="410"/>
      <c r="W155" s="437"/>
      <c r="X155" s="400"/>
      <c r="AA155" s="437"/>
      <c r="AB155" s="437"/>
      <c r="AC155" s="400"/>
    </row>
    <row r="156" spans="18:29">
      <c r="R156" s="400"/>
      <c r="V156" s="410"/>
      <c r="W156" s="437"/>
      <c r="X156" s="400"/>
      <c r="AA156" s="437"/>
      <c r="AB156" s="437"/>
      <c r="AC156" s="400"/>
    </row>
    <row r="157" spans="18:29">
      <c r="R157" s="400"/>
      <c r="V157" s="410"/>
      <c r="W157" s="437"/>
      <c r="X157" s="400"/>
      <c r="AA157" s="437"/>
      <c r="AB157" s="437"/>
      <c r="AC157" s="400"/>
    </row>
    <row r="158" spans="18:29">
      <c r="R158" s="400"/>
      <c r="V158" s="410"/>
      <c r="W158" s="437"/>
      <c r="X158" s="400"/>
      <c r="AA158" s="437"/>
      <c r="AB158" s="437"/>
      <c r="AC158" s="400"/>
    </row>
    <row r="159" spans="18:29">
      <c r="R159" s="400"/>
      <c r="V159" s="410"/>
      <c r="W159" s="437"/>
      <c r="X159" s="400"/>
      <c r="AA159" s="437"/>
      <c r="AB159" s="437"/>
      <c r="AC159" s="400"/>
    </row>
    <row r="160" spans="18:29">
      <c r="R160" s="400"/>
      <c r="V160" s="410"/>
      <c r="W160" s="437"/>
      <c r="X160" s="400"/>
      <c r="AA160" s="437"/>
      <c r="AB160" s="437"/>
      <c r="AC160" s="400"/>
    </row>
    <row r="161" spans="18:29">
      <c r="R161" s="400"/>
      <c r="V161" s="410"/>
      <c r="W161" s="437"/>
      <c r="X161" s="400"/>
      <c r="AA161" s="437"/>
      <c r="AB161" s="437"/>
      <c r="AC161" s="400"/>
    </row>
    <row r="162" spans="18:29">
      <c r="V162" s="410"/>
      <c r="W162" s="437"/>
      <c r="X162" s="400"/>
      <c r="AA162" s="437"/>
      <c r="AB162" s="437"/>
      <c r="AC162" s="400"/>
    </row>
    <row r="163" spans="18:29">
      <c r="V163" s="410"/>
      <c r="W163" s="437"/>
      <c r="X163" s="400"/>
      <c r="AA163" s="437"/>
      <c r="AB163" s="437"/>
      <c r="AC163" s="400"/>
    </row>
    <row r="164" spans="18:29">
      <c r="V164" s="410"/>
      <c r="W164" s="437"/>
      <c r="X164" s="400"/>
      <c r="AA164" s="437"/>
      <c r="AB164" s="437"/>
      <c r="AC164" s="400"/>
    </row>
    <row r="165" spans="18:29">
      <c r="V165" s="410"/>
      <c r="W165" s="437"/>
      <c r="X165" s="400"/>
      <c r="AA165" s="437"/>
      <c r="AB165" s="437"/>
      <c r="AC165" s="400"/>
    </row>
    <row r="166" spans="18:29">
      <c r="V166" s="410"/>
      <c r="W166" s="437"/>
      <c r="X166" s="400"/>
      <c r="AA166" s="437"/>
      <c r="AB166" s="437"/>
      <c r="AC166" s="400"/>
    </row>
    <row r="167" spans="18:29">
      <c r="V167" s="410"/>
      <c r="W167" s="437"/>
      <c r="X167" s="400"/>
      <c r="AA167" s="437"/>
      <c r="AB167" s="437"/>
      <c r="AC167" s="400"/>
    </row>
    <row r="168" spans="18:29">
      <c r="V168" s="410"/>
      <c r="W168" s="437"/>
      <c r="X168" s="400"/>
      <c r="AA168" s="437"/>
      <c r="AB168" s="437"/>
      <c r="AC168" s="400"/>
    </row>
    <row r="169" spans="18:29">
      <c r="V169" s="410"/>
      <c r="W169" s="437"/>
      <c r="X169" s="400"/>
      <c r="AA169" s="437"/>
      <c r="AB169" s="437"/>
      <c r="AC169" s="400"/>
    </row>
    <row r="170" spans="18:29">
      <c r="V170" s="410"/>
      <c r="W170" s="437"/>
      <c r="X170" s="400"/>
      <c r="AA170" s="437"/>
      <c r="AB170" s="437"/>
      <c r="AC170" s="400"/>
    </row>
    <row r="171" spans="18:29">
      <c r="V171" s="410"/>
      <c r="W171" s="437"/>
      <c r="X171" s="400"/>
      <c r="AA171" s="437"/>
      <c r="AB171" s="437"/>
      <c r="AC171" s="400"/>
    </row>
    <row r="172" spans="18:29">
      <c r="V172" s="410"/>
      <c r="W172" s="437"/>
      <c r="X172" s="400"/>
      <c r="AA172" s="437"/>
      <c r="AB172" s="437"/>
      <c r="AC172" s="400"/>
    </row>
    <row r="173" spans="18:29">
      <c r="V173" s="410"/>
      <c r="W173" s="437"/>
      <c r="X173" s="400"/>
      <c r="AA173" s="437"/>
      <c r="AB173" s="437"/>
      <c r="AC173" s="400"/>
    </row>
    <row r="174" spans="18:29">
      <c r="V174" s="410"/>
      <c r="W174" s="437"/>
      <c r="X174" s="400"/>
      <c r="AA174" s="437"/>
      <c r="AB174" s="437"/>
      <c r="AC174" s="400"/>
    </row>
    <row r="175" spans="18:29">
      <c r="V175" s="410"/>
      <c r="W175" s="437"/>
      <c r="X175" s="400"/>
      <c r="AA175" s="437"/>
      <c r="AB175" s="437"/>
      <c r="AC175" s="400"/>
    </row>
    <row r="176" spans="18:29">
      <c r="V176" s="410"/>
      <c r="W176" s="437"/>
      <c r="X176" s="400"/>
      <c r="AA176" s="437"/>
      <c r="AB176" s="437"/>
      <c r="AC176" s="400"/>
    </row>
    <row r="177" spans="22:29">
      <c r="V177" s="410"/>
      <c r="W177" s="437"/>
      <c r="X177" s="400"/>
      <c r="AA177" s="437"/>
      <c r="AB177" s="437"/>
      <c r="AC177" s="400"/>
    </row>
    <row r="178" spans="22:29">
      <c r="V178" s="410"/>
      <c r="W178" s="437"/>
      <c r="X178" s="400"/>
      <c r="AA178" s="437"/>
      <c r="AB178" s="437"/>
      <c r="AC178" s="400"/>
    </row>
    <row r="179" spans="22:29">
      <c r="V179" s="410"/>
      <c r="W179" s="437"/>
      <c r="X179" s="400"/>
      <c r="AA179" s="437"/>
      <c r="AB179" s="437"/>
      <c r="AC179" s="400"/>
    </row>
    <row r="180" spans="22:29">
      <c r="V180" s="410"/>
      <c r="W180" s="437"/>
      <c r="X180" s="400"/>
      <c r="AA180" s="437"/>
      <c r="AB180" s="437"/>
      <c r="AC180" s="400"/>
    </row>
    <row r="181" spans="22:29">
      <c r="V181" s="410"/>
      <c r="W181" s="437"/>
      <c r="X181" s="400"/>
      <c r="AA181" s="437"/>
      <c r="AB181" s="437"/>
      <c r="AC181" s="400"/>
    </row>
    <row r="182" spans="22:29">
      <c r="V182" s="410"/>
      <c r="W182" s="437"/>
      <c r="X182" s="400"/>
      <c r="AA182" s="437"/>
      <c r="AB182" s="437"/>
      <c r="AC182" s="400"/>
    </row>
    <row r="183" spans="22:29">
      <c r="V183" s="410"/>
      <c r="W183" s="437"/>
      <c r="X183" s="400"/>
      <c r="AA183" s="437"/>
      <c r="AB183" s="437"/>
      <c r="AC183" s="400"/>
    </row>
    <row r="184" spans="22:29">
      <c r="V184" s="410"/>
      <c r="W184" s="437"/>
      <c r="X184" s="400"/>
      <c r="AA184" s="437"/>
      <c r="AB184" s="437"/>
      <c r="AC184" s="400"/>
    </row>
    <row r="185" spans="22:29">
      <c r="V185" s="410"/>
      <c r="W185" s="437"/>
      <c r="X185" s="400"/>
      <c r="AA185" s="437"/>
      <c r="AB185" s="437"/>
      <c r="AC185" s="400"/>
    </row>
    <row r="186" spans="22:29">
      <c r="V186" s="410"/>
      <c r="W186" s="437"/>
      <c r="X186" s="400"/>
      <c r="AA186" s="437"/>
      <c r="AB186" s="437"/>
      <c r="AC186" s="400"/>
    </row>
    <row r="187" spans="22:29">
      <c r="V187" s="410"/>
      <c r="W187" s="437"/>
      <c r="X187" s="400"/>
      <c r="AA187" s="437"/>
      <c r="AB187" s="437"/>
      <c r="AC187" s="400"/>
    </row>
    <row r="188" spans="22:29">
      <c r="V188" s="410"/>
      <c r="W188" s="437"/>
      <c r="X188" s="400"/>
      <c r="AA188" s="437"/>
      <c r="AB188" s="437"/>
      <c r="AC188" s="400"/>
    </row>
    <row r="189" spans="22:29">
      <c r="V189" s="410"/>
      <c r="W189" s="437"/>
      <c r="X189" s="400"/>
      <c r="AA189" s="437"/>
      <c r="AB189" s="437"/>
      <c r="AC189" s="400"/>
    </row>
    <row r="190" spans="22:29">
      <c r="V190" s="410"/>
      <c r="W190" s="437"/>
      <c r="X190" s="400"/>
      <c r="AA190" s="437"/>
      <c r="AB190" s="437"/>
      <c r="AC190" s="400"/>
    </row>
    <row r="191" spans="22:29">
      <c r="V191" s="410"/>
      <c r="W191" s="437"/>
      <c r="X191" s="400"/>
      <c r="AA191" s="437"/>
      <c r="AB191" s="437"/>
      <c r="AC191" s="400"/>
    </row>
    <row r="192" spans="22:29">
      <c r="V192" s="410"/>
      <c r="W192" s="437"/>
      <c r="X192" s="400"/>
      <c r="AA192" s="437"/>
      <c r="AB192" s="437"/>
      <c r="AC192" s="400"/>
    </row>
    <row r="193" spans="22:29">
      <c r="V193" s="410"/>
      <c r="W193" s="437"/>
      <c r="X193" s="400"/>
      <c r="AA193" s="437"/>
      <c r="AB193" s="437"/>
      <c r="AC193" s="400"/>
    </row>
    <row r="194" spans="22:29">
      <c r="V194" s="410"/>
      <c r="W194" s="437"/>
      <c r="X194" s="400"/>
      <c r="AA194" s="437"/>
      <c r="AB194" s="437"/>
      <c r="AC194" s="400"/>
    </row>
    <row r="195" spans="22:29">
      <c r="V195" s="410"/>
      <c r="W195" s="437"/>
      <c r="X195" s="400"/>
      <c r="AA195" s="437"/>
      <c r="AB195" s="437"/>
      <c r="AC195" s="400"/>
    </row>
    <row r="196" spans="22:29">
      <c r="V196" s="410"/>
      <c r="W196" s="437"/>
      <c r="X196" s="400"/>
      <c r="AA196" s="437"/>
      <c r="AB196" s="437"/>
      <c r="AC196" s="400"/>
    </row>
    <row r="197" spans="22:29">
      <c r="V197" s="410"/>
      <c r="W197" s="437"/>
      <c r="X197" s="400"/>
      <c r="AA197" s="437"/>
      <c r="AB197" s="437"/>
      <c r="AC197" s="400"/>
    </row>
    <row r="198" spans="22:29">
      <c r="V198" s="410"/>
      <c r="W198" s="437"/>
      <c r="X198" s="400"/>
      <c r="AA198" s="437"/>
      <c r="AB198" s="437"/>
      <c r="AC198" s="400"/>
    </row>
    <row r="199" spans="22:29">
      <c r="V199" s="410"/>
      <c r="W199" s="437"/>
      <c r="X199" s="400"/>
      <c r="AA199" s="437"/>
      <c r="AB199" s="437"/>
      <c r="AC199" s="400"/>
    </row>
    <row r="200" spans="22:29">
      <c r="V200" s="410"/>
      <c r="W200" s="437"/>
      <c r="X200" s="400"/>
      <c r="AA200" s="437"/>
      <c r="AB200" s="437"/>
      <c r="AC200" s="400"/>
    </row>
    <row r="201" spans="22:29">
      <c r="V201" s="410"/>
      <c r="W201" s="437"/>
      <c r="X201" s="400"/>
      <c r="AA201" s="437"/>
      <c r="AB201" s="437"/>
      <c r="AC201" s="400"/>
    </row>
    <row r="202" spans="22:29">
      <c r="V202" s="410"/>
      <c r="W202" s="437"/>
      <c r="X202" s="400"/>
      <c r="AA202" s="437"/>
      <c r="AB202" s="437"/>
      <c r="AC202" s="400"/>
    </row>
    <row r="203" spans="22:29">
      <c r="V203" s="410"/>
      <c r="W203" s="437"/>
      <c r="X203" s="400"/>
      <c r="AA203" s="437"/>
      <c r="AB203" s="437"/>
      <c r="AC203" s="400"/>
    </row>
    <row r="204" spans="22:29">
      <c r="V204" s="410"/>
      <c r="W204" s="437"/>
      <c r="X204" s="400"/>
      <c r="AA204" s="437"/>
      <c r="AB204" s="437"/>
      <c r="AC204" s="400"/>
    </row>
    <row r="205" spans="22:29">
      <c r="V205" s="410"/>
      <c r="W205" s="437"/>
      <c r="X205" s="400"/>
      <c r="AA205" s="437"/>
      <c r="AB205" s="437"/>
      <c r="AC205" s="400"/>
    </row>
    <row r="206" spans="22:29">
      <c r="V206" s="410"/>
      <c r="W206" s="437"/>
      <c r="X206" s="400"/>
      <c r="AA206" s="437"/>
      <c r="AB206" s="437"/>
      <c r="AC206" s="400"/>
    </row>
    <row r="207" spans="22:29">
      <c r="V207" s="410"/>
      <c r="W207" s="437"/>
      <c r="X207" s="400"/>
      <c r="AA207" s="437"/>
      <c r="AB207" s="437"/>
      <c r="AC207" s="400"/>
    </row>
    <row r="208" spans="22:29">
      <c r="V208" s="410"/>
      <c r="W208" s="437"/>
      <c r="X208" s="400"/>
      <c r="AA208" s="437"/>
      <c r="AB208" s="437"/>
      <c r="AC208" s="400"/>
    </row>
    <row r="209" spans="20:29">
      <c r="V209" s="410"/>
      <c r="W209" s="437"/>
      <c r="X209" s="400"/>
      <c r="AA209" s="437"/>
      <c r="AB209" s="437"/>
      <c r="AC209" s="400"/>
    </row>
    <row r="210" spans="20:29">
      <c r="V210" s="410"/>
      <c r="W210" s="437"/>
      <c r="X210" s="400"/>
      <c r="AA210" s="437"/>
      <c r="AB210" s="437"/>
      <c r="AC210" s="400"/>
    </row>
    <row r="211" spans="20:29">
      <c r="V211" s="410"/>
      <c r="W211" s="437"/>
      <c r="X211" s="400"/>
      <c r="AA211" s="437"/>
      <c r="AB211" s="437"/>
      <c r="AC211" s="400"/>
    </row>
    <row r="212" spans="20:29">
      <c r="T212" s="410"/>
      <c r="U212" s="437"/>
      <c r="V212" s="474"/>
      <c r="W212" s="475"/>
      <c r="X212" s="403"/>
      <c r="AA212" s="437"/>
      <c r="AB212" s="437"/>
      <c r="AC212" s="400"/>
    </row>
    <row r="213" spans="20:29">
      <c r="V213" s="410"/>
      <c r="W213" s="437"/>
      <c r="X213" s="400"/>
      <c r="AA213" s="437"/>
      <c r="AB213" s="437"/>
      <c r="AC213" s="400"/>
    </row>
    <row r="214" spans="20:29">
      <c r="V214" s="410"/>
      <c r="W214" s="437"/>
      <c r="X214" s="400"/>
      <c r="AA214" s="437"/>
      <c r="AB214" s="437"/>
      <c r="AC214" s="400"/>
    </row>
    <row r="215" spans="20:29">
      <c r="V215" s="410"/>
      <c r="W215" s="437"/>
      <c r="X215" s="400"/>
      <c r="AA215" s="437"/>
      <c r="AB215" s="437"/>
      <c r="AC215" s="400"/>
    </row>
    <row r="216" spans="20:29">
      <c r="V216" s="410"/>
      <c r="W216" s="437"/>
      <c r="X216" s="400"/>
      <c r="AA216" s="437"/>
      <c r="AB216" s="437"/>
      <c r="AC216" s="400"/>
    </row>
    <row r="217" spans="20:29">
      <c r="V217" s="410"/>
      <c r="W217" s="437"/>
      <c r="X217" s="400"/>
      <c r="AA217" s="437"/>
      <c r="AB217" s="437"/>
      <c r="AC217" s="400"/>
    </row>
    <row r="218" spans="20:29">
      <c r="V218" s="410"/>
      <c r="W218" s="437"/>
      <c r="X218" s="400"/>
      <c r="AA218" s="437"/>
      <c r="AB218" s="437"/>
      <c r="AC218" s="400"/>
    </row>
    <row r="219" spans="20:29">
      <c r="V219" s="410"/>
      <c r="W219" s="437"/>
      <c r="X219" s="400"/>
      <c r="AA219" s="437"/>
      <c r="AB219" s="437"/>
      <c r="AC219" s="400"/>
    </row>
    <row r="220" spans="20:29">
      <c r="V220" s="410"/>
      <c r="W220" s="437"/>
      <c r="X220" s="400"/>
      <c r="AA220" s="437"/>
      <c r="AB220" s="437"/>
      <c r="AC220" s="400"/>
    </row>
    <row r="221" spans="20:29">
      <c r="V221" s="410"/>
      <c r="W221" s="437"/>
      <c r="X221" s="400"/>
      <c r="AA221" s="437"/>
      <c r="AB221" s="437"/>
      <c r="AC221" s="400"/>
    </row>
    <row r="222" spans="20:29">
      <c r="V222" s="410"/>
      <c r="W222" s="437"/>
      <c r="X222" s="400"/>
      <c r="AA222" s="437"/>
      <c r="AB222" s="437"/>
      <c r="AC222" s="400"/>
    </row>
    <row r="223" spans="20:29">
      <c r="V223" s="410"/>
      <c r="W223" s="437"/>
      <c r="X223" s="400"/>
      <c r="AA223" s="437"/>
      <c r="AB223" s="437"/>
      <c r="AC223" s="400"/>
    </row>
    <row r="224" spans="20:29">
      <c r="V224" s="410"/>
      <c r="W224" s="437"/>
      <c r="X224" s="400"/>
      <c r="AA224" s="437"/>
      <c r="AB224" s="437"/>
      <c r="AC224" s="400"/>
    </row>
    <row r="225" spans="22:29">
      <c r="V225" s="410"/>
      <c r="W225" s="437"/>
      <c r="X225" s="400"/>
      <c r="AA225" s="437"/>
      <c r="AB225" s="437"/>
      <c r="AC225" s="400"/>
    </row>
    <row r="226" spans="22:29">
      <c r="V226" s="410"/>
      <c r="W226" s="437"/>
      <c r="X226" s="400"/>
      <c r="AA226" s="437"/>
      <c r="AB226" s="437"/>
      <c r="AC226" s="400"/>
    </row>
    <row r="227" spans="22:29">
      <c r="V227" s="410"/>
      <c r="W227" s="437"/>
      <c r="X227" s="400"/>
      <c r="AA227" s="437"/>
      <c r="AB227" s="437"/>
      <c r="AC227" s="400"/>
    </row>
    <row r="228" spans="22:29">
      <c r="V228" s="410"/>
      <c r="W228" s="437"/>
      <c r="X228" s="400"/>
      <c r="AA228" s="437"/>
      <c r="AB228" s="437"/>
      <c r="AC228" s="400"/>
    </row>
    <row r="229" spans="22:29">
      <c r="V229" s="410"/>
      <c r="W229" s="437"/>
      <c r="X229" s="400"/>
      <c r="AA229" s="437"/>
      <c r="AB229" s="437"/>
      <c r="AC229" s="400"/>
    </row>
    <row r="230" spans="22:29">
      <c r="V230" s="410"/>
      <c r="W230" s="437"/>
      <c r="X230" s="400"/>
      <c r="AA230" s="437"/>
      <c r="AB230" s="437"/>
      <c r="AC230" s="400"/>
    </row>
    <row r="231" spans="22:29">
      <c r="V231" s="410"/>
      <c r="W231" s="437"/>
      <c r="X231" s="400"/>
      <c r="AA231" s="437"/>
      <c r="AB231" s="437"/>
      <c r="AC231" s="400"/>
    </row>
    <row r="232" spans="22:29">
      <c r="V232" s="410"/>
      <c r="W232" s="437"/>
      <c r="X232" s="400"/>
      <c r="AA232" s="437"/>
      <c r="AB232" s="437"/>
      <c r="AC232" s="400"/>
    </row>
    <row r="233" spans="22:29">
      <c r="V233" s="410"/>
      <c r="W233" s="437"/>
      <c r="X233" s="400"/>
      <c r="AA233" s="437"/>
      <c r="AB233" s="437"/>
      <c r="AC233" s="400"/>
    </row>
    <row r="234" spans="22:29">
      <c r="V234" s="410"/>
      <c r="W234" s="437"/>
      <c r="X234" s="400"/>
      <c r="AA234" s="437"/>
      <c r="AB234" s="437"/>
      <c r="AC234" s="400"/>
    </row>
    <row r="235" spans="22:29">
      <c r="V235" s="410"/>
      <c r="W235" s="437"/>
      <c r="X235" s="400"/>
      <c r="AA235" s="437"/>
      <c r="AB235" s="437"/>
      <c r="AC235" s="400"/>
    </row>
    <row r="236" spans="22:29">
      <c r="V236" s="410"/>
      <c r="W236" s="437"/>
      <c r="X236" s="400"/>
      <c r="AA236" s="437"/>
      <c r="AB236" s="437"/>
      <c r="AC236" s="400"/>
    </row>
    <row r="237" spans="22:29">
      <c r="V237" s="410"/>
      <c r="W237" s="437"/>
      <c r="X237" s="400"/>
      <c r="AA237" s="437"/>
      <c r="AB237" s="437"/>
      <c r="AC237" s="400"/>
    </row>
    <row r="238" spans="22:29">
      <c r="V238" s="410"/>
      <c r="W238" s="437"/>
      <c r="X238" s="400"/>
      <c r="AA238" s="437"/>
      <c r="AB238" s="437"/>
      <c r="AC238" s="400"/>
    </row>
    <row r="239" spans="22:29">
      <c r="V239" s="410"/>
      <c r="W239" s="437"/>
      <c r="X239" s="400"/>
      <c r="AA239" s="437"/>
      <c r="AB239" s="437"/>
      <c r="AC239" s="400"/>
    </row>
    <row r="240" spans="22:29">
      <c r="V240" s="410"/>
      <c r="W240" s="437"/>
      <c r="X240" s="400"/>
      <c r="AA240" s="437"/>
      <c r="AB240" s="437"/>
      <c r="AC240" s="400"/>
    </row>
    <row r="241" spans="22:29">
      <c r="V241" s="410"/>
      <c r="W241" s="437"/>
      <c r="X241" s="400"/>
      <c r="AA241" s="437"/>
      <c r="AB241" s="437"/>
      <c r="AC241" s="400"/>
    </row>
    <row r="242" spans="22:29">
      <c r="V242" s="410"/>
      <c r="W242" s="437"/>
      <c r="X242" s="400"/>
      <c r="AA242" s="437"/>
      <c r="AB242" s="437"/>
      <c r="AC242" s="400"/>
    </row>
    <row r="243" spans="22:29">
      <c r="V243" s="410"/>
      <c r="W243" s="437"/>
      <c r="X243" s="400"/>
      <c r="AA243" s="437"/>
      <c r="AB243" s="437"/>
      <c r="AC243" s="400"/>
    </row>
    <row r="244" spans="22:29">
      <c r="V244" s="410"/>
      <c r="W244" s="437"/>
      <c r="X244" s="400"/>
      <c r="AA244" s="437"/>
      <c r="AB244" s="437"/>
      <c r="AC244" s="400"/>
    </row>
    <row r="245" spans="22:29">
      <c r="V245" s="410"/>
      <c r="W245" s="437"/>
      <c r="X245" s="400"/>
      <c r="AA245" s="437"/>
      <c r="AB245" s="437"/>
      <c r="AC245" s="400"/>
    </row>
    <row r="246" spans="22:29">
      <c r="V246" s="410"/>
      <c r="W246" s="437"/>
      <c r="X246" s="400"/>
      <c r="AA246" s="437"/>
      <c r="AB246" s="437"/>
      <c r="AC246" s="400"/>
    </row>
    <row r="247" spans="22:29">
      <c r="V247" s="410"/>
      <c r="W247" s="437"/>
      <c r="X247" s="400"/>
      <c r="AA247" s="437"/>
      <c r="AB247" s="437"/>
      <c r="AC247" s="400"/>
    </row>
    <row r="248" spans="22:29">
      <c r="V248" s="410"/>
      <c r="W248" s="437"/>
      <c r="X248" s="400"/>
      <c r="AA248" s="437"/>
      <c r="AB248" s="437"/>
      <c r="AC248" s="400"/>
    </row>
    <row r="249" spans="22:29">
      <c r="V249" s="410"/>
      <c r="W249" s="437"/>
      <c r="X249" s="400"/>
      <c r="AA249" s="437"/>
      <c r="AB249" s="437"/>
      <c r="AC249" s="400"/>
    </row>
    <row r="250" spans="22:29">
      <c r="V250" s="410"/>
      <c r="W250" s="437"/>
      <c r="X250" s="400"/>
      <c r="AA250" s="437"/>
      <c r="AB250" s="437"/>
      <c r="AC250" s="400"/>
    </row>
    <row r="251" spans="22:29">
      <c r="V251" s="410"/>
      <c r="W251" s="437"/>
      <c r="X251" s="400"/>
      <c r="AA251" s="437"/>
      <c r="AB251" s="437"/>
      <c r="AC251" s="400"/>
    </row>
    <row r="252" spans="22:29">
      <c r="V252" s="410"/>
      <c r="W252" s="437"/>
      <c r="X252" s="400"/>
      <c r="AA252" s="437"/>
      <c r="AB252" s="437"/>
      <c r="AC252" s="400"/>
    </row>
    <row r="253" spans="22:29">
      <c r="V253" s="410"/>
      <c r="W253" s="437"/>
      <c r="X253" s="400"/>
      <c r="AA253" s="437"/>
      <c r="AB253" s="437"/>
      <c r="AC253" s="400"/>
    </row>
    <row r="254" spans="22:29">
      <c r="V254" s="410"/>
      <c r="W254" s="437"/>
      <c r="X254" s="400"/>
      <c r="AA254" s="437"/>
      <c r="AB254" s="437"/>
      <c r="AC254" s="400"/>
    </row>
    <row r="255" spans="22:29">
      <c r="V255" s="410"/>
      <c r="W255" s="437"/>
      <c r="X255" s="400"/>
      <c r="AA255" s="437"/>
      <c r="AB255" s="437"/>
      <c r="AC255" s="400"/>
    </row>
    <row r="256" spans="22:29">
      <c r="V256" s="410"/>
      <c r="W256" s="437"/>
      <c r="X256" s="400"/>
      <c r="AA256" s="437"/>
      <c r="AB256" s="437"/>
      <c r="AC256" s="400"/>
    </row>
    <row r="257" spans="22:29">
      <c r="V257" s="410"/>
      <c r="W257" s="437"/>
      <c r="X257" s="400"/>
      <c r="AA257" s="437"/>
      <c r="AB257" s="437"/>
      <c r="AC257" s="400"/>
    </row>
    <row r="258" spans="22:29">
      <c r="V258" s="410"/>
      <c r="W258" s="437"/>
      <c r="X258" s="400"/>
      <c r="AA258" s="437"/>
      <c r="AB258" s="437"/>
      <c r="AC258" s="400"/>
    </row>
    <row r="259" spans="22:29">
      <c r="V259" s="410"/>
      <c r="W259" s="437"/>
      <c r="X259" s="400"/>
      <c r="AA259" s="437"/>
      <c r="AB259" s="437"/>
      <c r="AC259" s="400"/>
    </row>
    <row r="260" spans="22:29">
      <c r="V260" s="410"/>
      <c r="W260" s="437"/>
      <c r="X260" s="400"/>
      <c r="AA260" s="437"/>
      <c r="AB260" s="437"/>
      <c r="AC260" s="400"/>
    </row>
    <row r="261" spans="22:29">
      <c r="V261" s="410"/>
      <c r="W261" s="437"/>
      <c r="X261" s="400"/>
      <c r="AA261" s="437"/>
      <c r="AB261" s="437"/>
      <c r="AC261" s="400"/>
    </row>
    <row r="262" spans="22:29">
      <c r="V262" s="410"/>
      <c r="W262" s="437"/>
      <c r="X262" s="400"/>
      <c r="AA262" s="437"/>
      <c r="AB262" s="437"/>
      <c r="AC262" s="400"/>
    </row>
    <row r="263" spans="22:29">
      <c r="V263" s="410"/>
      <c r="W263" s="437"/>
      <c r="X263" s="400"/>
      <c r="AA263" s="437"/>
      <c r="AB263" s="437"/>
      <c r="AC263" s="400"/>
    </row>
    <row r="264" spans="22:29">
      <c r="V264" s="410"/>
      <c r="W264" s="437"/>
      <c r="X264" s="400"/>
      <c r="AA264" s="437"/>
      <c r="AB264" s="437"/>
      <c r="AC264" s="400"/>
    </row>
    <row r="265" spans="22:29">
      <c r="V265" s="410"/>
      <c r="W265" s="437"/>
      <c r="X265" s="400"/>
      <c r="AA265" s="437"/>
      <c r="AB265" s="437"/>
      <c r="AC265" s="400"/>
    </row>
    <row r="266" spans="22:29">
      <c r="V266" s="410"/>
      <c r="W266" s="437"/>
      <c r="X266" s="400"/>
      <c r="AA266" s="437"/>
      <c r="AB266" s="437"/>
      <c r="AC266" s="400"/>
    </row>
    <row r="267" spans="22:29">
      <c r="V267" s="410"/>
      <c r="W267" s="437"/>
      <c r="X267" s="400"/>
      <c r="AA267" s="437"/>
      <c r="AB267" s="437"/>
      <c r="AC267" s="400"/>
    </row>
    <row r="268" spans="22:29">
      <c r="V268" s="410"/>
      <c r="W268" s="437"/>
      <c r="X268" s="400"/>
      <c r="AA268" s="437"/>
      <c r="AB268" s="437"/>
      <c r="AC268" s="400"/>
    </row>
    <row r="269" spans="22:29">
      <c r="V269" s="410"/>
      <c r="W269" s="437"/>
      <c r="X269" s="400"/>
      <c r="AA269" s="437"/>
      <c r="AB269" s="437"/>
      <c r="AC269" s="400"/>
    </row>
    <row r="270" spans="22:29">
      <c r="V270" s="410"/>
      <c r="W270" s="437"/>
      <c r="X270" s="400"/>
      <c r="AA270" s="437"/>
      <c r="AB270" s="437"/>
      <c r="AC270" s="400"/>
    </row>
    <row r="271" spans="22:29">
      <c r="V271" s="410"/>
      <c r="W271" s="437"/>
      <c r="X271" s="400"/>
      <c r="AA271" s="437"/>
      <c r="AB271" s="437"/>
      <c r="AC271" s="400"/>
    </row>
    <row r="272" spans="22:29">
      <c r="V272" s="410"/>
      <c r="W272" s="437"/>
      <c r="X272" s="400"/>
      <c r="AA272" s="437"/>
      <c r="AB272" s="437"/>
      <c r="AC272" s="400"/>
    </row>
  </sheetData>
  <mergeCells count="11">
    <mergeCell ref="A71:A73"/>
    <mergeCell ref="A3:A8"/>
    <mergeCell ref="A9:A10"/>
    <mergeCell ref="A11:A13"/>
    <mergeCell ref="A63:A68"/>
    <mergeCell ref="A69:A70"/>
    <mergeCell ref="A19:A29"/>
    <mergeCell ref="A32:A42"/>
    <mergeCell ref="A45:A50"/>
    <mergeCell ref="A51:A52"/>
    <mergeCell ref="A53:A55"/>
  </mergeCells>
  <pageMargins left="0.7" right="0.7" top="0.75" bottom="0.75" header="0.3" footer="0.3"/>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262892D00F5247A92207A77217777A" ma:contentTypeVersion="12" ma:contentTypeDescription="Een nieuw document maken." ma:contentTypeScope="" ma:versionID="9e8817295fe9950aad27087faecf92fa">
  <xsd:schema xmlns:xsd="http://www.w3.org/2001/XMLSchema" xmlns:xs="http://www.w3.org/2001/XMLSchema" xmlns:p="http://schemas.microsoft.com/office/2006/metadata/properties" xmlns:ns3="94ad1cb4-ec3b-45a4-a46c-744edfa3f41e" xmlns:ns4="1e83bb03-da63-41e7-96c1-ff07c7b5f68b" targetNamespace="http://schemas.microsoft.com/office/2006/metadata/properties" ma:root="true" ma:fieldsID="90366e36ec3a83147081fe0e617bab1f" ns3:_="" ns4:_="">
    <xsd:import namespace="94ad1cb4-ec3b-45a4-a46c-744edfa3f41e"/>
    <xsd:import namespace="1e83bb03-da63-41e7-96c1-ff07c7b5f68b"/>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d1cb4-ec3b-45a4-a46c-744edfa3f4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83bb03-da63-41e7-96c1-ff07c7b5f68b"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DD0D80-365D-4115-A0FA-BC63AEB63EEF}">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4ad1cb4-ec3b-45a4-a46c-744edfa3f41e"/>
    <ds:schemaRef ds:uri="1e83bb03-da63-41e7-96c1-ff07c7b5f68b"/>
    <ds:schemaRef ds:uri="http://www.w3.org/XML/1998/namespace"/>
    <ds:schemaRef ds:uri="http://purl.org/dc/dcmitype/"/>
  </ds:schemaRefs>
</ds:datastoreItem>
</file>

<file path=customXml/itemProps2.xml><?xml version="1.0" encoding="utf-8"?>
<ds:datastoreItem xmlns:ds="http://schemas.openxmlformats.org/officeDocument/2006/customXml" ds:itemID="{F3AA10F8-1B72-4820-9631-C1F2E83B5911}">
  <ds:schemaRefs>
    <ds:schemaRef ds:uri="http://schemas.microsoft.com/sharepoint/v3/contenttype/forms"/>
  </ds:schemaRefs>
</ds:datastoreItem>
</file>

<file path=customXml/itemProps3.xml><?xml version="1.0" encoding="utf-8"?>
<ds:datastoreItem xmlns:ds="http://schemas.openxmlformats.org/officeDocument/2006/customXml" ds:itemID="{C774418A-73C3-4E0A-86E8-AD1A89B36A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ad1cb4-ec3b-45a4-a46c-744edfa3f41e"/>
    <ds:schemaRef ds:uri="1e83bb03-da63-41e7-96c1-ff07c7b5f6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37</vt:i4>
      </vt:variant>
    </vt:vector>
  </HeadingPairs>
  <TitlesOfParts>
    <vt:vector size="46" baseType="lpstr">
      <vt:lpstr>Title page</vt:lpstr>
      <vt:lpstr>A2-1 EV-ICEV composition</vt:lpstr>
      <vt:lpstr>A2-2 Uncertainties ELV</vt:lpstr>
      <vt:lpstr>A2-3 Generic MFA</vt:lpstr>
      <vt:lpstr>A2-4 Derived trans.coefficients</vt:lpstr>
      <vt:lpstr>A2-4.1 Transfercoefficients</vt:lpstr>
      <vt:lpstr>A2-4.2 TCs improved</vt:lpstr>
      <vt:lpstr>A2-5 Hmax &amp; Mmax</vt:lpstr>
      <vt:lpstr>A2-6 RSE components</vt:lpstr>
      <vt:lpstr>Body_doors</vt:lpstr>
      <vt:lpstr>Brakes</vt:lpstr>
      <vt:lpstr>Chassis</vt:lpstr>
      <vt:lpstr>'A2-5 Hmax &amp; Mmax'!Dismantled_ELV</vt:lpstr>
      <vt:lpstr>Engine</vt:lpstr>
      <vt:lpstr>EV_battery</vt:lpstr>
      <vt:lpstr>EV_motor_and_transmission</vt:lpstr>
      <vt:lpstr>'A2-2 Uncertainties ELV'!ex.1</vt:lpstr>
      <vt:lpstr>'A2-2 Uncertainties ELV'!ex.2</vt:lpstr>
      <vt:lpstr>'A2-2 Uncertainties ELV'!ex.3</vt:lpstr>
      <vt:lpstr>'A2-2 Uncertainties ELV'!ex.4</vt:lpstr>
      <vt:lpstr>'A2-2 Uncertainties ELV'!high.1</vt:lpstr>
      <vt:lpstr>'A2-2 Uncertainties ELV'!high.2</vt:lpstr>
      <vt:lpstr>'A2-2 Uncertainties ELV'!high.3</vt:lpstr>
      <vt:lpstr>'A2-2 Uncertainties ELV'!high.4</vt:lpstr>
      <vt:lpstr>ICEV_other_powertrain</vt:lpstr>
      <vt:lpstr>'A2-5 Hmax &amp; Mmax'!input1</vt:lpstr>
      <vt:lpstr>Interior_exterior</vt:lpstr>
      <vt:lpstr>Lead_battery</vt:lpstr>
      <vt:lpstr>'A2-2 Uncertainties ELV'!low.1</vt:lpstr>
      <vt:lpstr>'A2-2 Uncertainties ELV'!low.2</vt:lpstr>
      <vt:lpstr>'A2-2 Uncertainties ELV'!low.3</vt:lpstr>
      <vt:lpstr>'A2-2 Uncertainties ELV'!low.4</vt:lpstr>
      <vt:lpstr>'A2-2 Uncertainties ELV'!mid.1</vt:lpstr>
      <vt:lpstr>'A2-2 Uncertainties ELV'!mid.2</vt:lpstr>
      <vt:lpstr>'A2-2 Uncertainties ELV'!mid.3</vt:lpstr>
      <vt:lpstr>'A2-2 Uncertainties ELV'!mid.4</vt:lpstr>
      <vt:lpstr>'A2-5 Hmax &amp; Mmax'!Multiplication_matrix</vt:lpstr>
      <vt:lpstr>'A2-2 Uncertainties ELV'!rel.1</vt:lpstr>
      <vt:lpstr>'A2-2 Uncertainties ELV'!rel.2</vt:lpstr>
      <vt:lpstr>'A2-2 Uncertainties ELV'!rel.3</vt:lpstr>
      <vt:lpstr>'A2-2 Uncertainties ELV'!rel.4</vt:lpstr>
      <vt:lpstr>'A2-2 Uncertainties ELV'!Reli1</vt:lpstr>
      <vt:lpstr>'A2-2 Uncertainties ELV'!Reli2</vt:lpstr>
      <vt:lpstr>'A2-2 Uncertainties ELV'!Reli3</vt:lpstr>
      <vt:lpstr>Transmission</vt:lpstr>
      <vt:lpstr>Tyres_wheels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2020-09-01T16:14:23Z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0x01010016262892D00F5247A92207A77217777A</vt:lpwstr>
  </property>
</Properties>
</file>