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ey\Desktop\Учеба\ТОЭ\"/>
    </mc:Choice>
  </mc:AlternateContent>
  <xr:revisionPtr revIDLastSave="0" documentId="13_ncr:1_{AA2F3430-814B-483C-86F8-390D1E05A38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C1">Лист2!$B$10</definedName>
    <definedName name="_C2">Лист2!$B$11</definedName>
    <definedName name="_R1">Лист2!$B$8</definedName>
    <definedName name="_R3">Лист2!$B$9</definedName>
    <definedName name="L">Лист2!$B$12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2" i="3"/>
  <c r="G11" i="3"/>
  <c r="N3" i="3"/>
  <c r="N4" i="3"/>
  <c r="N5" i="3"/>
  <c r="N6" i="3"/>
  <c r="N7" i="3"/>
  <c r="N8" i="3"/>
  <c r="N2" i="3"/>
  <c r="J2" i="3"/>
  <c r="I2" i="3"/>
  <c r="J3" i="3"/>
  <c r="J4" i="3"/>
  <c r="J5" i="3"/>
  <c r="J6" i="3"/>
  <c r="J7" i="3"/>
  <c r="J8" i="3"/>
  <c r="K3" i="3"/>
  <c r="K6" i="3"/>
  <c r="K7" i="3"/>
  <c r="K8" i="3"/>
  <c r="K2" i="3"/>
  <c r="I3" i="3" l="1"/>
  <c r="I4" i="3"/>
  <c r="I5" i="3"/>
  <c r="I6" i="3"/>
  <c r="I7" i="3"/>
  <c r="I8" i="3"/>
  <c r="K3" i="2"/>
  <c r="P7" i="2"/>
  <c r="P3" i="2"/>
  <c r="P4" i="2"/>
  <c r="P5" i="2"/>
  <c r="P6" i="2"/>
  <c r="P2" i="2"/>
  <c r="K5" i="2"/>
  <c r="L5" i="2"/>
  <c r="G9" i="2"/>
  <c r="H9" i="2"/>
  <c r="I12" i="2"/>
  <c r="G10" i="2"/>
  <c r="H10" i="2"/>
  <c r="I10" i="2"/>
  <c r="G11" i="2"/>
  <c r="H11" i="2"/>
  <c r="I11" i="2"/>
  <c r="G12" i="2"/>
  <c r="H12" i="2"/>
  <c r="G13" i="2"/>
  <c r="H13" i="2"/>
  <c r="I13" i="2"/>
  <c r="I9" i="2" l="1"/>
  <c r="D10" i="2" l="1"/>
  <c r="F7" i="2"/>
  <c r="G7" i="2" s="1"/>
  <c r="J7" i="2" s="1"/>
  <c r="K7" i="2"/>
  <c r="I4" i="2"/>
  <c r="I5" i="2"/>
  <c r="I6" i="2"/>
  <c r="I3" i="2"/>
  <c r="G6" i="2"/>
  <c r="H6" i="2" s="1"/>
  <c r="F6" i="2"/>
  <c r="F5" i="2"/>
  <c r="G5" i="2" s="1"/>
  <c r="H5" i="2" s="1"/>
  <c r="F4" i="2"/>
  <c r="G4" i="2" s="1"/>
  <c r="H4" i="2" s="1"/>
  <c r="F3" i="2"/>
  <c r="G3" i="2" s="1"/>
  <c r="H3" i="2" s="1"/>
  <c r="G2" i="2"/>
  <c r="H2" i="2" s="1"/>
  <c r="E10" i="2" s="1"/>
  <c r="D8" i="1"/>
  <c r="C8" i="1"/>
  <c r="F8" i="1"/>
  <c r="E8" i="1"/>
  <c r="N3" i="2" l="1"/>
  <c r="N6" i="2"/>
  <c r="N5" i="2"/>
  <c r="N4" i="2"/>
  <c r="M7" i="2"/>
  <c r="L7" i="2"/>
  <c r="J5" i="2"/>
  <c r="J4" i="2"/>
  <c r="J3" i="2"/>
  <c r="J6" i="2"/>
  <c r="L4" i="2" l="1"/>
  <c r="K4" i="2"/>
  <c r="L6" i="2"/>
  <c r="K6" i="2"/>
  <c r="L3" i="2"/>
</calcChain>
</file>

<file path=xl/sharedStrings.xml><?xml version="1.0" encoding="utf-8"?>
<sst xmlns="http://schemas.openxmlformats.org/spreadsheetml/2006/main" count="43" uniqueCount="38">
  <si>
    <t>I1</t>
  </si>
  <si>
    <t>I3</t>
  </si>
  <si>
    <t xml:space="preserve">U = 4 V; I = 0 mА </t>
  </si>
  <si>
    <t>I'k</t>
  </si>
  <si>
    <t>Ik</t>
  </si>
  <si>
    <t>I''k</t>
  </si>
  <si>
    <t>U0</t>
  </si>
  <si>
    <t>Uk</t>
  </si>
  <si>
    <t>Ur, В</t>
  </si>
  <si>
    <t>Uc, В</t>
  </si>
  <si>
    <t>alpha</t>
  </si>
  <si>
    <t>R</t>
  </si>
  <si>
    <t>R3</t>
  </si>
  <si>
    <t>L</t>
  </si>
  <si>
    <t>C1</t>
  </si>
  <si>
    <t>C2</t>
  </si>
  <si>
    <t>p1</t>
  </si>
  <si>
    <t>p2</t>
  </si>
  <si>
    <t>p3</t>
  </si>
  <si>
    <r>
      <t>ω</t>
    </r>
    <r>
      <rPr>
        <sz val="11"/>
        <color theme="1"/>
        <rFont val="Calibri"/>
        <family val="2"/>
      </rPr>
      <t>0</t>
    </r>
  </si>
  <si>
    <t>R1</t>
  </si>
  <si>
    <t>Подкоренное выражение</t>
  </si>
  <si>
    <t>τ</t>
  </si>
  <si>
    <t>τ теор</t>
  </si>
  <si>
    <t>Q</t>
  </si>
  <si>
    <t>ЫЫ</t>
  </si>
  <si>
    <t>∆t,  с</t>
  </si>
  <si>
    <t>№</t>
  </si>
  <si>
    <t>f, кГц</t>
  </si>
  <si>
    <t>UR, В</t>
  </si>
  <si>
    <t>UL, В</t>
  </si>
  <si>
    <t>R, Ом</t>
  </si>
  <si>
    <t>L, Гн</t>
  </si>
  <si>
    <t>C, мкФ</t>
  </si>
  <si>
    <t xml:space="preserve">    вд</t>
  </si>
  <si>
    <t>tпп</t>
  </si>
  <si>
    <t>U0, В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</si>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</sst>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0" fillId="0" borderId="2" xfId="0" applyFill="1" applyBorder="1"/>
    <xf numFmtId="11" fontId="0" fillId="0" borderId="2" xfId="0" applyNumberFormat="1" applyBorder="1"/>
    <xf numFmtId="11" fontId="0" fillId="0" borderId="1" xfId="0" applyNumberFormat="1" applyBorder="1"/>
    <xf numFmtId="0" fontId="0" fillId="0" borderId="0" xfId="0" applyAlignment="1"/>
    <xf numFmtId="0" fontId="0" fillId="0" borderId="0" xfId="1" applyNumberFormat="1" applyFon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T16" sqref="T16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</row>
    <row r="2" spans="1:6" x14ac:dyDescent="0.25">
      <c r="A2" t="s">
        <v>4</v>
      </c>
      <c r="B2">
        <v>0.48799999999999999</v>
      </c>
      <c r="C2">
        <v>0.60399999999999998</v>
      </c>
      <c r="D2">
        <v>1.093</v>
      </c>
      <c r="E2">
        <v>1.395</v>
      </c>
    </row>
    <row r="3" spans="1:6" x14ac:dyDescent="0.25">
      <c r="A3" t="s">
        <v>7</v>
      </c>
      <c r="B3">
        <v>0.73099999999999998</v>
      </c>
      <c r="C3">
        <v>-0.90600000000000003</v>
      </c>
      <c r="D3">
        <v>3.2690000000000001</v>
      </c>
      <c r="E3">
        <v>4.1749999999999998</v>
      </c>
    </row>
    <row r="5" spans="1:6" x14ac:dyDescent="0.25">
      <c r="C5">
        <v>1</v>
      </c>
      <c r="D5">
        <v>2</v>
      </c>
      <c r="E5">
        <v>3</v>
      </c>
      <c r="F5">
        <v>4</v>
      </c>
    </row>
    <row r="6" spans="1:6" x14ac:dyDescent="0.25">
      <c r="A6" t="s">
        <v>2</v>
      </c>
      <c r="B6" t="s">
        <v>3</v>
      </c>
      <c r="C6">
        <v>1.214</v>
      </c>
      <c r="D6">
        <v>0.48599999999999999</v>
      </c>
      <c r="E6">
        <v>0.72899999999999998</v>
      </c>
      <c r="F6">
        <v>0.48599999999999999</v>
      </c>
    </row>
    <row r="7" spans="1:6" x14ac:dyDescent="0.25">
      <c r="A7" t="s">
        <v>2</v>
      </c>
      <c r="B7" t="s">
        <v>5</v>
      </c>
      <c r="C7">
        <v>0.72599999999999998</v>
      </c>
      <c r="D7">
        <v>1.0900000000000001</v>
      </c>
      <c r="E7">
        <v>0.36399999999999999</v>
      </c>
      <c r="F7">
        <v>0.91</v>
      </c>
    </row>
    <row r="8" spans="1:6" x14ac:dyDescent="0.25">
      <c r="A8" t="s">
        <v>2</v>
      </c>
      <c r="B8" t="s">
        <v>4</v>
      </c>
      <c r="C8">
        <f>C6-C7</f>
        <v>0.48799999999999999</v>
      </c>
      <c r="D8">
        <f>D7-D6</f>
        <v>0.60400000000000009</v>
      </c>
      <c r="E8">
        <f>E6+E7</f>
        <v>1.093</v>
      </c>
      <c r="F8">
        <f>F6+F7</f>
        <v>1.3959999999999999</v>
      </c>
    </row>
    <row r="10" spans="1:6" x14ac:dyDescent="0.25">
      <c r="A10" t="s">
        <v>6</v>
      </c>
      <c r="B10">
        <v>4.4779999999999998</v>
      </c>
    </row>
    <row r="11" spans="1:6" x14ac:dyDescent="0.25">
      <c r="A11" t="s">
        <v>1</v>
      </c>
      <c r="B11">
        <v>-1.0629999999999999</v>
      </c>
    </row>
    <row r="12" spans="1:6" x14ac:dyDescent="0.25">
      <c r="A12" t="s">
        <v>1</v>
      </c>
      <c r="B12">
        <v>0.72899999999999998</v>
      </c>
    </row>
    <row r="13" spans="1:6" x14ac:dyDescent="0.25">
      <c r="A13" t="s">
        <v>0</v>
      </c>
      <c r="B13">
        <v>0.49199999999999999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opLeftCell="G1" workbookViewId="0">
      <selection activeCell="J16" sqref="J16"/>
    </sheetView>
  </sheetViews>
  <sheetFormatPr defaultRowHeight="15" x14ac:dyDescent="0.25"/>
  <cols>
    <col min="1" max="1" width="10" bestFit="1" customWidth="1"/>
    <col min="10" max="10" width="25" bestFit="1" customWidth="1"/>
    <col min="11" max="11" width="24.28515625" bestFit="1" customWidth="1"/>
    <col min="12" max="13" width="24" bestFit="1" customWidth="1"/>
  </cols>
  <sheetData>
    <row r="1" spans="1:16" x14ac:dyDescent="0.25">
      <c r="A1" s="7" t="s">
        <v>26</v>
      </c>
      <c r="B1" s="3" t="s">
        <v>9</v>
      </c>
      <c r="C1" s="4"/>
      <c r="D1" s="8" t="s">
        <v>8</v>
      </c>
      <c r="E1" s="4"/>
      <c r="F1" s="11" t="s">
        <v>11</v>
      </c>
      <c r="G1" s="11" t="s">
        <v>10</v>
      </c>
      <c r="H1" s="11" t="s">
        <v>22</v>
      </c>
      <c r="I1" s="13" t="s">
        <v>19</v>
      </c>
      <c r="J1" t="s">
        <v>21</v>
      </c>
      <c r="K1" t="s">
        <v>16</v>
      </c>
      <c r="L1" t="s">
        <v>17</v>
      </c>
      <c r="M1" t="s">
        <v>18</v>
      </c>
      <c r="N1" t="s">
        <v>24</v>
      </c>
      <c r="P1" t="s">
        <v>35</v>
      </c>
    </row>
    <row r="2" spans="1:16" x14ac:dyDescent="0.25">
      <c r="A2" s="15">
        <v>8.9015000000000001E-5</v>
      </c>
      <c r="B2" s="1">
        <v>18.405000000000001</v>
      </c>
      <c r="C2" s="5">
        <v>7.3129999999999997</v>
      </c>
      <c r="D2" s="9">
        <v>0</v>
      </c>
      <c r="E2" s="5">
        <v>0</v>
      </c>
      <c r="G2" s="12">
        <f>LN(B2/C2)/A2</f>
        <v>10368.688204708986</v>
      </c>
      <c r="H2">
        <f>1/G2</f>
        <v>9.6444215532090697E-5</v>
      </c>
      <c r="P2" s="12">
        <f>3/G2</f>
        <v>2.8933264659627208E-4</v>
      </c>
    </row>
    <row r="3" spans="1:16" x14ac:dyDescent="0.25">
      <c r="A3" s="15">
        <v>8.9015000000000001E-5</v>
      </c>
      <c r="B3" s="1">
        <v>14.292999999999999</v>
      </c>
      <c r="C3" s="5">
        <v>2.286</v>
      </c>
      <c r="D3" s="9">
        <v>16.529</v>
      </c>
      <c r="E3" s="5">
        <v>2.7650000000000001</v>
      </c>
      <c r="F3">
        <f>_R3</f>
        <v>3000</v>
      </c>
      <c r="G3" s="12">
        <f>F3/(2*L)</f>
        <v>60000</v>
      </c>
      <c r="H3">
        <f>3/G3</f>
        <v>5.0000000000000002E-5</v>
      </c>
      <c r="I3">
        <f>1/SQRT(_C1*L)</f>
        <v>44721.359549995796</v>
      </c>
      <c r="J3">
        <f>G3*G3-I3*I3</f>
        <v>1599999999.9999998</v>
      </c>
      <c r="K3" s="12">
        <f>IF(J3&lt;0,COMPLEX(-G3,SQRT(-J3),"i"),-G3+SQRT(J3))</f>
        <v>-20000</v>
      </c>
      <c r="L3" s="12">
        <f>IF(J3&lt;0,COMPLEX(-G3,-SQRT(-J3),"i"),-G3-SQRT(J3))</f>
        <v>-100000</v>
      </c>
      <c r="M3" s="12"/>
      <c r="N3">
        <f>0.5*I3/G3</f>
        <v>0.37267799624996495</v>
      </c>
      <c r="P3" s="12">
        <f t="shared" ref="P3:P6" si="0">3/G3</f>
        <v>5.0000000000000002E-5</v>
      </c>
    </row>
    <row r="4" spans="1:16" x14ac:dyDescent="0.25">
      <c r="A4" s="15">
        <v>1.5719700000000001E-4</v>
      </c>
      <c r="B4" s="1">
        <v>6.4569999999999999</v>
      </c>
      <c r="C4" s="5">
        <v>0.363122</v>
      </c>
      <c r="D4" s="9">
        <v>7.9020000000000001</v>
      </c>
      <c r="E4" s="5">
        <v>1.821</v>
      </c>
      <c r="F4">
        <f>_R3*17%</f>
        <v>510.00000000000006</v>
      </c>
      <c r="G4" s="12">
        <f>F4/(2*L)</f>
        <v>10200</v>
      </c>
      <c r="H4">
        <f t="shared" ref="H4:H6" si="1">3/G4</f>
        <v>2.941176470588235E-4</v>
      </c>
      <c r="I4">
        <f>1/SQRT(_C1*L)</f>
        <v>44721.359549995796</v>
      </c>
      <c r="J4">
        <f t="shared" ref="J4:J6" si="2">G4*G4-I4*I4</f>
        <v>-1895960000.0000002</v>
      </c>
      <c r="K4" s="12" t="str">
        <f t="shared" ref="K4:K6" si="3">IF(J4&lt;0,COMPLEX(-G4,SQRT(-J4),"i"),-G4+SQRT(J4))</f>
        <v>-10200+43542,6227965197i</v>
      </c>
      <c r="L4" s="12" t="str">
        <f t="shared" ref="L4:L6" si="4">IF(J4&lt;0,COMPLEX(-G4,-SQRT(-J4),"i"),-G4-SQRT(J4))</f>
        <v>-10200-43542,6227965197i</v>
      </c>
      <c r="M4" s="12"/>
      <c r="N4">
        <f t="shared" ref="N4:N6" si="5">0.5*I4/G4</f>
        <v>2.1922235073527352</v>
      </c>
      <c r="P4" s="12">
        <f t="shared" si="0"/>
        <v>2.941176470588235E-4</v>
      </c>
    </row>
    <row r="5" spans="1:16" x14ac:dyDescent="0.25">
      <c r="A5" s="15">
        <v>6.8182000000000006E-5</v>
      </c>
      <c r="B5" s="1">
        <v>18.937999999999999</v>
      </c>
      <c r="C5" s="5">
        <v>2.238</v>
      </c>
      <c r="D5" s="9">
        <v>18.29</v>
      </c>
      <c r="E5" s="5">
        <v>3.6789999999999998</v>
      </c>
      <c r="F5">
        <f>_R3*75%</f>
        <v>2250</v>
      </c>
      <c r="G5" s="12">
        <f>F5/(2*L)</f>
        <v>45000</v>
      </c>
      <c r="H5">
        <f t="shared" si="1"/>
        <v>6.666666666666667E-5</v>
      </c>
      <c r="I5">
        <f>1/SQRT(_C1*L)</f>
        <v>44721.359549995796</v>
      </c>
      <c r="J5">
        <f t="shared" si="2"/>
        <v>24999999.999999762</v>
      </c>
      <c r="K5" s="12">
        <f>IF(J5&lt;0,COMPLEX(-G5,SQRT(-J5),"i"),-G5+SQRT(J5))</f>
        <v>-40000.000000000022</v>
      </c>
      <c r="L5" s="12">
        <f>IF(J5&lt;0,COMPLEX(-G5,-SQRT(-J5),"i"),-G5-SQRT(J5))</f>
        <v>-49999.999999999978</v>
      </c>
      <c r="M5" s="12"/>
      <c r="N5">
        <f t="shared" si="5"/>
        <v>0.4969039949999533</v>
      </c>
      <c r="P5" s="12">
        <f t="shared" si="0"/>
        <v>6.666666666666667E-5</v>
      </c>
    </row>
    <row r="6" spans="1:16" x14ac:dyDescent="0.25">
      <c r="A6" s="15">
        <v>1.1363599999999999E-4</v>
      </c>
      <c r="B6" s="1">
        <v>-13.134</v>
      </c>
      <c r="C6" s="5">
        <v>6.07</v>
      </c>
      <c r="D6" s="11">
        <v>0</v>
      </c>
      <c r="E6" s="5">
        <v>0</v>
      </c>
      <c r="F6">
        <f>_R3*1%</f>
        <v>30</v>
      </c>
      <c r="G6" s="12">
        <f>F6/(2*L)</f>
        <v>600</v>
      </c>
      <c r="H6">
        <f t="shared" si="1"/>
        <v>5.0000000000000001E-3</v>
      </c>
      <c r="I6">
        <f>1/SQRT(_C1*L)</f>
        <v>44721.359549995796</v>
      </c>
      <c r="J6">
        <f t="shared" si="2"/>
        <v>-1999640000.0000002</v>
      </c>
      <c r="K6" s="12" t="str">
        <f t="shared" si="3"/>
        <v>-600+44717,3344464985i</v>
      </c>
      <c r="L6" s="12" t="str">
        <f t="shared" si="4"/>
        <v>-600-44717,3344464985i</v>
      </c>
      <c r="M6" s="12"/>
      <c r="N6">
        <f t="shared" si="5"/>
        <v>37.267799624996499</v>
      </c>
      <c r="P6" s="12">
        <f t="shared" si="0"/>
        <v>5.0000000000000001E-3</v>
      </c>
    </row>
    <row r="7" spans="1:16" x14ac:dyDescent="0.25">
      <c r="A7" s="16">
        <v>8.7120999999999995E-5</v>
      </c>
      <c r="B7" s="2">
        <v>10.234999999999999</v>
      </c>
      <c r="C7" s="6">
        <v>-0.74265000000000003</v>
      </c>
      <c r="D7" s="10">
        <v>10.59</v>
      </c>
      <c r="E7" s="6">
        <v>-1.488</v>
      </c>
      <c r="F7">
        <f>_R3*33%</f>
        <v>990</v>
      </c>
      <c r="G7" s="12">
        <f>0.5*(F7/L+1/(_R1*_C1))</f>
        <v>24800</v>
      </c>
      <c r="J7">
        <f>G7*G7-(2+F7/_R1)/(L*_C1)</f>
        <v>-3780960000</v>
      </c>
      <c r="K7" s="12">
        <f>-1/(_R1*_C1)</f>
        <v>-10000</v>
      </c>
      <c r="L7" s="12" t="str">
        <f>IF(J7&lt;0,COMPLEX(-G7,SQRT(-J7),"i"),-G7+SQRT(J7))</f>
        <v>-24800+61489,5113007088i</v>
      </c>
      <c r="M7" s="12" t="str">
        <f>IF(J7&lt;0,COMPLEX(-G7,-SQRT(-J7),"i"),-G7-SQRT(J7))</f>
        <v>-24800-61489,5113007088i</v>
      </c>
      <c r="P7" s="12">
        <f>3/G7</f>
        <v>1.2096774193548387E-4</v>
      </c>
    </row>
    <row r="8" spans="1:16" x14ac:dyDescent="0.25">
      <c r="A8" t="s">
        <v>20</v>
      </c>
      <c r="B8" s="14">
        <v>5000</v>
      </c>
      <c r="G8" s="12"/>
    </row>
    <row r="9" spans="1:16" x14ac:dyDescent="0.25">
      <c r="A9" t="s">
        <v>12</v>
      </c>
      <c r="B9">
        <v>3000</v>
      </c>
      <c r="D9" t="s">
        <v>23</v>
      </c>
      <c r="G9" s="12">
        <f>LN(C3/B3)/A3</f>
        <v>-20591.656929218214</v>
      </c>
      <c r="H9" s="12">
        <f>2*PI()/A3+C14</f>
        <v>70585.691256300473</v>
      </c>
      <c r="I9">
        <f>PI()/LN(B3/C3)</f>
        <v>1.7139390846237341</v>
      </c>
    </row>
    <row r="10" spans="1:16" x14ac:dyDescent="0.25">
      <c r="A10" t="s">
        <v>14</v>
      </c>
      <c r="B10" s="12">
        <v>2E-8</v>
      </c>
      <c r="D10">
        <f>_R1*_C1*100000</f>
        <v>10</v>
      </c>
      <c r="E10">
        <f>D10-H2</f>
        <v>9.9999035557844671</v>
      </c>
      <c r="G10" s="12">
        <f t="shared" ref="G10:G13" si="6">LN(C4/B4)/A4</f>
        <v>-18309.390297984814</v>
      </c>
      <c r="H10" s="12">
        <f t="shared" ref="H10:H13" si="7">2*PI()/A4+C15</f>
        <v>39970.13497191159</v>
      </c>
      <c r="I10">
        <f t="shared" ref="I10:I13" si="8">PI()/LN(B4/C4)</f>
        <v>1.0915200976493145</v>
      </c>
    </row>
    <row r="11" spans="1:16" x14ac:dyDescent="0.25">
      <c r="A11" t="s">
        <v>15</v>
      </c>
      <c r="B11" s="12">
        <v>2E-8</v>
      </c>
      <c r="G11" s="12">
        <f t="shared" si="6"/>
        <v>-31321.871984857804</v>
      </c>
      <c r="H11" s="12">
        <f t="shared" si="7"/>
        <v>92153.138763597221</v>
      </c>
      <c r="I11">
        <f t="shared" si="8"/>
        <v>1.471066908263778</v>
      </c>
    </row>
    <row r="12" spans="1:16" x14ac:dyDescent="0.25">
      <c r="A12" t="s">
        <v>13</v>
      </c>
      <c r="B12" s="12">
        <v>2.5000000000000001E-2</v>
      </c>
      <c r="G12" s="12" t="e">
        <f t="shared" si="6"/>
        <v>#NUM!</v>
      </c>
      <c r="H12" s="12">
        <f t="shared" si="7"/>
        <v>55292.207638244807</v>
      </c>
      <c r="I12" t="e">
        <f>PI()/LN(B6/C6)</f>
        <v>#NUM!</v>
      </c>
    </row>
    <row r="13" spans="1:16" x14ac:dyDescent="0.25">
      <c r="G13" s="12" t="e">
        <f t="shared" si="6"/>
        <v>#NUM!</v>
      </c>
      <c r="H13" s="12">
        <f t="shared" si="7"/>
        <v>72120.215644673342</v>
      </c>
      <c r="I13" t="e">
        <f t="shared" si="8"/>
        <v>#NUM!</v>
      </c>
    </row>
    <row r="20" spans="14:14" x14ac:dyDescent="0.25">
      <c r="N2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E55D-7FD9-49D7-AA26-C417FC0B824B}">
  <dimension ref="A1:N11"/>
  <sheetViews>
    <sheetView tabSelected="1" workbookViewId="0">
      <selection activeCell="M5" sqref="M5"/>
    </sheetView>
  </sheetViews>
  <sheetFormatPr defaultRowHeight="15" x14ac:dyDescent="0.25"/>
  <cols>
    <col min="11" max="11" width="12" bestFit="1" customWidth="1"/>
    <col min="13" max="14" width="12" bestFit="1" customWidth="1"/>
    <col min="15" max="15" width="5.7109375" bestFit="1" customWidth="1"/>
  </cols>
  <sheetData>
    <row r="1" spans="1:14" x14ac:dyDescent="0.25">
      <c r="A1" t="s">
        <v>27</v>
      </c>
      <c r="B1" t="s">
        <v>28</v>
      </c>
      <c r="C1" t="s">
        <v>36</v>
      </c>
      <c r="D1" t="s">
        <v>37</v>
      </c>
      <c r="E1" t="s">
        <v>29</v>
      </c>
      <c r="F1" t="s">
        <v>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4" x14ac:dyDescent="0.25">
      <c r="A2">
        <v>1</v>
      </c>
      <c r="B2">
        <v>7.5</v>
      </c>
      <c r="C2" s="17">
        <v>2</v>
      </c>
      <c r="D2" s="18">
        <v>3.84</v>
      </c>
      <c r="E2" s="17">
        <v>0.74</v>
      </c>
      <c r="F2" s="17">
        <v>1.86</v>
      </c>
      <c r="H2">
        <v>66.5</v>
      </c>
      <c r="I2">
        <f>E2/D2*1000</f>
        <v>192.70833333333334</v>
      </c>
      <c r="J2">
        <f>G2/(2*PI()*D2*B2)</f>
        <v>0</v>
      </c>
      <c r="K2">
        <f>D2/(2*PI()*F2*B2*1000000)</f>
        <v>4.3810392937123874E-8</v>
      </c>
      <c r="L2">
        <f>ATAN((G2-F2)/E2)*180/PI()</f>
        <v>-68.304890539203114</v>
      </c>
      <c r="N2">
        <f>SQRT(E2*E2+(F2-G2)*(F2-G2))</f>
        <v>2.0017991907281809</v>
      </c>
    </row>
    <row r="3" spans="1:14" x14ac:dyDescent="0.25">
      <c r="A3">
        <v>2</v>
      </c>
      <c r="B3">
        <v>15</v>
      </c>
      <c r="C3" s="17">
        <v>2</v>
      </c>
      <c r="D3" s="17">
        <v>6.6</v>
      </c>
      <c r="E3" s="17">
        <v>1.28</v>
      </c>
      <c r="F3" s="17">
        <v>1.44</v>
      </c>
      <c r="H3">
        <v>40</v>
      </c>
      <c r="I3">
        <f t="shared" ref="I3:I8" si="0">E3/D3*1000</f>
        <v>193.93939393939397</v>
      </c>
      <c r="J3">
        <f t="shared" ref="J3:J8" si="1">G3/(2*PI()*D3*B3)</f>
        <v>0</v>
      </c>
      <c r="K3">
        <f t="shared" ref="K3:K8" si="2">D3/(2*PI()*F3*B3*1000000)</f>
        <v>4.8630677055856913E-8</v>
      </c>
      <c r="L3">
        <f t="shared" ref="L3:L8" si="3">ATAN((G3-F3)/E3)*180/PI()</f>
        <v>-48.366460663429812</v>
      </c>
      <c r="N3">
        <f t="shared" ref="N3:N8" si="4">SQRT(E3*E3+(F3-G3)*(F3-G3))</f>
        <v>1.9266551326067671</v>
      </c>
    </row>
    <row r="4" spans="1:14" x14ac:dyDescent="0.25">
      <c r="A4">
        <v>3</v>
      </c>
      <c r="B4">
        <v>7.5</v>
      </c>
      <c r="C4" s="17">
        <v>2</v>
      </c>
      <c r="D4" s="17">
        <v>5.39</v>
      </c>
      <c r="E4" s="17">
        <v>1.04</v>
      </c>
      <c r="G4">
        <v>1.64</v>
      </c>
      <c r="H4">
        <v>44.1</v>
      </c>
      <c r="I4">
        <f t="shared" si="0"/>
        <v>192.94990723562154</v>
      </c>
      <c r="J4">
        <f t="shared" si="1"/>
        <v>6.4567497011925384E-3</v>
      </c>
      <c r="L4">
        <f t="shared" si="3"/>
        <v>57.61932229343077</v>
      </c>
      <c r="N4">
        <f t="shared" si="4"/>
        <v>1.9419577750301369</v>
      </c>
    </row>
    <row r="5" spans="1:14" x14ac:dyDescent="0.25">
      <c r="A5">
        <v>4</v>
      </c>
      <c r="B5">
        <v>3.75</v>
      </c>
      <c r="C5" s="17">
        <v>2</v>
      </c>
      <c r="D5" s="17">
        <v>6.84</v>
      </c>
      <c r="E5" s="17">
        <v>1.32</v>
      </c>
      <c r="G5">
        <v>1.23</v>
      </c>
      <c r="H5">
        <v>38.9</v>
      </c>
      <c r="I5">
        <f t="shared" si="0"/>
        <v>192.98245614035091</v>
      </c>
      <c r="J5">
        <f t="shared" si="1"/>
        <v>7.6319914231201278E-3</v>
      </c>
      <c r="L5">
        <f t="shared" si="3"/>
        <v>42.978635059643985</v>
      </c>
      <c r="N5">
        <f t="shared" si="4"/>
        <v>1.8042449944505874</v>
      </c>
    </row>
    <row r="6" spans="1:14" x14ac:dyDescent="0.25">
      <c r="A6">
        <v>5</v>
      </c>
      <c r="B6">
        <v>4.5</v>
      </c>
      <c r="C6" s="17">
        <v>2</v>
      </c>
      <c r="D6" s="17">
        <v>3.35</v>
      </c>
      <c r="E6" s="17">
        <v>0.64</v>
      </c>
      <c r="F6" s="17">
        <v>2.68</v>
      </c>
      <c r="G6">
        <v>0.59</v>
      </c>
      <c r="H6">
        <v>35</v>
      </c>
      <c r="I6">
        <f t="shared" si="0"/>
        <v>191.044776119403</v>
      </c>
      <c r="J6">
        <f t="shared" si="1"/>
        <v>6.2289496798818072E-3</v>
      </c>
      <c r="K6">
        <f t="shared" si="2"/>
        <v>4.4209706414415372E-8</v>
      </c>
      <c r="L6">
        <f t="shared" si="3"/>
        <v>-72.974359150612031</v>
      </c>
      <c r="N6">
        <f t="shared" si="4"/>
        <v>2.1857950498617207</v>
      </c>
    </row>
    <row r="7" spans="1:14" x14ac:dyDescent="0.25">
      <c r="A7">
        <v>6</v>
      </c>
      <c r="B7">
        <v>9</v>
      </c>
      <c r="C7" s="17">
        <v>2</v>
      </c>
      <c r="D7" s="17">
        <v>8.99</v>
      </c>
      <c r="E7" s="17">
        <v>1.74</v>
      </c>
      <c r="F7" s="17">
        <v>3.42</v>
      </c>
      <c r="G7">
        <v>3.34</v>
      </c>
      <c r="H7">
        <v>0</v>
      </c>
      <c r="I7">
        <f t="shared" si="0"/>
        <v>193.54838709677418</v>
      </c>
      <c r="J7">
        <f t="shared" si="1"/>
        <v>6.5699852913969894E-3</v>
      </c>
      <c r="K7">
        <f t="shared" si="2"/>
        <v>4.6484825808841426E-8</v>
      </c>
      <c r="L7">
        <f t="shared" si="3"/>
        <v>-2.6324348689864867</v>
      </c>
      <c r="N7">
        <f t="shared" si="4"/>
        <v>1.7418381095842403</v>
      </c>
    </row>
    <row r="8" spans="1:14" x14ac:dyDescent="0.25">
      <c r="A8">
        <v>7</v>
      </c>
      <c r="B8">
        <v>18</v>
      </c>
      <c r="C8" s="17">
        <v>2</v>
      </c>
      <c r="D8" s="17">
        <v>3.24</v>
      </c>
      <c r="E8" s="17">
        <v>0.62</v>
      </c>
      <c r="F8" s="17">
        <v>0.56000000000000005</v>
      </c>
      <c r="G8">
        <v>2.66</v>
      </c>
      <c r="H8">
        <v>63.5</v>
      </c>
      <c r="I8">
        <f t="shared" si="0"/>
        <v>191.35802469135803</v>
      </c>
      <c r="J8">
        <f t="shared" si="1"/>
        <v>7.2591246334780786E-3</v>
      </c>
      <c r="K8">
        <f t="shared" si="2"/>
        <v>5.1156945993823497E-8</v>
      </c>
      <c r="L8">
        <f t="shared" si="3"/>
        <v>73.551391872960181</v>
      </c>
      <c r="N8">
        <f t="shared" si="4"/>
        <v>2.1896118377465901</v>
      </c>
    </row>
    <row r="11" spans="1:14" x14ac:dyDescent="0.25">
      <c r="G11">
        <f>SQRT(4-E7*E7)-F7</f>
        <v>-2.4338965571503159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_C1</vt:lpstr>
      <vt:lpstr>_C2</vt:lpstr>
      <vt:lpstr>_R1</vt:lpstr>
      <vt:lpstr>_R3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Федоров</dc:creator>
  <cp:lastModifiedBy>Алексей Федоров</cp:lastModifiedBy>
  <dcterms:created xsi:type="dcterms:W3CDTF">2015-06-05T18:19:34Z</dcterms:created>
  <dcterms:modified xsi:type="dcterms:W3CDTF">2021-04-28T08:54:37Z</dcterms:modified>
</cp:coreProperties>
</file>