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dor_kv2an24\source\repos\Учеба\ТОЭ\"/>
    </mc:Choice>
  </mc:AlternateContent>
  <bookViews>
    <workbookView xWindow="-120" yWindow="-120" windowWidth="29040" windowHeight="15840" activeTab="3"/>
  </bookViews>
  <sheets>
    <sheet name="Лист1" sheetId="1" r:id="rId1"/>
    <sheet name="Лист2" sheetId="2" r:id="rId2"/>
    <sheet name="Лист3" sheetId="3" r:id="rId3"/>
    <sheet name="Лист4" sheetId="4" r:id="rId4"/>
  </sheets>
  <definedNames>
    <definedName name="_C1">Лист2!$B$10</definedName>
    <definedName name="_C2">Лист2!$B$11</definedName>
    <definedName name="_R1">Лист2!$B$8</definedName>
    <definedName name="_R3">Лист2!$B$9</definedName>
    <definedName name="L">Лист2!$B$12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4" l="1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36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20" i="4"/>
  <c r="C9" i="4"/>
  <c r="C10" i="4"/>
  <c r="C11" i="4"/>
  <c r="C12" i="4"/>
  <c r="C13" i="4"/>
  <c r="C14" i="4"/>
  <c r="C15" i="4"/>
  <c r="C16" i="4"/>
  <c r="C17" i="4"/>
  <c r="C18" i="4"/>
  <c r="C8" i="4"/>
  <c r="F4" i="4"/>
  <c r="G4" i="4" s="1"/>
  <c r="F3" i="4"/>
  <c r="G3" i="4" s="1"/>
  <c r="F2" i="4"/>
  <c r="G2" i="4" s="1"/>
  <c r="L3" i="4"/>
  <c r="L4" i="4"/>
  <c r="L2" i="4"/>
  <c r="E3" i="4"/>
  <c r="E4" i="4"/>
  <c r="E2" i="4"/>
  <c r="H4" i="4" l="1"/>
  <c r="I4" i="4"/>
  <c r="I3" i="4"/>
  <c r="H3" i="4"/>
  <c r="I2" i="4"/>
  <c r="H2" i="4"/>
  <c r="L3" i="3"/>
  <c r="L4" i="3"/>
  <c r="L5" i="3"/>
  <c r="L6" i="3"/>
  <c r="L7" i="3"/>
  <c r="L8" i="3"/>
  <c r="L2" i="3"/>
  <c r="G11" i="3"/>
  <c r="N3" i="3"/>
  <c r="N4" i="3"/>
  <c r="N5" i="3"/>
  <c r="N6" i="3"/>
  <c r="N7" i="3"/>
  <c r="N8" i="3"/>
  <c r="N2" i="3"/>
  <c r="J2" i="3"/>
  <c r="I2" i="3"/>
  <c r="J3" i="3"/>
  <c r="J4" i="3"/>
  <c r="J5" i="3"/>
  <c r="J6" i="3"/>
  <c r="J7" i="3"/>
  <c r="J8" i="3"/>
  <c r="K3" i="3"/>
  <c r="K6" i="3"/>
  <c r="K7" i="3"/>
  <c r="K8" i="3"/>
  <c r="K2" i="3"/>
  <c r="I3" i="3" l="1"/>
  <c r="I4" i="3"/>
  <c r="I5" i="3"/>
  <c r="I6" i="3"/>
  <c r="I7" i="3"/>
  <c r="I8" i="3"/>
  <c r="K3" i="2"/>
  <c r="P7" i="2"/>
  <c r="P3" i="2"/>
  <c r="P4" i="2"/>
  <c r="P5" i="2"/>
  <c r="P6" i="2"/>
  <c r="P2" i="2"/>
  <c r="K5" i="2"/>
  <c r="L5" i="2"/>
  <c r="G9" i="2"/>
  <c r="H9" i="2"/>
  <c r="I12" i="2"/>
  <c r="G10" i="2"/>
  <c r="H10" i="2"/>
  <c r="I10" i="2"/>
  <c r="G11" i="2"/>
  <c r="H11" i="2"/>
  <c r="I11" i="2"/>
  <c r="G12" i="2"/>
  <c r="H12" i="2"/>
  <c r="G13" i="2"/>
  <c r="H13" i="2"/>
  <c r="I13" i="2"/>
  <c r="I9" i="2" l="1"/>
  <c r="D10" i="2" l="1"/>
  <c r="F7" i="2"/>
  <c r="G7" i="2" s="1"/>
  <c r="J7" i="2" s="1"/>
  <c r="K7" i="2"/>
  <c r="I4" i="2"/>
  <c r="I5" i="2"/>
  <c r="I6" i="2"/>
  <c r="I3" i="2"/>
  <c r="G6" i="2"/>
  <c r="H6" i="2" s="1"/>
  <c r="F6" i="2"/>
  <c r="F5" i="2"/>
  <c r="G5" i="2" s="1"/>
  <c r="H5" i="2" s="1"/>
  <c r="F4" i="2"/>
  <c r="G4" i="2" s="1"/>
  <c r="H4" i="2" s="1"/>
  <c r="F3" i="2"/>
  <c r="G3" i="2" s="1"/>
  <c r="H3" i="2" s="1"/>
  <c r="G2" i="2"/>
  <c r="H2" i="2" s="1"/>
  <c r="E10" i="2" s="1"/>
  <c r="D8" i="1"/>
  <c r="C8" i="1"/>
  <c r="F8" i="1"/>
  <c r="E8" i="1"/>
  <c r="N3" i="2" l="1"/>
  <c r="N6" i="2"/>
  <c r="N5" i="2"/>
  <c r="N4" i="2"/>
  <c r="M7" i="2"/>
  <c r="L7" i="2"/>
  <c r="J5" i="2"/>
  <c r="J4" i="2"/>
  <c r="J3" i="2"/>
  <c r="J6" i="2"/>
  <c r="L4" i="2" l="1"/>
  <c r="K4" i="2"/>
  <c r="L6" i="2"/>
  <c r="K6" i="2"/>
  <c r="L3" i="2"/>
</calcChain>
</file>

<file path=xl/sharedStrings.xml><?xml version="1.0" encoding="utf-8"?>
<sst xmlns="http://schemas.openxmlformats.org/spreadsheetml/2006/main" count="55" uniqueCount="44">
  <si>
    <t>I1</t>
  </si>
  <si>
    <t>I3</t>
  </si>
  <si>
    <t xml:space="preserve">U = 4 V; I = 0 mА </t>
  </si>
  <si>
    <t>I'k</t>
  </si>
  <si>
    <t>Ik</t>
  </si>
  <si>
    <t>I''k</t>
  </si>
  <si>
    <t>U0</t>
  </si>
  <si>
    <t>Uk</t>
  </si>
  <si>
    <t>Ur, В</t>
  </si>
  <si>
    <t>Uc, В</t>
  </si>
  <si>
    <t>alpha</t>
  </si>
  <si>
    <t>R</t>
  </si>
  <si>
    <t>R3</t>
  </si>
  <si>
    <t>L</t>
  </si>
  <si>
    <t>C1</t>
  </si>
  <si>
    <t>C2</t>
  </si>
  <si>
    <t>p1</t>
  </si>
  <si>
    <t>p2</t>
  </si>
  <si>
    <t>p3</t>
  </si>
  <si>
    <r>
      <t>ω</t>
    </r>
    <r>
      <rPr>
        <sz val="11"/>
        <color theme="1"/>
        <rFont val="Calibri"/>
        <family val="2"/>
      </rPr>
      <t>0</t>
    </r>
  </si>
  <si>
    <t>R1</t>
  </si>
  <si>
    <t>Подкоренное выражение</t>
  </si>
  <si>
    <t>τ</t>
  </si>
  <si>
    <t>τ теор</t>
  </si>
  <si>
    <t>Q</t>
  </si>
  <si>
    <t>ЫЫ</t>
  </si>
  <si>
    <t>∆t,  с</t>
  </si>
  <si>
    <t>№</t>
  </si>
  <si>
    <t>f, кГц</t>
  </si>
  <si>
    <t>UR, В</t>
  </si>
  <si>
    <t>UL, В</t>
  </si>
  <si>
    <t>R, Ом</t>
  </si>
  <si>
    <t>L, Гн</t>
  </si>
  <si>
    <t>C, мкФ</t>
  </si>
  <si>
    <t xml:space="preserve">    вд</t>
  </si>
  <si>
    <t>tпп</t>
  </si>
  <si>
    <t>U0, В</t>
  </si>
  <si>
    <t>I, мА</t>
  </si>
  <si>
    <t>U, В</t>
  </si>
  <si>
    <t>I0, мА</t>
  </si>
  <si>
    <t>f0, кГц</t>
  </si>
  <si>
    <t>Uco, В</t>
  </si>
  <si>
    <t>p, Ом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</si>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</sst>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9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3" xfId="0" applyFon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0" xfId="0" applyFill="1" applyBorder="1"/>
    <xf numFmtId="11" fontId="0" fillId="0" borderId="0" xfId="0" applyNumberFormat="1"/>
    <xf numFmtId="0" fontId="2" fillId="0" borderId="0" xfId="0" applyFont="1"/>
    <xf numFmtId="0" fontId="0" fillId="0" borderId="2" xfId="0" applyFill="1" applyBorder="1"/>
    <xf numFmtId="11" fontId="0" fillId="0" borderId="2" xfId="0" applyNumberFormat="1" applyBorder="1"/>
    <xf numFmtId="11" fontId="0" fillId="0" borderId="1" xfId="0" applyNumberFormat="1" applyBorder="1"/>
    <xf numFmtId="0" fontId="0" fillId="0" borderId="0" xfId="0" applyAlignment="1"/>
    <xf numFmtId="0" fontId="0" fillId="0" borderId="0" xfId="1" applyNumberFormat="1" applyFont="1" applyAlignme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1304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B3C0BF8-B873-4C9B-B8A6-2968515D75A0}"/>
                </a:ext>
              </a:extLst>
            </xdr:cNvPr>
            <xdr:cNvSpPr txBox="1"/>
          </xdr:nvSpPr>
          <xdr:spPr>
            <a:xfrm>
              <a:off x="3657600" y="190500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B3C0BF8-B873-4C9B-B8A6-2968515D75A0}"/>
                </a:ext>
              </a:extLst>
            </xdr:cNvPr>
            <xdr:cNvSpPr txBox="1"/>
          </xdr:nvSpPr>
          <xdr:spPr>
            <a:xfrm>
              <a:off x="3657600" y="190500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0</xdr:row>
      <xdr:rowOff>0</xdr:rowOff>
    </xdr:from>
    <xdr:ext cx="1304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CE556FC-FCA7-4CC1-BEB1-A59A5270D6EF}"/>
                </a:ext>
              </a:extLst>
            </xdr:cNvPr>
            <xdr:cNvSpPr txBox="1"/>
          </xdr:nvSpPr>
          <xdr:spPr>
            <a:xfrm>
              <a:off x="6096000" y="190500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CE556FC-FCA7-4CC1-BEB1-A59A5270D6EF}"/>
                </a:ext>
              </a:extLst>
            </xdr:cNvPr>
            <xdr:cNvSpPr txBox="1"/>
          </xdr:nvSpPr>
          <xdr:spPr>
            <a:xfrm>
              <a:off x="6096000" y="190500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T16" sqref="T16"/>
    </sheetView>
  </sheetViews>
  <sheetFormatPr defaultRowHeight="15" x14ac:dyDescent="0.25"/>
  <cols>
    <col min="1" max="1" width="15.28515625" bestFit="1" customWidth="1"/>
  </cols>
  <sheetData>
    <row r="1" spans="1:6" x14ac:dyDescent="0.25">
      <c r="B1">
        <v>1</v>
      </c>
      <c r="C1">
        <v>2</v>
      </c>
      <c r="D1">
        <v>3</v>
      </c>
      <c r="E1">
        <v>4</v>
      </c>
    </row>
    <row r="2" spans="1:6" x14ac:dyDescent="0.25">
      <c r="A2" t="s">
        <v>4</v>
      </c>
      <c r="B2">
        <v>0.48799999999999999</v>
      </c>
      <c r="C2">
        <v>0.60399999999999998</v>
      </c>
      <c r="D2">
        <v>1.093</v>
      </c>
      <c r="E2">
        <v>1.395</v>
      </c>
    </row>
    <row r="3" spans="1:6" x14ac:dyDescent="0.25">
      <c r="A3" t="s">
        <v>7</v>
      </c>
      <c r="B3">
        <v>0.73099999999999998</v>
      </c>
      <c r="C3">
        <v>-0.90600000000000003</v>
      </c>
      <c r="D3">
        <v>3.2690000000000001</v>
      </c>
      <c r="E3">
        <v>4.1749999999999998</v>
      </c>
    </row>
    <row r="5" spans="1:6" x14ac:dyDescent="0.25">
      <c r="C5">
        <v>1</v>
      </c>
      <c r="D5">
        <v>2</v>
      </c>
      <c r="E5">
        <v>3</v>
      </c>
      <c r="F5">
        <v>4</v>
      </c>
    </row>
    <row r="6" spans="1:6" x14ac:dyDescent="0.25">
      <c r="A6" t="s">
        <v>2</v>
      </c>
      <c r="B6" t="s">
        <v>3</v>
      </c>
      <c r="C6">
        <v>1.214</v>
      </c>
      <c r="D6">
        <v>0.48599999999999999</v>
      </c>
      <c r="E6">
        <v>0.72899999999999998</v>
      </c>
      <c r="F6">
        <v>0.48599999999999999</v>
      </c>
    </row>
    <row r="7" spans="1:6" x14ac:dyDescent="0.25">
      <c r="A7" t="s">
        <v>2</v>
      </c>
      <c r="B7" t="s">
        <v>5</v>
      </c>
      <c r="C7">
        <v>0.72599999999999998</v>
      </c>
      <c r="D7">
        <v>1.0900000000000001</v>
      </c>
      <c r="E7">
        <v>0.36399999999999999</v>
      </c>
      <c r="F7">
        <v>0.91</v>
      </c>
    </row>
    <row r="8" spans="1:6" x14ac:dyDescent="0.25">
      <c r="A8" t="s">
        <v>2</v>
      </c>
      <c r="B8" t="s">
        <v>4</v>
      </c>
      <c r="C8">
        <f>C6-C7</f>
        <v>0.48799999999999999</v>
      </c>
      <c r="D8">
        <f>D7-D6</f>
        <v>0.60400000000000009</v>
      </c>
      <c r="E8">
        <f>E6+E7</f>
        <v>1.093</v>
      </c>
      <c r="F8">
        <f>F6+F7</f>
        <v>1.3959999999999999</v>
      </c>
    </row>
    <row r="10" spans="1:6" x14ac:dyDescent="0.25">
      <c r="A10" t="s">
        <v>6</v>
      </c>
      <c r="B10">
        <v>4.4779999999999998</v>
      </c>
    </row>
    <row r="11" spans="1:6" x14ac:dyDescent="0.25">
      <c r="A11" t="s">
        <v>1</v>
      </c>
      <c r="B11">
        <v>-1.0629999999999999</v>
      </c>
    </row>
    <row r="12" spans="1:6" x14ac:dyDescent="0.25">
      <c r="A12" t="s">
        <v>1</v>
      </c>
      <c r="B12">
        <v>0.72899999999999998</v>
      </c>
    </row>
    <row r="13" spans="1:6" x14ac:dyDescent="0.25">
      <c r="A13" t="s">
        <v>0</v>
      </c>
      <c r="B13">
        <v>0.49199999999999999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opLeftCell="G1" workbookViewId="0">
      <selection activeCell="J16" sqref="J16"/>
    </sheetView>
  </sheetViews>
  <sheetFormatPr defaultRowHeight="15" x14ac:dyDescent="0.25"/>
  <cols>
    <col min="1" max="1" width="10" bestFit="1" customWidth="1"/>
    <col min="10" max="10" width="25" bestFit="1" customWidth="1"/>
    <col min="11" max="11" width="24.28515625" bestFit="1" customWidth="1"/>
    <col min="12" max="13" width="24" bestFit="1" customWidth="1"/>
  </cols>
  <sheetData>
    <row r="1" spans="1:16" x14ac:dyDescent="0.25">
      <c r="A1" s="7" t="s">
        <v>26</v>
      </c>
      <c r="B1" s="3" t="s">
        <v>9</v>
      </c>
      <c r="C1" s="4"/>
      <c r="D1" s="8" t="s">
        <v>8</v>
      </c>
      <c r="E1" s="4"/>
      <c r="F1" s="11" t="s">
        <v>11</v>
      </c>
      <c r="G1" s="11" t="s">
        <v>10</v>
      </c>
      <c r="H1" s="11" t="s">
        <v>22</v>
      </c>
      <c r="I1" s="13" t="s">
        <v>19</v>
      </c>
      <c r="J1" t="s">
        <v>21</v>
      </c>
      <c r="K1" t="s">
        <v>16</v>
      </c>
      <c r="L1" t="s">
        <v>17</v>
      </c>
      <c r="M1" t="s">
        <v>18</v>
      </c>
      <c r="N1" t="s">
        <v>24</v>
      </c>
      <c r="P1" t="s">
        <v>35</v>
      </c>
    </row>
    <row r="2" spans="1:16" x14ac:dyDescent="0.25">
      <c r="A2" s="15">
        <v>8.9015000000000001E-5</v>
      </c>
      <c r="B2" s="1">
        <v>18.405000000000001</v>
      </c>
      <c r="C2" s="5">
        <v>7.3129999999999997</v>
      </c>
      <c r="D2" s="9">
        <v>0</v>
      </c>
      <c r="E2" s="5">
        <v>0</v>
      </c>
      <c r="G2" s="12">
        <f>LN(B2/C2)/A2</f>
        <v>10368.688204708986</v>
      </c>
      <c r="H2">
        <f>1/G2</f>
        <v>9.6444215532090697E-5</v>
      </c>
      <c r="P2" s="12">
        <f>3/G2</f>
        <v>2.8933264659627208E-4</v>
      </c>
    </row>
    <row r="3" spans="1:16" x14ac:dyDescent="0.25">
      <c r="A3" s="15">
        <v>8.9015000000000001E-5</v>
      </c>
      <c r="B3" s="1">
        <v>14.292999999999999</v>
      </c>
      <c r="C3" s="5">
        <v>2.286</v>
      </c>
      <c r="D3" s="9">
        <v>16.529</v>
      </c>
      <c r="E3" s="5">
        <v>2.7650000000000001</v>
      </c>
      <c r="F3">
        <f>_R3</f>
        <v>3000</v>
      </c>
      <c r="G3" s="12">
        <f>F3/(2*L)</f>
        <v>60000</v>
      </c>
      <c r="H3">
        <f>3/G3</f>
        <v>5.0000000000000002E-5</v>
      </c>
      <c r="I3">
        <f>1/SQRT(_C1*L)</f>
        <v>44721.359549995796</v>
      </c>
      <c r="J3">
        <f>G3*G3-I3*I3</f>
        <v>1599999999.9999998</v>
      </c>
      <c r="K3" s="12">
        <f>IF(J3&lt;0,COMPLEX(-G3,SQRT(-J3),"i"),-G3+SQRT(J3))</f>
        <v>-20000</v>
      </c>
      <c r="L3" s="12">
        <f>IF(J3&lt;0,COMPLEX(-G3,-SQRT(-J3),"i"),-G3-SQRT(J3))</f>
        <v>-100000</v>
      </c>
      <c r="M3" s="12"/>
      <c r="N3">
        <f>0.5*I3/G3</f>
        <v>0.37267799624996495</v>
      </c>
      <c r="P3" s="12">
        <f t="shared" ref="P3:P6" si="0">3/G3</f>
        <v>5.0000000000000002E-5</v>
      </c>
    </row>
    <row r="4" spans="1:16" x14ac:dyDescent="0.25">
      <c r="A4" s="15">
        <v>1.5719700000000001E-4</v>
      </c>
      <c r="B4" s="1">
        <v>6.4569999999999999</v>
      </c>
      <c r="C4" s="5">
        <v>0.363122</v>
      </c>
      <c r="D4" s="9">
        <v>7.9020000000000001</v>
      </c>
      <c r="E4" s="5">
        <v>1.821</v>
      </c>
      <c r="F4">
        <f>_R3*17%</f>
        <v>510.00000000000006</v>
      </c>
      <c r="G4" s="12">
        <f>F4/(2*L)</f>
        <v>10200</v>
      </c>
      <c r="H4">
        <f t="shared" ref="H4:H6" si="1">3/G4</f>
        <v>2.941176470588235E-4</v>
      </c>
      <c r="I4">
        <f>1/SQRT(_C1*L)</f>
        <v>44721.359549995796</v>
      </c>
      <c r="J4">
        <f t="shared" ref="J4:J6" si="2">G4*G4-I4*I4</f>
        <v>-1895960000.0000002</v>
      </c>
      <c r="K4" s="12" t="str">
        <f t="shared" ref="K4:K6" si="3">IF(J4&lt;0,COMPLEX(-G4,SQRT(-J4),"i"),-G4+SQRT(J4))</f>
        <v>-10200+43542,6227965197i</v>
      </c>
      <c r="L4" s="12" t="str">
        <f t="shared" ref="L4:L6" si="4">IF(J4&lt;0,COMPLEX(-G4,-SQRT(-J4),"i"),-G4-SQRT(J4))</f>
        <v>-10200-43542,6227965197i</v>
      </c>
      <c r="M4" s="12"/>
      <c r="N4">
        <f t="shared" ref="N4:N6" si="5">0.5*I4/G4</f>
        <v>2.1922235073527352</v>
      </c>
      <c r="P4" s="12">
        <f t="shared" si="0"/>
        <v>2.941176470588235E-4</v>
      </c>
    </row>
    <row r="5" spans="1:16" x14ac:dyDescent="0.25">
      <c r="A5" s="15">
        <v>6.8182000000000006E-5</v>
      </c>
      <c r="B5" s="1">
        <v>18.937999999999999</v>
      </c>
      <c r="C5" s="5">
        <v>2.238</v>
      </c>
      <c r="D5" s="9">
        <v>18.29</v>
      </c>
      <c r="E5" s="5">
        <v>3.6789999999999998</v>
      </c>
      <c r="F5">
        <f>_R3*75%</f>
        <v>2250</v>
      </c>
      <c r="G5" s="12">
        <f>F5/(2*L)</f>
        <v>45000</v>
      </c>
      <c r="H5">
        <f t="shared" si="1"/>
        <v>6.666666666666667E-5</v>
      </c>
      <c r="I5">
        <f>1/SQRT(_C1*L)</f>
        <v>44721.359549995796</v>
      </c>
      <c r="J5">
        <f t="shared" si="2"/>
        <v>24999999.999999762</v>
      </c>
      <c r="K5" s="12">
        <f>IF(J5&lt;0,COMPLEX(-G5,SQRT(-J5),"i"),-G5+SQRT(J5))</f>
        <v>-40000.000000000022</v>
      </c>
      <c r="L5" s="12">
        <f>IF(J5&lt;0,COMPLEX(-G5,-SQRT(-J5),"i"),-G5-SQRT(J5))</f>
        <v>-49999.999999999978</v>
      </c>
      <c r="M5" s="12"/>
      <c r="N5">
        <f t="shared" si="5"/>
        <v>0.4969039949999533</v>
      </c>
      <c r="P5" s="12">
        <f t="shared" si="0"/>
        <v>6.666666666666667E-5</v>
      </c>
    </row>
    <row r="6" spans="1:16" x14ac:dyDescent="0.25">
      <c r="A6" s="15">
        <v>1.1363599999999999E-4</v>
      </c>
      <c r="B6" s="1">
        <v>-13.134</v>
      </c>
      <c r="C6" s="5">
        <v>6.07</v>
      </c>
      <c r="D6" s="11">
        <v>0</v>
      </c>
      <c r="E6" s="5">
        <v>0</v>
      </c>
      <c r="F6">
        <f>_R3*1%</f>
        <v>30</v>
      </c>
      <c r="G6" s="12">
        <f>F6/(2*L)</f>
        <v>600</v>
      </c>
      <c r="H6">
        <f t="shared" si="1"/>
        <v>5.0000000000000001E-3</v>
      </c>
      <c r="I6">
        <f>1/SQRT(_C1*L)</f>
        <v>44721.359549995796</v>
      </c>
      <c r="J6">
        <f t="shared" si="2"/>
        <v>-1999640000.0000002</v>
      </c>
      <c r="K6" s="12" t="str">
        <f t="shared" si="3"/>
        <v>-600+44717,3344464985i</v>
      </c>
      <c r="L6" s="12" t="str">
        <f t="shared" si="4"/>
        <v>-600-44717,3344464985i</v>
      </c>
      <c r="M6" s="12"/>
      <c r="N6">
        <f t="shared" si="5"/>
        <v>37.267799624996499</v>
      </c>
      <c r="P6" s="12">
        <f t="shared" si="0"/>
        <v>5.0000000000000001E-3</v>
      </c>
    </row>
    <row r="7" spans="1:16" x14ac:dyDescent="0.25">
      <c r="A7" s="16">
        <v>8.7120999999999995E-5</v>
      </c>
      <c r="B7" s="2">
        <v>10.234999999999999</v>
      </c>
      <c r="C7" s="6">
        <v>-0.74265000000000003</v>
      </c>
      <c r="D7" s="10">
        <v>10.59</v>
      </c>
      <c r="E7" s="6">
        <v>-1.488</v>
      </c>
      <c r="F7">
        <f>_R3*33%</f>
        <v>990</v>
      </c>
      <c r="G7" s="12">
        <f>0.5*(F7/L+1/(_R1*_C1))</f>
        <v>24800</v>
      </c>
      <c r="J7">
        <f>G7*G7-(2+F7/_R1)/(L*_C1)</f>
        <v>-3780960000</v>
      </c>
      <c r="K7" s="12">
        <f>-1/(_R1*_C1)</f>
        <v>-10000</v>
      </c>
      <c r="L7" s="12" t="str">
        <f>IF(J7&lt;0,COMPLEX(-G7,SQRT(-J7),"i"),-G7+SQRT(J7))</f>
        <v>-24800+61489,5113007088i</v>
      </c>
      <c r="M7" s="12" t="str">
        <f>IF(J7&lt;0,COMPLEX(-G7,-SQRT(-J7),"i"),-G7-SQRT(J7))</f>
        <v>-24800-61489,5113007088i</v>
      </c>
      <c r="P7" s="12">
        <f>3/G7</f>
        <v>1.2096774193548387E-4</v>
      </c>
    </row>
    <row r="8" spans="1:16" x14ac:dyDescent="0.25">
      <c r="A8" t="s">
        <v>20</v>
      </c>
      <c r="B8" s="14">
        <v>5000</v>
      </c>
      <c r="G8" s="12"/>
    </row>
    <row r="9" spans="1:16" x14ac:dyDescent="0.25">
      <c r="A9" t="s">
        <v>12</v>
      </c>
      <c r="B9">
        <v>3000</v>
      </c>
      <c r="D9" t="s">
        <v>23</v>
      </c>
      <c r="G9" s="12">
        <f>LN(C3/B3)/A3</f>
        <v>-20591.656929218214</v>
      </c>
      <c r="H9" s="12">
        <f>2*PI()/A3+C14</f>
        <v>70585.691256300473</v>
      </c>
      <c r="I9">
        <f>PI()/LN(B3/C3)</f>
        <v>1.7139390846237341</v>
      </c>
    </row>
    <row r="10" spans="1:16" x14ac:dyDescent="0.25">
      <c r="A10" t="s">
        <v>14</v>
      </c>
      <c r="B10" s="12">
        <v>2E-8</v>
      </c>
      <c r="D10">
        <f>_R1*_C1*100000</f>
        <v>10</v>
      </c>
      <c r="E10">
        <f>D10-H2</f>
        <v>9.9999035557844671</v>
      </c>
      <c r="G10" s="12">
        <f t="shared" ref="G10:G13" si="6">LN(C4/B4)/A4</f>
        <v>-18309.390297984814</v>
      </c>
      <c r="H10" s="12">
        <f t="shared" ref="H10:H13" si="7">2*PI()/A4+C15</f>
        <v>39970.13497191159</v>
      </c>
      <c r="I10">
        <f t="shared" ref="I10:I13" si="8">PI()/LN(B4/C4)</f>
        <v>1.0915200976493145</v>
      </c>
    </row>
    <row r="11" spans="1:16" x14ac:dyDescent="0.25">
      <c r="A11" t="s">
        <v>15</v>
      </c>
      <c r="B11" s="12">
        <v>2E-8</v>
      </c>
      <c r="G11" s="12">
        <f t="shared" si="6"/>
        <v>-31321.871984857804</v>
      </c>
      <c r="H11" s="12">
        <f t="shared" si="7"/>
        <v>92153.138763597221</v>
      </c>
      <c r="I11">
        <f t="shared" si="8"/>
        <v>1.471066908263778</v>
      </c>
    </row>
    <row r="12" spans="1:16" x14ac:dyDescent="0.25">
      <c r="A12" t="s">
        <v>13</v>
      </c>
      <c r="B12" s="12">
        <v>2.5000000000000001E-2</v>
      </c>
      <c r="G12" s="12" t="e">
        <f t="shared" si="6"/>
        <v>#NUM!</v>
      </c>
      <c r="H12" s="12">
        <f t="shared" si="7"/>
        <v>55292.207638244807</v>
      </c>
      <c r="I12" t="e">
        <f>PI()/LN(B6/C6)</f>
        <v>#NUM!</v>
      </c>
    </row>
    <row r="13" spans="1:16" x14ac:dyDescent="0.25">
      <c r="G13" s="12" t="e">
        <f t="shared" si="6"/>
        <v>#NUM!</v>
      </c>
      <c r="H13" s="12">
        <f t="shared" si="7"/>
        <v>72120.215644673342</v>
      </c>
      <c r="I13" t="e">
        <f t="shared" si="8"/>
        <v>#NUM!</v>
      </c>
    </row>
    <row r="20" spans="14:14" x14ac:dyDescent="0.25">
      <c r="N20" t="s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M5" sqref="M5"/>
    </sheetView>
  </sheetViews>
  <sheetFormatPr defaultRowHeight="15" x14ac:dyDescent="0.25"/>
  <cols>
    <col min="11" max="11" width="12" bestFit="1" customWidth="1"/>
    <col min="13" max="14" width="12" bestFit="1" customWidth="1"/>
    <col min="15" max="15" width="5.7109375" bestFit="1" customWidth="1"/>
  </cols>
  <sheetData>
    <row r="1" spans="1:14" x14ac:dyDescent="0.25">
      <c r="A1" t="s">
        <v>27</v>
      </c>
      <c r="B1" t="s">
        <v>28</v>
      </c>
      <c r="C1" t="s">
        <v>36</v>
      </c>
      <c r="D1" t="s">
        <v>37</v>
      </c>
      <c r="E1" t="s">
        <v>29</v>
      </c>
      <c r="F1" t="s">
        <v>9</v>
      </c>
      <c r="G1" t="s">
        <v>30</v>
      </c>
      <c r="I1" t="s">
        <v>31</v>
      </c>
      <c r="J1" t="s">
        <v>32</v>
      </c>
      <c r="K1" t="s">
        <v>33</v>
      </c>
      <c r="L1" t="s">
        <v>34</v>
      </c>
    </row>
    <row r="2" spans="1:14" x14ac:dyDescent="0.25">
      <c r="A2">
        <v>1</v>
      </c>
      <c r="B2">
        <v>7.5</v>
      </c>
      <c r="C2" s="17">
        <v>2</v>
      </c>
      <c r="D2" s="18">
        <v>3.84</v>
      </c>
      <c r="E2" s="17">
        <v>0.74</v>
      </c>
      <c r="F2" s="17">
        <v>1.86</v>
      </c>
      <c r="H2">
        <v>66.5</v>
      </c>
      <c r="I2">
        <f>E2/D2*1000</f>
        <v>192.70833333333334</v>
      </c>
      <c r="J2">
        <f>G2/(2*PI()*D2*B2)</f>
        <v>0</v>
      </c>
      <c r="K2">
        <f>D2/(2*PI()*F2*B2*1000000)</f>
        <v>4.3810392937123874E-8</v>
      </c>
      <c r="L2">
        <f>ATAN((G2-F2)/E2)*180/PI()</f>
        <v>-68.304890539203114</v>
      </c>
      <c r="N2">
        <f>SQRT(E2*E2+(F2-G2)*(F2-G2))</f>
        <v>2.0017991907281809</v>
      </c>
    </row>
    <row r="3" spans="1:14" x14ac:dyDescent="0.25">
      <c r="A3">
        <v>2</v>
      </c>
      <c r="B3">
        <v>15</v>
      </c>
      <c r="C3" s="17">
        <v>2</v>
      </c>
      <c r="D3" s="17">
        <v>6.6</v>
      </c>
      <c r="E3" s="17">
        <v>1.28</v>
      </c>
      <c r="F3" s="17">
        <v>1.44</v>
      </c>
      <c r="H3">
        <v>40</v>
      </c>
      <c r="I3">
        <f t="shared" ref="I3:I8" si="0">E3/D3*1000</f>
        <v>193.93939393939397</v>
      </c>
      <c r="J3">
        <f t="shared" ref="J3:J8" si="1">G3/(2*PI()*D3*B3)</f>
        <v>0</v>
      </c>
      <c r="K3">
        <f t="shared" ref="K3:K8" si="2">D3/(2*PI()*F3*B3*1000000)</f>
        <v>4.8630677055856913E-8</v>
      </c>
      <c r="L3">
        <f t="shared" ref="L3:L8" si="3">ATAN((G3-F3)/E3)*180/PI()</f>
        <v>-48.366460663429812</v>
      </c>
      <c r="N3">
        <f t="shared" ref="N3:N8" si="4">SQRT(E3*E3+(F3-G3)*(F3-G3))</f>
        <v>1.9266551326067671</v>
      </c>
    </row>
    <row r="4" spans="1:14" x14ac:dyDescent="0.25">
      <c r="A4">
        <v>3</v>
      </c>
      <c r="B4">
        <v>7.5</v>
      </c>
      <c r="C4" s="17">
        <v>2</v>
      </c>
      <c r="D4" s="17">
        <v>5.39</v>
      </c>
      <c r="E4" s="17">
        <v>1.04</v>
      </c>
      <c r="G4">
        <v>1.64</v>
      </c>
      <c r="H4">
        <v>44.1</v>
      </c>
      <c r="I4">
        <f t="shared" si="0"/>
        <v>192.94990723562154</v>
      </c>
      <c r="J4">
        <f t="shared" si="1"/>
        <v>6.4567497011925384E-3</v>
      </c>
      <c r="L4">
        <f t="shared" si="3"/>
        <v>57.61932229343077</v>
      </c>
      <c r="N4">
        <f t="shared" si="4"/>
        <v>1.9419577750301369</v>
      </c>
    </row>
    <row r="5" spans="1:14" x14ac:dyDescent="0.25">
      <c r="A5">
        <v>4</v>
      </c>
      <c r="B5">
        <v>3.75</v>
      </c>
      <c r="C5" s="17">
        <v>2</v>
      </c>
      <c r="D5" s="17">
        <v>6.84</v>
      </c>
      <c r="E5" s="17">
        <v>1.32</v>
      </c>
      <c r="G5">
        <v>1.23</v>
      </c>
      <c r="H5">
        <v>38.9</v>
      </c>
      <c r="I5">
        <f t="shared" si="0"/>
        <v>192.98245614035091</v>
      </c>
      <c r="J5">
        <f t="shared" si="1"/>
        <v>7.6319914231201278E-3</v>
      </c>
      <c r="L5">
        <f t="shared" si="3"/>
        <v>42.978635059643985</v>
      </c>
      <c r="N5">
        <f t="shared" si="4"/>
        <v>1.8042449944505874</v>
      </c>
    </row>
    <row r="6" spans="1:14" x14ac:dyDescent="0.25">
      <c r="A6">
        <v>5</v>
      </c>
      <c r="B6">
        <v>4.5</v>
      </c>
      <c r="C6" s="17">
        <v>2</v>
      </c>
      <c r="D6" s="17">
        <v>3.35</v>
      </c>
      <c r="E6" s="17">
        <v>0.64</v>
      </c>
      <c r="F6" s="17">
        <v>2.68</v>
      </c>
      <c r="G6">
        <v>0.59</v>
      </c>
      <c r="H6">
        <v>35</v>
      </c>
      <c r="I6">
        <f t="shared" si="0"/>
        <v>191.044776119403</v>
      </c>
      <c r="J6">
        <f t="shared" si="1"/>
        <v>6.2289496798818072E-3</v>
      </c>
      <c r="K6">
        <f t="shared" si="2"/>
        <v>4.4209706414415372E-8</v>
      </c>
      <c r="L6">
        <f t="shared" si="3"/>
        <v>-72.974359150612031</v>
      </c>
      <c r="N6">
        <f t="shared" si="4"/>
        <v>2.1857950498617207</v>
      </c>
    </row>
    <row r="7" spans="1:14" x14ac:dyDescent="0.25">
      <c r="A7">
        <v>6</v>
      </c>
      <c r="B7">
        <v>9</v>
      </c>
      <c r="C7" s="17">
        <v>2</v>
      </c>
      <c r="D7" s="17">
        <v>8.99</v>
      </c>
      <c r="E7" s="17">
        <v>1.74</v>
      </c>
      <c r="F7" s="17">
        <v>3.42</v>
      </c>
      <c r="G7">
        <v>3.34</v>
      </c>
      <c r="H7">
        <v>0</v>
      </c>
      <c r="I7">
        <f t="shared" si="0"/>
        <v>193.54838709677418</v>
      </c>
      <c r="J7">
        <f t="shared" si="1"/>
        <v>6.5699852913969894E-3</v>
      </c>
      <c r="K7">
        <f t="shared" si="2"/>
        <v>4.6484825808841426E-8</v>
      </c>
      <c r="L7">
        <f t="shared" si="3"/>
        <v>-2.6324348689864867</v>
      </c>
      <c r="N7">
        <f t="shared" si="4"/>
        <v>1.7418381095842403</v>
      </c>
    </row>
    <row r="8" spans="1:14" x14ac:dyDescent="0.25">
      <c r="A8">
        <v>7</v>
      </c>
      <c r="B8">
        <v>18</v>
      </c>
      <c r="C8" s="17">
        <v>2</v>
      </c>
      <c r="D8" s="17">
        <v>3.24</v>
      </c>
      <c r="E8" s="17">
        <v>0.62</v>
      </c>
      <c r="F8" s="17">
        <v>0.56000000000000005</v>
      </c>
      <c r="G8">
        <v>2.66</v>
      </c>
      <c r="H8">
        <v>63.5</v>
      </c>
      <c r="I8">
        <f t="shared" si="0"/>
        <v>191.35802469135803</v>
      </c>
      <c r="J8">
        <f t="shared" si="1"/>
        <v>7.2591246334780786E-3</v>
      </c>
      <c r="K8">
        <f t="shared" si="2"/>
        <v>5.1156945993823497E-8</v>
      </c>
      <c r="L8">
        <f t="shared" si="3"/>
        <v>73.551391872960181</v>
      </c>
      <c r="N8">
        <f t="shared" si="4"/>
        <v>2.1896118377465901</v>
      </c>
    </row>
    <row r="11" spans="1:14" x14ac:dyDescent="0.25">
      <c r="G11">
        <f>SQRT(4-E7*E7)-F7</f>
        <v>-2.4338965571503159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workbookViewId="0">
      <selection activeCell="J6" sqref="J6"/>
    </sheetView>
  </sheetViews>
  <sheetFormatPr defaultRowHeight="15" x14ac:dyDescent="0.25"/>
  <cols>
    <col min="1" max="1" width="5.7109375" bestFit="1" customWidth="1"/>
    <col min="2" max="2" width="6.28515625" bestFit="1" customWidth="1"/>
    <col min="3" max="4" width="7" bestFit="1" customWidth="1"/>
  </cols>
  <sheetData>
    <row r="1" spans="1:12" x14ac:dyDescent="0.25">
      <c r="A1" t="s">
        <v>38</v>
      </c>
      <c r="B1" t="s">
        <v>39</v>
      </c>
      <c r="C1" t="s">
        <v>40</v>
      </c>
      <c r="D1" t="s">
        <v>41</v>
      </c>
      <c r="E1" t="s">
        <v>31</v>
      </c>
      <c r="F1" t="s">
        <v>24</v>
      </c>
      <c r="G1" t="s">
        <v>42</v>
      </c>
      <c r="H1" t="s">
        <v>32</v>
      </c>
      <c r="I1" t="s">
        <v>33</v>
      </c>
    </row>
    <row r="2" spans="1:12" x14ac:dyDescent="0.25">
      <c r="A2">
        <v>2</v>
      </c>
      <c r="B2">
        <v>9.9619999999999997</v>
      </c>
      <c r="C2">
        <v>14.212999999999999</v>
      </c>
      <c r="D2">
        <v>22.175999999999998</v>
      </c>
      <c r="E2">
        <f>A2/B2</f>
        <v>0.20076289901626179</v>
      </c>
      <c r="F2">
        <f>B2/(15-13.5)</f>
        <v>6.6413333333333329</v>
      </c>
      <c r="G2">
        <f>F2*E2</f>
        <v>1.3333333333333333</v>
      </c>
      <c r="H2">
        <f>1/(2*PI()*C2*G2)</f>
        <v>8.3983822781201374E-3</v>
      </c>
      <c r="I2">
        <f>G2/(2*PI()*C2)</f>
        <v>1.4930457383324689E-2</v>
      </c>
      <c r="L2">
        <f>0.707*B2</f>
        <v>7.0431339999999993</v>
      </c>
    </row>
    <row r="3" spans="1:12" x14ac:dyDescent="0.25">
      <c r="A3">
        <v>2</v>
      </c>
      <c r="B3">
        <v>1.6539999999999999</v>
      </c>
      <c r="C3">
        <v>14.196</v>
      </c>
      <c r="D3">
        <v>3.7170000000000001</v>
      </c>
      <c r="E3">
        <f t="shared" ref="E3:E4" si="0">A3/B3</f>
        <v>1.2091898428053205</v>
      </c>
      <c r="F3">
        <f>B3/(18-12)</f>
        <v>0.27566666666666667</v>
      </c>
      <c r="G3">
        <f t="shared" ref="G3:G4" si="1">F3*E3</f>
        <v>0.33333333333333337</v>
      </c>
      <c r="H3">
        <f t="shared" ref="H3:H4" si="2">1/(2*PI()*C3*G3)</f>
        <v>3.3633758049851081E-2</v>
      </c>
      <c r="I3">
        <f t="shared" ref="I3:I4" si="3">G3/(2*PI()*C3)</f>
        <v>3.7370842277612325E-3</v>
      </c>
      <c r="L3">
        <f>0.707*B3</f>
        <v>1.1693779999999998</v>
      </c>
    </row>
    <row r="4" spans="1:12" x14ac:dyDescent="0.25">
      <c r="A4">
        <v>2</v>
      </c>
      <c r="B4">
        <v>1.6659999999999999</v>
      </c>
      <c r="C4">
        <v>7.1420000000000003</v>
      </c>
      <c r="D4">
        <v>1.857</v>
      </c>
      <c r="E4">
        <f t="shared" si="0"/>
        <v>1.2004801920768309</v>
      </c>
      <c r="F4">
        <f>B4/(12-4)</f>
        <v>0.20824999999999999</v>
      </c>
      <c r="G4">
        <f t="shared" si="1"/>
        <v>0.25</v>
      </c>
      <c r="H4">
        <f t="shared" si="2"/>
        <v>8.9137464627216653E-2</v>
      </c>
      <c r="I4">
        <f t="shared" si="3"/>
        <v>5.5710915392010408E-3</v>
      </c>
      <c r="L4">
        <f>0.707*B4</f>
        <v>1.177862</v>
      </c>
    </row>
    <row r="7" spans="1:12" x14ac:dyDescent="0.25">
      <c r="A7" t="s">
        <v>28</v>
      </c>
      <c r="B7" t="s">
        <v>37</v>
      </c>
      <c r="C7" t="s">
        <v>43</v>
      </c>
    </row>
    <row r="8" spans="1:12" x14ac:dyDescent="0.25">
      <c r="A8">
        <v>10</v>
      </c>
      <c r="B8">
        <v>1.24</v>
      </c>
      <c r="C8">
        <f>A$2/B8</f>
        <v>1.6129032258064517</v>
      </c>
    </row>
    <row r="9" spans="1:12" x14ac:dyDescent="0.25">
      <c r="A9">
        <v>11</v>
      </c>
      <c r="B9">
        <v>1.71</v>
      </c>
      <c r="C9">
        <f t="shared" ref="C9:C20" si="4">A$2/B9</f>
        <v>1.1695906432748537</v>
      </c>
    </row>
    <row r="10" spans="1:12" x14ac:dyDescent="0.25">
      <c r="A10">
        <v>12</v>
      </c>
      <c r="B10">
        <v>2.58</v>
      </c>
      <c r="C10">
        <f t="shared" si="4"/>
        <v>0.77519379844961234</v>
      </c>
    </row>
    <row r="11" spans="1:12" x14ac:dyDescent="0.25">
      <c r="A11">
        <v>13</v>
      </c>
      <c r="B11">
        <v>4.59</v>
      </c>
      <c r="C11">
        <f t="shared" si="4"/>
        <v>0.4357298474945534</v>
      </c>
    </row>
    <row r="12" spans="1:12" x14ac:dyDescent="0.25">
      <c r="A12">
        <v>13.5</v>
      </c>
      <c r="B12">
        <v>6.72</v>
      </c>
      <c r="C12">
        <f t="shared" si="4"/>
        <v>0.29761904761904762</v>
      </c>
    </row>
    <row r="13" spans="1:12" x14ac:dyDescent="0.25">
      <c r="A13">
        <v>14</v>
      </c>
      <c r="B13">
        <v>9.6199999999999992</v>
      </c>
      <c r="C13">
        <f t="shared" si="4"/>
        <v>0.20790020790020791</v>
      </c>
    </row>
    <row r="14" spans="1:12" x14ac:dyDescent="0.25">
      <c r="A14">
        <v>14.5</v>
      </c>
      <c r="B14">
        <v>8.91</v>
      </c>
      <c r="C14">
        <f t="shared" si="4"/>
        <v>0.22446689113355781</v>
      </c>
    </row>
    <row r="15" spans="1:12" x14ac:dyDescent="0.25">
      <c r="A15">
        <v>15</v>
      </c>
      <c r="B15">
        <v>6.17</v>
      </c>
      <c r="C15">
        <f t="shared" si="4"/>
        <v>0.32414910858995138</v>
      </c>
    </row>
    <row r="16" spans="1:12" x14ac:dyDescent="0.25">
      <c r="A16">
        <v>16</v>
      </c>
      <c r="B16">
        <v>3.43</v>
      </c>
      <c r="C16">
        <f t="shared" si="4"/>
        <v>0.58309037900874627</v>
      </c>
    </row>
    <row r="17" spans="1:3" x14ac:dyDescent="0.25">
      <c r="A17">
        <v>17</v>
      </c>
      <c r="B17">
        <v>2.35</v>
      </c>
      <c r="C17">
        <f t="shared" si="4"/>
        <v>0.85106382978723405</v>
      </c>
    </row>
    <row r="18" spans="1:3" x14ac:dyDescent="0.25">
      <c r="A18">
        <v>18</v>
      </c>
      <c r="B18">
        <v>1.82</v>
      </c>
      <c r="C18">
        <f t="shared" si="4"/>
        <v>1.0989010989010988</v>
      </c>
    </row>
    <row r="20" spans="1:3" x14ac:dyDescent="0.25">
      <c r="A20">
        <v>2</v>
      </c>
      <c r="B20">
        <v>0.13</v>
      </c>
      <c r="C20">
        <f>A$3/B20</f>
        <v>15.384615384615383</v>
      </c>
    </row>
    <row r="21" spans="1:3" x14ac:dyDescent="0.25">
      <c r="A21">
        <v>4</v>
      </c>
      <c r="B21">
        <v>0.27</v>
      </c>
      <c r="C21">
        <f t="shared" ref="C21:C36" si="5">A$3/B21</f>
        <v>7.4074074074074066</v>
      </c>
    </row>
    <row r="22" spans="1:3" x14ac:dyDescent="0.25">
      <c r="A22">
        <v>6</v>
      </c>
      <c r="B22">
        <v>0.44</v>
      </c>
      <c r="C22">
        <f t="shared" si="5"/>
        <v>4.5454545454545459</v>
      </c>
    </row>
    <row r="23" spans="1:3" x14ac:dyDescent="0.25">
      <c r="A23">
        <v>8</v>
      </c>
      <c r="B23">
        <v>0.67</v>
      </c>
      <c r="C23">
        <f t="shared" si="5"/>
        <v>2.9850746268656714</v>
      </c>
    </row>
    <row r="24" spans="1:3" x14ac:dyDescent="0.25">
      <c r="A24">
        <v>10</v>
      </c>
      <c r="B24">
        <v>1</v>
      </c>
      <c r="C24">
        <f t="shared" si="5"/>
        <v>2</v>
      </c>
    </row>
    <row r="25" spans="1:3" x14ac:dyDescent="0.25">
      <c r="A25">
        <v>12</v>
      </c>
      <c r="B25">
        <v>1.41</v>
      </c>
      <c r="C25">
        <f t="shared" si="5"/>
        <v>1.4184397163120568</v>
      </c>
    </row>
    <row r="26" spans="1:3" x14ac:dyDescent="0.25">
      <c r="A26">
        <v>14</v>
      </c>
      <c r="B26">
        <v>1.67</v>
      </c>
      <c r="C26">
        <f t="shared" si="5"/>
        <v>1.1976047904191618</v>
      </c>
    </row>
    <row r="27" spans="1:3" x14ac:dyDescent="0.25">
      <c r="A27">
        <v>16</v>
      </c>
      <c r="B27">
        <v>1.52</v>
      </c>
      <c r="C27">
        <f t="shared" si="5"/>
        <v>1.3157894736842106</v>
      </c>
    </row>
    <row r="28" spans="1:3" x14ac:dyDescent="0.25">
      <c r="A28">
        <v>18</v>
      </c>
      <c r="B28">
        <v>1.21</v>
      </c>
      <c r="C28">
        <f t="shared" si="5"/>
        <v>1.6528925619834711</v>
      </c>
    </row>
    <row r="29" spans="1:3" x14ac:dyDescent="0.25">
      <c r="A29">
        <v>20</v>
      </c>
      <c r="B29">
        <v>1</v>
      </c>
      <c r="C29">
        <f t="shared" si="5"/>
        <v>2</v>
      </c>
    </row>
    <row r="30" spans="1:3" x14ac:dyDescent="0.25">
      <c r="A30">
        <v>22</v>
      </c>
      <c r="B30">
        <v>0.84</v>
      </c>
      <c r="C30">
        <f t="shared" si="5"/>
        <v>2.3809523809523809</v>
      </c>
    </row>
    <row r="31" spans="1:3" x14ac:dyDescent="0.25">
      <c r="A31">
        <v>24</v>
      </c>
      <c r="B31">
        <v>0.72</v>
      </c>
      <c r="C31">
        <f t="shared" si="5"/>
        <v>2.7777777777777777</v>
      </c>
    </row>
    <row r="32" spans="1:3" x14ac:dyDescent="0.25">
      <c r="A32">
        <v>26</v>
      </c>
      <c r="B32">
        <v>0.63</v>
      </c>
      <c r="C32">
        <f t="shared" si="5"/>
        <v>3.1746031746031744</v>
      </c>
    </row>
    <row r="33" spans="1:3" x14ac:dyDescent="0.25">
      <c r="A33">
        <v>28</v>
      </c>
      <c r="B33">
        <v>0.56000000000000005</v>
      </c>
      <c r="C33">
        <f t="shared" si="5"/>
        <v>3.5714285714285712</v>
      </c>
    </row>
    <row r="34" spans="1:3" x14ac:dyDescent="0.25">
      <c r="A34">
        <v>30</v>
      </c>
      <c r="B34">
        <v>0.51</v>
      </c>
      <c r="C34">
        <f t="shared" si="5"/>
        <v>3.9215686274509802</v>
      </c>
    </row>
    <row r="36" spans="1:3" x14ac:dyDescent="0.25">
      <c r="A36">
        <v>2</v>
      </c>
      <c r="B36">
        <v>0.52</v>
      </c>
      <c r="C36">
        <f>A$4/B36</f>
        <v>3.8461538461538458</v>
      </c>
    </row>
    <row r="37" spans="1:3" x14ac:dyDescent="0.25">
      <c r="A37">
        <v>3</v>
      </c>
      <c r="B37">
        <v>0.8</v>
      </c>
      <c r="C37">
        <f t="shared" ref="C37:C53" si="6">A$4/B37</f>
        <v>2.5</v>
      </c>
    </row>
    <row r="38" spans="1:3" x14ac:dyDescent="0.25">
      <c r="A38">
        <v>4</v>
      </c>
      <c r="B38">
        <v>1.1100000000000001</v>
      </c>
      <c r="C38">
        <f t="shared" si="6"/>
        <v>1.8018018018018016</v>
      </c>
    </row>
    <row r="39" spans="1:3" x14ac:dyDescent="0.25">
      <c r="A39">
        <v>5</v>
      </c>
      <c r="B39">
        <v>1.38</v>
      </c>
      <c r="C39">
        <f t="shared" si="6"/>
        <v>1.4492753623188408</v>
      </c>
    </row>
    <row r="40" spans="1:3" x14ac:dyDescent="0.25">
      <c r="A40">
        <v>5.5</v>
      </c>
      <c r="B40">
        <v>1.5</v>
      </c>
      <c r="C40">
        <f t="shared" si="6"/>
        <v>1.3333333333333333</v>
      </c>
    </row>
    <row r="41" spans="1:3" x14ac:dyDescent="0.25">
      <c r="A41">
        <v>6</v>
      </c>
      <c r="B41">
        <v>1.59</v>
      </c>
      <c r="C41">
        <f t="shared" si="6"/>
        <v>1.2578616352201257</v>
      </c>
    </row>
    <row r="42" spans="1:3" x14ac:dyDescent="0.25">
      <c r="A42">
        <v>6.5</v>
      </c>
      <c r="B42">
        <v>1.64</v>
      </c>
      <c r="C42">
        <f t="shared" si="6"/>
        <v>1.2195121951219512</v>
      </c>
    </row>
    <row r="43" spans="1:3" x14ac:dyDescent="0.25">
      <c r="A43">
        <v>7</v>
      </c>
      <c r="B43">
        <v>1.67</v>
      </c>
      <c r="C43">
        <f t="shared" si="6"/>
        <v>1.1976047904191618</v>
      </c>
    </row>
    <row r="44" spans="1:3" x14ac:dyDescent="0.25">
      <c r="A44">
        <v>7.5</v>
      </c>
      <c r="B44">
        <v>1.66</v>
      </c>
      <c r="C44">
        <f t="shared" si="6"/>
        <v>1.2048192771084338</v>
      </c>
    </row>
    <row r="45" spans="1:3" x14ac:dyDescent="0.25">
      <c r="A45">
        <v>8</v>
      </c>
      <c r="B45">
        <v>1.63</v>
      </c>
      <c r="C45">
        <f t="shared" si="6"/>
        <v>1.2269938650306749</v>
      </c>
    </row>
    <row r="46" spans="1:3" x14ac:dyDescent="0.25">
      <c r="A46">
        <v>8.5</v>
      </c>
      <c r="B46">
        <v>1.58</v>
      </c>
      <c r="C46">
        <f t="shared" si="6"/>
        <v>1.2658227848101264</v>
      </c>
    </row>
    <row r="47" spans="1:3" x14ac:dyDescent="0.25">
      <c r="A47">
        <v>9</v>
      </c>
      <c r="B47">
        <v>1.53</v>
      </c>
      <c r="C47">
        <f t="shared" si="6"/>
        <v>1.3071895424836601</v>
      </c>
    </row>
    <row r="48" spans="1:3" x14ac:dyDescent="0.25">
      <c r="A48">
        <v>10</v>
      </c>
      <c r="B48">
        <v>1.4</v>
      </c>
      <c r="C48">
        <f t="shared" si="6"/>
        <v>1.4285714285714286</v>
      </c>
    </row>
    <row r="49" spans="1:3" x14ac:dyDescent="0.25">
      <c r="A49">
        <v>11</v>
      </c>
      <c r="B49">
        <v>1.28</v>
      </c>
      <c r="C49">
        <f t="shared" si="6"/>
        <v>1.5625</v>
      </c>
    </row>
    <row r="50" spans="1:3" x14ac:dyDescent="0.25">
      <c r="A50">
        <v>12</v>
      </c>
      <c r="B50">
        <v>1.17</v>
      </c>
      <c r="C50">
        <f t="shared" si="6"/>
        <v>1.7094017094017095</v>
      </c>
    </row>
    <row r="51" spans="1:3" x14ac:dyDescent="0.25">
      <c r="A51">
        <v>13</v>
      </c>
      <c r="B51">
        <v>1.07</v>
      </c>
      <c r="C51">
        <f t="shared" si="6"/>
        <v>1.8691588785046729</v>
      </c>
    </row>
    <row r="52" spans="1:3" x14ac:dyDescent="0.25">
      <c r="A52">
        <v>14</v>
      </c>
      <c r="B52">
        <v>0.99</v>
      </c>
      <c r="C52">
        <f t="shared" si="6"/>
        <v>2.0202020202020203</v>
      </c>
    </row>
    <row r="53" spans="1:3" x14ac:dyDescent="0.25">
      <c r="A53">
        <v>15</v>
      </c>
      <c r="B53">
        <v>0.92</v>
      </c>
      <c r="C53">
        <f t="shared" si="6"/>
        <v>2.1739130434782608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Лист2</vt:lpstr>
      <vt:lpstr>Лист3</vt:lpstr>
      <vt:lpstr>Лист4</vt:lpstr>
      <vt:lpstr>_C1</vt:lpstr>
      <vt:lpstr>_C2</vt:lpstr>
      <vt:lpstr>_R1</vt:lpstr>
      <vt:lpstr>_R3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Федоров</dc:creator>
  <cp:lastModifiedBy>Алексей Федоров</cp:lastModifiedBy>
  <dcterms:created xsi:type="dcterms:W3CDTF">2015-06-05T18:19:34Z</dcterms:created>
  <dcterms:modified xsi:type="dcterms:W3CDTF">2021-04-28T15:57:17Z</dcterms:modified>
</cp:coreProperties>
</file>