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10.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YandexDisk\Франчайзинг5\ЗАКРЫТО\Автопрокат №1\"/>
    </mc:Choice>
  </mc:AlternateContent>
  <bookViews>
    <workbookView xWindow="0" yWindow="300" windowWidth="10530" windowHeight="6720" tabRatio="803"/>
  </bookViews>
  <sheets>
    <sheet name="Титульная страница" sheetId="16" r:id="rId1"/>
    <sheet name="Структура" sheetId="17" r:id="rId2"/>
    <sheet name="Входящие данные" sheetId="1" r:id="rId3"/>
    <sheet name="Этапы запуска Проекта" sheetId="8" r:id="rId4"/>
    <sheet name="Инвестиции на орг-цию бизнеса" sheetId="5" r:id="rId5"/>
    <sheet name="Ежемесячные затраты" sheetId="6" r:id="rId6"/>
    <sheet name="Продажи" sheetId="3" r:id="rId7"/>
    <sheet name="для расчета ЗП" sheetId="24" state="hidden" r:id="rId8"/>
    <sheet name="Прибыль_окупаемость" sheetId="4" r:id="rId9"/>
    <sheet name="Гибкость" sheetId="21" r:id="rId10"/>
    <sheet name="Глоссарий" sheetId="20" r:id="rId11"/>
    <sheet name="Кредитование" sheetId="10" state="hidden" r:id="rId12"/>
    <sheet name="Лист1" sheetId="22" state="hidden" r:id="rId13"/>
  </sheets>
  <externalReferences>
    <externalReference r:id="rId14"/>
    <externalReference r:id="rId15"/>
    <externalReference r:id="rId16"/>
    <externalReference r:id="rId17"/>
  </externalReferences>
  <definedNames>
    <definedName name="_GoBack" localSheetId="7">'Ежемесячные затраты'!#REF!</definedName>
    <definedName name="_GoBack" localSheetId="6">'Ежемесячные затраты'!#REF!</definedName>
    <definedName name="→" localSheetId="9">'[1]Ежемесячные затраты'!#REF!</definedName>
    <definedName name="→" localSheetId="10">'[2]Ежемесячные затраты'!#REF!</definedName>
    <definedName name="→" localSheetId="7">'Ежемесячные затраты'!#REF!</definedName>
    <definedName name="→" localSheetId="12">'[3]Ежемесячные затраты'!#REF!</definedName>
    <definedName name="→">'Ежемесячные затраты'!#REF!</definedName>
    <definedName name="page1" localSheetId="0">'Титульная страница'!$N$10</definedName>
    <definedName name="у">OFFSET([4]Лист1!$A$1,0,0,COUNTA([4]Лист1!$A$1:$A$24),1)</definedName>
    <definedName name="УСН" localSheetId="9">'[1]Ежемесячные затраты'!#REF!</definedName>
    <definedName name="УСН" localSheetId="10">'[2]Ежемесячные затраты'!#REF!</definedName>
    <definedName name="УСН" localSheetId="7">'Ежемесячные затраты'!#REF!</definedName>
    <definedName name="УСН" localSheetId="12">'[3]Ежемесячные затраты'!#REF!</definedName>
    <definedName name="УСН">'Ежемесячные затраты'!#REF!</definedName>
  </definedNames>
  <calcPr calcId="162913"/>
</workbook>
</file>

<file path=xl/calcChain.xml><?xml version="1.0" encoding="utf-8"?>
<calcChain xmlns="http://schemas.openxmlformats.org/spreadsheetml/2006/main">
  <c r="F42" i="4" l="1"/>
  <c r="F41" i="4"/>
  <c r="F37" i="4"/>
  <c r="F22" i="6"/>
  <c r="E28" i="3"/>
  <c r="D27" i="4"/>
  <c r="G28" i="4"/>
  <c r="H28" i="4" s="1"/>
  <c r="I28" i="4" s="1"/>
  <c r="J28" i="4" s="1"/>
  <c r="K28" i="4" s="1"/>
  <c r="L28" i="4" s="1"/>
  <c r="M28" i="4" s="1"/>
  <c r="N28" i="4" s="1"/>
  <c r="O28" i="4" s="1"/>
  <c r="P28" i="4" s="1"/>
  <c r="Q28" i="4" s="1"/>
  <c r="R28" i="4" s="1"/>
  <c r="S28" i="4" s="1"/>
  <c r="T28" i="4" s="1"/>
  <c r="U28" i="4" s="1"/>
  <c r="V28" i="4" s="1"/>
  <c r="W28" i="4" s="1"/>
  <c r="X28" i="4" s="1"/>
  <c r="Y28" i="4" s="1"/>
  <c r="Z28" i="4" s="1"/>
  <c r="AA28" i="4" s="1"/>
  <c r="AB28" i="4" s="1"/>
  <c r="AC28" i="4" s="1"/>
  <c r="AD28" i="4" s="1"/>
  <c r="AE28" i="4" s="1"/>
  <c r="AF28" i="4" s="1"/>
  <c r="AG28" i="4" s="1"/>
  <c r="AH28" i="4" s="1"/>
  <c r="AI28" i="4" s="1"/>
  <c r="AJ28" i="4" s="1"/>
  <c r="AK28" i="4" s="1"/>
  <c r="AL28" i="4" s="1"/>
  <c r="AM28" i="4" s="1"/>
  <c r="AN28" i="4" s="1"/>
  <c r="F28" i="4"/>
  <c r="E28" i="4"/>
  <c r="F27" i="4"/>
  <c r="G27" i="4"/>
  <c r="H27" i="4"/>
  <c r="I27" i="4"/>
  <c r="J27" i="4"/>
  <c r="K27" i="4"/>
  <c r="L27" i="4"/>
  <c r="M27" i="4"/>
  <c r="N27" i="4"/>
  <c r="O27" i="4"/>
  <c r="P27" i="4"/>
  <c r="Q27" i="4"/>
  <c r="R27" i="4"/>
  <c r="S27" i="4"/>
  <c r="T27" i="4"/>
  <c r="U27" i="4"/>
  <c r="V27" i="4"/>
  <c r="W27" i="4"/>
  <c r="X27" i="4"/>
  <c r="Y27" i="4"/>
  <c r="Z27" i="4"/>
  <c r="AA27" i="4"/>
  <c r="AB27" i="4"/>
  <c r="AC27" i="4"/>
  <c r="AD27" i="4"/>
  <c r="AE27" i="4"/>
  <c r="AF27" i="4"/>
  <c r="AG27" i="4"/>
  <c r="AH27" i="4"/>
  <c r="AI27" i="4"/>
  <c r="AJ27" i="4"/>
  <c r="AK27" i="4"/>
  <c r="AL27" i="4"/>
  <c r="AM27" i="4"/>
  <c r="AN27" i="4"/>
  <c r="E27" i="4"/>
  <c r="AN26" i="4"/>
  <c r="AB26" i="4"/>
  <c r="P26" i="4"/>
  <c r="F26" i="4"/>
  <c r="G26" i="4"/>
  <c r="H26" i="4"/>
  <c r="I26" i="4"/>
  <c r="J26" i="4"/>
  <c r="K26" i="4"/>
  <c r="L26" i="4"/>
  <c r="M26" i="4"/>
  <c r="N26" i="4"/>
  <c r="O26" i="4"/>
  <c r="Q26" i="4"/>
  <c r="R26" i="4"/>
  <c r="S26" i="4"/>
  <c r="T26" i="4"/>
  <c r="U26" i="4"/>
  <c r="V26" i="4"/>
  <c r="W26" i="4"/>
  <c r="X26" i="4"/>
  <c r="Y26" i="4"/>
  <c r="Z26" i="4"/>
  <c r="AA26" i="4"/>
  <c r="AC26" i="4"/>
  <c r="AD26" i="4"/>
  <c r="AE26" i="4"/>
  <c r="AF26" i="4"/>
  <c r="AG26" i="4"/>
  <c r="AH26" i="4"/>
  <c r="AI26" i="4"/>
  <c r="AJ26" i="4"/>
  <c r="AK26" i="4"/>
  <c r="AL26" i="4"/>
  <c r="AM26" i="4"/>
  <c r="E26" i="4"/>
  <c r="F32" i="3"/>
  <c r="G32" i="3"/>
  <c r="H32" i="3"/>
  <c r="I32" i="3"/>
  <c r="J32" i="3"/>
  <c r="K32" i="3"/>
  <c r="L32" i="3"/>
  <c r="M32" i="3"/>
  <c r="N32" i="3"/>
  <c r="O32" i="3"/>
  <c r="P32" i="3"/>
  <c r="Q32" i="3"/>
  <c r="R32" i="3"/>
  <c r="S32" i="3"/>
  <c r="T32" i="3"/>
  <c r="U32" i="3"/>
  <c r="V32" i="3"/>
  <c r="W32" i="3"/>
  <c r="X32" i="3"/>
  <c r="Y32" i="3"/>
  <c r="Z32" i="3"/>
  <c r="AA32" i="3"/>
  <c r="AB32" i="3"/>
  <c r="AC32" i="3"/>
  <c r="AD32" i="3"/>
  <c r="AE32" i="3"/>
  <c r="AF32" i="3"/>
  <c r="AG32" i="3"/>
  <c r="AG33" i="3" s="1"/>
  <c r="AH32" i="3"/>
  <c r="AI32" i="3"/>
  <c r="AJ32" i="3"/>
  <c r="AK32" i="3"/>
  <c r="AK33" i="3" s="1"/>
  <c r="AL32" i="3"/>
  <c r="AM32" i="3"/>
  <c r="AN32" i="3"/>
  <c r="E32" i="3"/>
  <c r="AG27" i="3"/>
  <c r="AH23" i="4"/>
  <c r="AI23" i="4"/>
  <c r="AG23" i="4"/>
  <c r="AF33" i="3"/>
  <c r="AC27" i="3"/>
  <c r="AD27" i="3"/>
  <c r="AD28" i="3" s="1"/>
  <c r="AE27" i="3"/>
  <c r="AF27" i="3"/>
  <c r="Q27" i="3"/>
  <c r="Q28" i="3" s="1"/>
  <c r="R27" i="3"/>
  <c r="F33" i="3"/>
  <c r="G33" i="3"/>
  <c r="H33" i="3"/>
  <c r="I33" i="3"/>
  <c r="J33" i="3"/>
  <c r="K33" i="3"/>
  <c r="L33" i="3"/>
  <c r="M33" i="3"/>
  <c r="N33" i="3"/>
  <c r="O33" i="3"/>
  <c r="P33" i="3"/>
  <c r="Q33" i="3"/>
  <c r="R33" i="3"/>
  <c r="S33" i="3"/>
  <c r="T33" i="3"/>
  <c r="U33" i="3"/>
  <c r="V33" i="3"/>
  <c r="W33" i="3"/>
  <c r="X33" i="3"/>
  <c r="Y33" i="3"/>
  <c r="Z33" i="3"/>
  <c r="AA33" i="3"/>
  <c r="AB33" i="3"/>
  <c r="AC33" i="3"/>
  <c r="AD33" i="3"/>
  <c r="AE33" i="3"/>
  <c r="AH33" i="3"/>
  <c r="AI33" i="3"/>
  <c r="AJ33" i="3"/>
  <c r="AL33" i="3"/>
  <c r="AM33" i="3"/>
  <c r="AN33" i="3"/>
  <c r="E34" i="3"/>
  <c r="E33" i="3"/>
  <c r="F28" i="3"/>
  <c r="G28" i="3"/>
  <c r="H28" i="3"/>
  <c r="I28" i="3"/>
  <c r="J28" i="3"/>
  <c r="K28" i="3"/>
  <c r="L28" i="3"/>
  <c r="M28" i="3"/>
  <c r="N28" i="3"/>
  <c r="O28" i="3"/>
  <c r="P28" i="3"/>
  <c r="R28" i="3"/>
  <c r="S28" i="3"/>
  <c r="T28" i="3"/>
  <c r="U28" i="3"/>
  <c r="V28" i="3"/>
  <c r="W28" i="3"/>
  <c r="X28" i="3"/>
  <c r="Y28" i="3"/>
  <c r="Z28" i="3"/>
  <c r="AA28" i="3"/>
  <c r="AB28" i="3"/>
  <c r="AC28" i="3"/>
  <c r="AE28" i="3"/>
  <c r="AF28" i="3"/>
  <c r="AG28" i="3"/>
  <c r="AH28" i="3"/>
  <c r="AI28" i="3"/>
  <c r="AJ28" i="3"/>
  <c r="AK28" i="3"/>
  <c r="AL28" i="3"/>
  <c r="AM28" i="3"/>
  <c r="AN28" i="3"/>
  <c r="AH27" i="3" l="1"/>
  <c r="AI27" i="3"/>
  <c r="AJ27" i="3"/>
  <c r="AK27" i="3"/>
  <c r="AL27" i="3"/>
  <c r="AM27" i="3"/>
  <c r="AN27" i="3"/>
  <c r="S27" i="3"/>
  <c r="T27" i="3"/>
  <c r="U27" i="3"/>
  <c r="V27" i="3"/>
  <c r="W27" i="3"/>
  <c r="X27" i="3"/>
  <c r="Y27" i="3"/>
  <c r="Z27" i="3"/>
  <c r="AA27" i="3"/>
  <c r="AB27" i="3"/>
  <c r="F27" i="3"/>
  <c r="G27" i="3"/>
  <c r="H27" i="3"/>
  <c r="I27" i="3"/>
  <c r="J27" i="3"/>
  <c r="K27" i="3"/>
  <c r="L27" i="3"/>
  <c r="M27" i="3"/>
  <c r="N27" i="3"/>
  <c r="O27" i="3"/>
  <c r="P27" i="3"/>
  <c r="E27" i="3"/>
  <c r="AF23" i="4" l="1"/>
  <c r="S23" i="4"/>
  <c r="T23" i="4"/>
  <c r="AC23" i="4"/>
  <c r="Q23" i="4"/>
  <c r="E17" i="5"/>
  <c r="F12" i="1" l="1"/>
  <c r="F31" i="6"/>
  <c r="E14" i="5" l="1"/>
  <c r="F28" i="6"/>
  <c r="H23" i="4" l="1"/>
  <c r="I23" i="4"/>
  <c r="J23" i="4"/>
  <c r="K23" i="4"/>
  <c r="L23" i="4"/>
  <c r="M23" i="4"/>
  <c r="N23" i="4"/>
  <c r="O23" i="4"/>
  <c r="P23" i="4"/>
  <c r="R23" i="4"/>
  <c r="U23" i="4"/>
  <c r="V23" i="4"/>
  <c r="W23" i="4"/>
  <c r="X23" i="4"/>
  <c r="Y23" i="4"/>
  <c r="Z23" i="4"/>
  <c r="AA23" i="4"/>
  <c r="AB23" i="4"/>
  <c r="AD23" i="4"/>
  <c r="AE23" i="4"/>
  <c r="AJ23" i="4"/>
  <c r="AK23" i="4"/>
  <c r="AL23" i="4"/>
  <c r="AM23" i="4"/>
  <c r="AN23" i="4"/>
  <c r="F23" i="4"/>
  <c r="G23" i="4"/>
  <c r="E23" i="4"/>
  <c r="F29" i="6"/>
  <c r="E13" i="1"/>
  <c r="D34" i="3"/>
  <c r="F27" i="6" l="1"/>
  <c r="Q22" i="4" s="1"/>
  <c r="E26" i="5"/>
  <c r="E24" i="5"/>
  <c r="E28" i="5"/>
  <c r="X22" i="4" l="1"/>
  <c r="AG22" i="4"/>
  <c r="R22" i="4"/>
  <c r="AA22" i="4"/>
  <c r="AC22" i="4"/>
  <c r="AN22" i="4"/>
  <c r="P22" i="4"/>
  <c r="AK22" i="4"/>
  <c r="L22" i="4"/>
  <c r="AE22" i="4"/>
  <c r="O22" i="4"/>
  <c r="M22" i="4"/>
  <c r="AH22" i="4"/>
  <c r="AD22" i="4"/>
  <c r="I22" i="4"/>
  <c r="AF22" i="4"/>
  <c r="AJ22" i="4"/>
  <c r="AM22" i="4"/>
  <c r="W22" i="4"/>
  <c r="G22" i="4"/>
  <c r="Z22" i="4"/>
  <c r="J22" i="4"/>
  <c r="U22" i="4"/>
  <c r="K22" i="4"/>
  <c r="N22" i="4"/>
  <c r="Y22" i="4"/>
  <c r="T22" i="4"/>
  <c r="AB22" i="4"/>
  <c r="AI22" i="4"/>
  <c r="S22" i="4"/>
  <c r="AL22" i="4"/>
  <c r="V22" i="4"/>
  <c r="F22" i="4"/>
  <c r="D28" i="3"/>
  <c r="D33" i="3"/>
  <c r="F18" i="6" s="1"/>
  <c r="I34" i="3"/>
  <c r="Q34" i="3"/>
  <c r="AJ34" i="3"/>
  <c r="AF34" i="3"/>
  <c r="T34" i="3"/>
  <c r="P34" i="3"/>
  <c r="L34" i="3"/>
  <c r="H34" i="3"/>
  <c r="AM34" i="3"/>
  <c r="AI34" i="3"/>
  <c r="AE34" i="3"/>
  <c r="AA34" i="3"/>
  <c r="W34" i="3"/>
  <c r="S34" i="3"/>
  <c r="O34" i="3"/>
  <c r="K34" i="3"/>
  <c r="G34" i="3"/>
  <c r="AH34" i="3"/>
  <c r="AD34" i="3"/>
  <c r="Z34" i="3"/>
  <c r="R34" i="3"/>
  <c r="N34" i="3"/>
  <c r="J34" i="3"/>
  <c r="AC34" i="3" l="1"/>
  <c r="AG34" i="3"/>
  <c r="Y34" i="3"/>
  <c r="K19" i="4"/>
  <c r="O19" i="4"/>
  <c r="S19" i="4"/>
  <c r="W19" i="4"/>
  <c r="AA19" i="4"/>
  <c r="AE19" i="4"/>
  <c r="AI19" i="4"/>
  <c r="AM19" i="4"/>
  <c r="N19" i="4"/>
  <c r="V19" i="4"/>
  <c r="AD19" i="4"/>
  <c r="AL19" i="4"/>
  <c r="G19" i="4"/>
  <c r="H19" i="4"/>
  <c r="L19" i="4"/>
  <c r="P19" i="4"/>
  <c r="T19" i="4"/>
  <c r="X19" i="4"/>
  <c r="AB19" i="4"/>
  <c r="AF19" i="4"/>
  <c r="AJ19" i="4"/>
  <c r="AN19" i="4"/>
  <c r="J19" i="4"/>
  <c r="R19" i="4"/>
  <c r="Z19" i="4"/>
  <c r="AH19" i="4"/>
  <c r="I19" i="4"/>
  <c r="M19" i="4"/>
  <c r="Q19" i="4"/>
  <c r="U19" i="4"/>
  <c r="Y19" i="4"/>
  <c r="AC19" i="4"/>
  <c r="AG19" i="4"/>
  <c r="AK19" i="4"/>
  <c r="X34" i="3"/>
  <c r="AN34" i="3"/>
  <c r="U34" i="3"/>
  <c r="F34" i="3"/>
  <c r="V34" i="3"/>
  <c r="AL34" i="3"/>
  <c r="AB34" i="3"/>
  <c r="AK34" i="3"/>
  <c r="M34" i="3"/>
  <c r="F93" i="22" l="1"/>
  <c r="G93" i="22" s="1"/>
  <c r="H93" i="22" s="1"/>
  <c r="I93" i="22" s="1"/>
  <c r="J93" i="22" s="1"/>
  <c r="K93" i="22" s="1"/>
  <c r="L93" i="22" s="1"/>
  <c r="M93" i="22" s="1"/>
  <c r="N93" i="22" s="1"/>
  <c r="O93" i="22" s="1"/>
  <c r="P93" i="22" s="1"/>
  <c r="Q93" i="22" s="1"/>
  <c r="R93" i="22" s="1"/>
  <c r="S93" i="22" s="1"/>
  <c r="T93" i="22" s="1"/>
  <c r="U93" i="22" s="1"/>
  <c r="V93" i="22" s="1"/>
  <c r="W93" i="22" s="1"/>
  <c r="X93" i="22" s="1"/>
  <c r="Y93" i="22" s="1"/>
  <c r="Z93" i="22" s="1"/>
  <c r="AA93" i="22" s="1"/>
  <c r="AB93" i="22" s="1"/>
  <c r="AC93" i="22" s="1"/>
  <c r="AD93" i="22" s="1"/>
  <c r="AE93" i="22" s="1"/>
  <c r="AF93" i="22" s="1"/>
  <c r="AG93" i="22" s="1"/>
  <c r="F90" i="22"/>
  <c r="G90" i="22" s="1"/>
  <c r="H90" i="22" s="1"/>
  <c r="I90" i="22" s="1"/>
  <c r="J90" i="22" s="1"/>
  <c r="K90" i="22" s="1"/>
  <c r="L90" i="22" s="1"/>
  <c r="M90" i="22" s="1"/>
  <c r="N90" i="22" s="1"/>
  <c r="O90" i="22" s="1"/>
  <c r="P90" i="22" s="1"/>
  <c r="Q90" i="22" s="1"/>
  <c r="R90" i="22" s="1"/>
  <c r="S90" i="22" s="1"/>
  <c r="T90" i="22" s="1"/>
  <c r="U90" i="22" s="1"/>
  <c r="V90" i="22" s="1"/>
  <c r="W90" i="22" s="1"/>
  <c r="X90" i="22" s="1"/>
  <c r="Y90" i="22" s="1"/>
  <c r="Z90" i="22" s="1"/>
  <c r="AA90" i="22" s="1"/>
  <c r="AB90" i="22" s="1"/>
  <c r="AC90" i="22" s="1"/>
  <c r="AD90" i="22" s="1"/>
  <c r="AE90" i="22" s="1"/>
  <c r="AF90" i="22" s="1"/>
  <c r="AG90" i="22" s="1"/>
  <c r="F87" i="22"/>
  <c r="G87" i="22" s="1"/>
  <c r="H87" i="22" s="1"/>
  <c r="I87" i="22" s="1"/>
  <c r="J87" i="22" s="1"/>
  <c r="K87" i="22" s="1"/>
  <c r="L87" i="22" s="1"/>
  <c r="M87" i="22" s="1"/>
  <c r="N87" i="22" s="1"/>
  <c r="O87" i="22" s="1"/>
  <c r="P87" i="22" s="1"/>
  <c r="Q87" i="22" s="1"/>
  <c r="R87" i="22" s="1"/>
  <c r="S87" i="22" s="1"/>
  <c r="T87" i="22" s="1"/>
  <c r="U87" i="22" s="1"/>
  <c r="V87" i="22" s="1"/>
  <c r="W87" i="22" s="1"/>
  <c r="X87" i="22" s="1"/>
  <c r="Y87" i="22" s="1"/>
  <c r="Z87" i="22" s="1"/>
  <c r="AA87" i="22" s="1"/>
  <c r="AB87" i="22" s="1"/>
  <c r="AC87" i="22" s="1"/>
  <c r="AD87" i="22" s="1"/>
  <c r="AE87" i="22" s="1"/>
  <c r="AF87" i="22" s="1"/>
  <c r="AG87" i="22" s="1"/>
  <c r="O85" i="22"/>
  <c r="P85" i="22" s="1"/>
  <c r="Q85" i="22" s="1"/>
  <c r="R85" i="22" s="1"/>
  <c r="S85" i="22" s="1"/>
  <c r="T85" i="22" s="1"/>
  <c r="U85" i="22" s="1"/>
  <c r="V85" i="22" s="1"/>
  <c r="W85" i="22" s="1"/>
  <c r="X85" i="22" s="1"/>
  <c r="Y85" i="22" s="1"/>
  <c r="Z85" i="22" s="1"/>
  <c r="AA85" i="22" s="1"/>
  <c r="AB85" i="22" s="1"/>
  <c r="AC85" i="22" s="1"/>
  <c r="AD85" i="22" s="1"/>
  <c r="AE85" i="22" s="1"/>
  <c r="AF85" i="22" s="1"/>
  <c r="AG85" i="22" s="1"/>
  <c r="M85" i="22"/>
  <c r="L85" i="22" s="1"/>
  <c r="K85" i="22" s="1"/>
  <c r="J85" i="22" s="1"/>
  <c r="I85" i="22" s="1"/>
  <c r="H85" i="22" s="1"/>
  <c r="G85" i="22" s="1"/>
  <c r="F85" i="22" s="1"/>
  <c r="E85" i="22" s="1"/>
  <c r="D85" i="22" s="1"/>
  <c r="C85" i="22" s="1"/>
  <c r="B85" i="22" s="1"/>
  <c r="A85" i="22" s="1"/>
  <c r="F61" i="22"/>
  <c r="G61" i="22" s="1"/>
  <c r="H61" i="22" s="1"/>
  <c r="I61" i="22" s="1"/>
  <c r="J61" i="22" s="1"/>
  <c r="K61" i="22" s="1"/>
  <c r="L61" i="22" s="1"/>
  <c r="M61" i="22" s="1"/>
  <c r="N61" i="22" s="1"/>
  <c r="O61" i="22" s="1"/>
  <c r="P61" i="22" s="1"/>
  <c r="Q61" i="22" s="1"/>
  <c r="R61" i="22" s="1"/>
  <c r="S61" i="22" s="1"/>
  <c r="T61" i="22" s="1"/>
  <c r="U61" i="22" s="1"/>
  <c r="V61" i="22" s="1"/>
  <c r="W61" i="22" s="1"/>
  <c r="X61" i="22" s="1"/>
  <c r="Y61" i="22" s="1"/>
  <c r="Z61" i="22" s="1"/>
  <c r="AA61" i="22" s="1"/>
  <c r="AB61" i="22" s="1"/>
  <c r="AC61" i="22" s="1"/>
  <c r="AD61" i="22" s="1"/>
  <c r="AE61" i="22" s="1"/>
  <c r="AF61" i="22" s="1"/>
  <c r="AG61" i="22" s="1"/>
  <c r="F58" i="22"/>
  <c r="G58" i="22" s="1"/>
  <c r="H58" i="22" s="1"/>
  <c r="I58" i="22" s="1"/>
  <c r="J58" i="22" s="1"/>
  <c r="K58" i="22" s="1"/>
  <c r="L58" i="22" s="1"/>
  <c r="M58" i="22" s="1"/>
  <c r="N58" i="22" s="1"/>
  <c r="O58" i="22" s="1"/>
  <c r="P58" i="22" s="1"/>
  <c r="Q58" i="22" s="1"/>
  <c r="R58" i="22" s="1"/>
  <c r="S58" i="22" s="1"/>
  <c r="T58" i="22" s="1"/>
  <c r="U58" i="22" s="1"/>
  <c r="V58" i="22" s="1"/>
  <c r="W58" i="22" s="1"/>
  <c r="X58" i="22" s="1"/>
  <c r="Y58" i="22" s="1"/>
  <c r="Z58" i="22" s="1"/>
  <c r="AA58" i="22" s="1"/>
  <c r="AB58" i="22" s="1"/>
  <c r="AC58" i="22" s="1"/>
  <c r="AD58" i="22" s="1"/>
  <c r="AE58" i="22" s="1"/>
  <c r="AF58" i="22" s="1"/>
  <c r="AG58" i="22" s="1"/>
  <c r="G55" i="22"/>
  <c r="H55" i="22" s="1"/>
  <c r="I55" i="22" s="1"/>
  <c r="J55" i="22" s="1"/>
  <c r="K55" i="22" s="1"/>
  <c r="L55" i="22" s="1"/>
  <c r="M55" i="22" s="1"/>
  <c r="N55" i="22" s="1"/>
  <c r="O55" i="22" s="1"/>
  <c r="P55" i="22" s="1"/>
  <c r="Q55" i="22" s="1"/>
  <c r="R55" i="22" s="1"/>
  <c r="S55" i="22" s="1"/>
  <c r="T55" i="22" s="1"/>
  <c r="U55" i="22" s="1"/>
  <c r="V55" i="22" s="1"/>
  <c r="W55" i="22" s="1"/>
  <c r="X55" i="22" s="1"/>
  <c r="Y55" i="22" s="1"/>
  <c r="Z55" i="22" s="1"/>
  <c r="AA55" i="22" s="1"/>
  <c r="AB55" i="22" s="1"/>
  <c r="AC55" i="22" s="1"/>
  <c r="AD55" i="22" s="1"/>
  <c r="AE55" i="22" s="1"/>
  <c r="AF55" i="22" s="1"/>
  <c r="AG55" i="22" s="1"/>
  <c r="F55" i="22"/>
  <c r="O53" i="22"/>
  <c r="P53" i="22" s="1"/>
  <c r="Q53" i="22" s="1"/>
  <c r="R53" i="22" s="1"/>
  <c r="S53" i="22" s="1"/>
  <c r="T53" i="22" s="1"/>
  <c r="U53" i="22" s="1"/>
  <c r="V53" i="22" s="1"/>
  <c r="W53" i="22" s="1"/>
  <c r="X53" i="22" s="1"/>
  <c r="Y53" i="22" s="1"/>
  <c r="Z53" i="22" s="1"/>
  <c r="AA53" i="22" s="1"/>
  <c r="AB53" i="22" s="1"/>
  <c r="AC53" i="22" s="1"/>
  <c r="AD53" i="22" s="1"/>
  <c r="AE53" i="22" s="1"/>
  <c r="AF53" i="22" s="1"/>
  <c r="AG53" i="22" s="1"/>
  <c r="M53" i="22"/>
  <c r="L53" i="22" s="1"/>
  <c r="K53" i="22" s="1"/>
  <c r="J53" i="22"/>
  <c r="I53" i="22" s="1"/>
  <c r="H53" i="22" s="1"/>
  <c r="G53" i="22" s="1"/>
  <c r="F53" i="22" s="1"/>
  <c r="E53" i="22" s="1"/>
  <c r="D53" i="22" s="1"/>
  <c r="C53" i="22" s="1"/>
  <c r="B53" i="22" s="1"/>
  <c r="A53" i="22" s="1"/>
  <c r="D41" i="22"/>
  <c r="E41" i="22" s="1"/>
  <c r="R31" i="22"/>
  <c r="R30" i="22"/>
  <c r="R29" i="22" s="1"/>
  <c r="R28" i="22" s="1"/>
  <c r="R27" i="22" s="1"/>
  <c r="R26" i="22" s="1"/>
  <c r="R25" i="22" s="1"/>
  <c r="R24" i="22" s="1"/>
  <c r="R23" i="22" s="1"/>
  <c r="R22" i="22" s="1"/>
  <c r="R21" i="22" s="1"/>
  <c r="R20" i="22" s="1"/>
  <c r="R19" i="22" s="1"/>
  <c r="Q24" i="22"/>
  <c r="P24" i="22"/>
  <c r="P25" i="22" s="1"/>
  <c r="P26" i="22" s="1"/>
  <c r="Q26" i="22" s="1"/>
  <c r="Q23" i="22"/>
  <c r="P22" i="22"/>
  <c r="Q22" i="22" s="1"/>
  <c r="P21" i="22"/>
  <c r="P20" i="22" s="1"/>
  <c r="AM8" i="22"/>
  <c r="AN8" i="22" s="1"/>
  <c r="AO8" i="22" s="1"/>
  <c r="AP8" i="22" s="1"/>
  <c r="AQ8" i="22" s="1"/>
  <c r="AR8" i="22" s="1"/>
  <c r="AS8" i="22" s="1"/>
  <c r="AT8" i="22" s="1"/>
  <c r="AU8" i="22" s="1"/>
  <c r="AV8" i="22" s="1"/>
  <c r="AW8" i="22" s="1"/>
  <c r="AX8" i="22" s="1"/>
  <c r="AY8" i="22" s="1"/>
  <c r="AZ8" i="22" s="1"/>
  <c r="BA8" i="22" s="1"/>
  <c r="BB8" i="22" s="1"/>
  <c r="BC8" i="22" s="1"/>
  <c r="BD8" i="22" s="1"/>
  <c r="BE8" i="22" s="1"/>
  <c r="AB8" i="22"/>
  <c r="AC8" i="22" s="1"/>
  <c r="AD8" i="22" s="1"/>
  <c r="AE8" i="22" s="1"/>
  <c r="AF8" i="22" s="1"/>
  <c r="AG8" i="22" s="1"/>
  <c r="Z8" i="22"/>
  <c r="Y8" i="22" s="1"/>
  <c r="X8" i="22" s="1"/>
  <c r="W8" i="22" s="1"/>
  <c r="V8" i="22" s="1"/>
  <c r="U8" i="22" s="1"/>
  <c r="T8" i="22" s="1"/>
  <c r="S8" i="22" s="1"/>
  <c r="R8" i="22"/>
  <c r="Q8" i="22" s="1"/>
  <c r="P8" i="22" s="1"/>
  <c r="O8" i="22" s="1"/>
  <c r="N8" i="22" s="1"/>
  <c r="M8" i="22" s="1"/>
  <c r="L8" i="22" s="1"/>
  <c r="K8" i="22" s="1"/>
  <c r="J8" i="22" s="1"/>
  <c r="I8" i="22" s="1"/>
  <c r="H8" i="22" s="1"/>
  <c r="G8" i="22" s="1"/>
  <c r="F8" i="22" s="1"/>
  <c r="E8" i="22" s="1"/>
  <c r="D8" i="22" s="1"/>
  <c r="C8" i="22" s="1"/>
  <c r="B8" i="22" s="1"/>
  <c r="A8" i="22" s="1"/>
  <c r="AM7" i="22"/>
  <c r="AN7" i="22" s="1"/>
  <c r="AO7" i="22" s="1"/>
  <c r="AP7" i="22" s="1"/>
  <c r="AQ7" i="22" s="1"/>
  <c r="AR7" i="22" s="1"/>
  <c r="AS7" i="22" s="1"/>
  <c r="AT7" i="22" s="1"/>
  <c r="AU7" i="22" s="1"/>
  <c r="AV7" i="22" s="1"/>
  <c r="AW7" i="22" s="1"/>
  <c r="AX7" i="22" s="1"/>
  <c r="AY7" i="22" s="1"/>
  <c r="AZ7" i="22" s="1"/>
  <c r="BA7" i="22" s="1"/>
  <c r="BB7" i="22" s="1"/>
  <c r="BC7" i="22" s="1"/>
  <c r="BD7" i="22" s="1"/>
  <c r="BE7" i="22" s="1"/>
  <c r="AB7" i="22"/>
  <c r="AC7" i="22" s="1"/>
  <c r="AD7" i="22" s="1"/>
  <c r="AE7" i="22" s="1"/>
  <c r="AF7" i="22" s="1"/>
  <c r="AG7" i="22" s="1"/>
  <c r="Z7" i="22"/>
  <c r="Y7" i="22" s="1"/>
  <c r="X7" i="22" s="1"/>
  <c r="W7" i="22" s="1"/>
  <c r="V7" i="22" s="1"/>
  <c r="U7" i="22" s="1"/>
  <c r="T7" i="22" s="1"/>
  <c r="S7" i="22" s="1"/>
  <c r="R7" i="22" s="1"/>
  <c r="Q7" i="22" s="1"/>
  <c r="P7" i="22" s="1"/>
  <c r="O7" i="22" s="1"/>
  <c r="N7" i="22" s="1"/>
  <c r="M7" i="22" s="1"/>
  <c r="L7" i="22" s="1"/>
  <c r="K7" i="22" s="1"/>
  <c r="J7" i="22" s="1"/>
  <c r="I7" i="22" s="1"/>
  <c r="H7" i="22" s="1"/>
  <c r="G7" i="22" s="1"/>
  <c r="F7" i="22" s="1"/>
  <c r="E7" i="22" s="1"/>
  <c r="D7" i="22" s="1"/>
  <c r="C7" i="22" s="1"/>
  <c r="B7" i="22" s="1"/>
  <c r="A7" i="22" s="1"/>
  <c r="AM6" i="22"/>
  <c r="AN6" i="22" s="1"/>
  <c r="AO6" i="22" s="1"/>
  <c r="AP6" i="22" s="1"/>
  <c r="AQ6" i="22" s="1"/>
  <c r="AR6" i="22" s="1"/>
  <c r="AS6" i="22" s="1"/>
  <c r="AT6" i="22" s="1"/>
  <c r="AU6" i="22" s="1"/>
  <c r="AV6" i="22" s="1"/>
  <c r="AW6" i="22" s="1"/>
  <c r="AX6" i="22" s="1"/>
  <c r="AY6" i="22" s="1"/>
  <c r="AZ6" i="22" s="1"/>
  <c r="BA6" i="22" s="1"/>
  <c r="BB6" i="22" s="1"/>
  <c r="BC6" i="22" s="1"/>
  <c r="BD6" i="22" s="1"/>
  <c r="BE6" i="22" s="1"/>
  <c r="AB6" i="22"/>
  <c r="AC6" i="22" s="1"/>
  <c r="AD6" i="22" s="1"/>
  <c r="AE6" i="22" s="1"/>
  <c r="AF6" i="22" s="1"/>
  <c r="AG6" i="22" s="1"/>
  <c r="Z6" i="22"/>
  <c r="Y6" i="22" s="1"/>
  <c r="X6" i="22" s="1"/>
  <c r="W6" i="22" s="1"/>
  <c r="V6" i="22" s="1"/>
  <c r="U6" i="22" s="1"/>
  <c r="T6" i="22" s="1"/>
  <c r="S6" i="22" s="1"/>
  <c r="R6" i="22" s="1"/>
  <c r="J6" i="22"/>
  <c r="K6" i="22" s="1"/>
  <c r="L6" i="22" s="1"/>
  <c r="M6" i="22" s="1"/>
  <c r="N6" i="22" s="1"/>
  <c r="O6" i="22" s="1"/>
  <c r="P6" i="22" s="1"/>
  <c r="Q6" i="22" s="1"/>
  <c r="B6" i="22"/>
  <c r="C6" i="22" s="1"/>
  <c r="D6" i="22" s="1"/>
  <c r="E6" i="22" s="1"/>
  <c r="F6" i="22" s="1"/>
  <c r="G6" i="22" s="1"/>
  <c r="H6" i="22" s="1"/>
  <c r="I6" i="22" s="1"/>
  <c r="B519" i="10"/>
  <c r="B518" i="10"/>
  <c r="B517" i="10"/>
  <c r="B516" i="10"/>
  <c r="B515" i="10"/>
  <c r="B514" i="10"/>
  <c r="B513" i="10"/>
  <c r="B512" i="10"/>
  <c r="B511" i="10"/>
  <c r="B510" i="10"/>
  <c r="B509" i="10"/>
  <c r="B508" i="10"/>
  <c r="B507" i="10"/>
  <c r="B506" i="10"/>
  <c r="B505" i="10"/>
  <c r="B504" i="10"/>
  <c r="B503" i="10"/>
  <c r="B502" i="10"/>
  <c r="B501" i="10"/>
  <c r="B500" i="10"/>
  <c r="B499" i="10"/>
  <c r="B498" i="10"/>
  <c r="B497" i="10"/>
  <c r="B496" i="10"/>
  <c r="B495" i="10"/>
  <c r="B494" i="10"/>
  <c r="B493" i="10"/>
  <c r="B492" i="10"/>
  <c r="B491" i="10"/>
  <c r="B490" i="10"/>
  <c r="B489" i="10"/>
  <c r="B488" i="10"/>
  <c r="B487" i="10"/>
  <c r="B486" i="10"/>
  <c r="B485" i="10"/>
  <c r="B484" i="10"/>
  <c r="B483" i="10"/>
  <c r="B482" i="10"/>
  <c r="B481" i="10"/>
  <c r="B480" i="10"/>
  <c r="B479" i="10"/>
  <c r="B478" i="10"/>
  <c r="B477" i="10"/>
  <c r="B476" i="10"/>
  <c r="B475" i="10"/>
  <c r="B474" i="10"/>
  <c r="B473" i="10"/>
  <c r="B472" i="10"/>
  <c r="B471" i="10"/>
  <c r="B470" i="10"/>
  <c r="B469" i="10"/>
  <c r="B468" i="10"/>
  <c r="B467" i="10"/>
  <c r="B466" i="10"/>
  <c r="B465" i="10"/>
  <c r="B464" i="10"/>
  <c r="B463" i="10"/>
  <c r="B462" i="10"/>
  <c r="B461" i="10"/>
  <c r="B460" i="10"/>
  <c r="B459" i="10"/>
  <c r="B458" i="10"/>
  <c r="B457" i="10"/>
  <c r="B456" i="10"/>
  <c r="B455" i="10"/>
  <c r="B454" i="10"/>
  <c r="B453" i="10"/>
  <c r="B452" i="10"/>
  <c r="B451" i="10"/>
  <c r="B450" i="10"/>
  <c r="B449" i="10"/>
  <c r="B448" i="10"/>
  <c r="B447" i="10"/>
  <c r="B446" i="10"/>
  <c r="B445" i="10"/>
  <c r="B444" i="10"/>
  <c r="B443" i="10"/>
  <c r="B442" i="10"/>
  <c r="B441" i="10"/>
  <c r="B440" i="10"/>
  <c r="B439" i="10"/>
  <c r="B438" i="10"/>
  <c r="B437" i="10"/>
  <c r="B436" i="10"/>
  <c r="B435" i="10"/>
  <c r="B434" i="10"/>
  <c r="B433" i="10"/>
  <c r="B432" i="10"/>
  <c r="B431" i="10"/>
  <c r="B430" i="10"/>
  <c r="B429" i="10"/>
  <c r="B428" i="10"/>
  <c r="B427" i="10"/>
  <c r="B426" i="10"/>
  <c r="B425" i="10"/>
  <c r="B424" i="10"/>
  <c r="B423" i="10"/>
  <c r="B422" i="10"/>
  <c r="B421" i="10"/>
  <c r="B420" i="10"/>
  <c r="B419" i="10"/>
  <c r="B418" i="10"/>
  <c r="B417" i="10"/>
  <c r="B416" i="10"/>
  <c r="B415" i="10"/>
  <c r="B414" i="10"/>
  <c r="B413" i="10"/>
  <c r="B412" i="10"/>
  <c r="B411" i="10"/>
  <c r="B410" i="10"/>
  <c r="B409" i="10"/>
  <c r="B408" i="10"/>
  <c r="B407" i="10"/>
  <c r="B406" i="10"/>
  <c r="B405" i="10"/>
  <c r="B404" i="10"/>
  <c r="B403" i="10"/>
  <c r="B402" i="10"/>
  <c r="B401" i="10"/>
  <c r="B400" i="10"/>
  <c r="B399" i="10"/>
  <c r="B398" i="10"/>
  <c r="B397" i="10"/>
  <c r="B396" i="10"/>
  <c r="B395" i="10"/>
  <c r="B394" i="10"/>
  <c r="B393" i="10"/>
  <c r="B392" i="10"/>
  <c r="B391" i="10"/>
  <c r="B390" i="10"/>
  <c r="B389" i="10"/>
  <c r="B388" i="10"/>
  <c r="B387" i="10"/>
  <c r="B386" i="10"/>
  <c r="B385" i="10"/>
  <c r="B384" i="10"/>
  <c r="B383" i="10"/>
  <c r="B382" i="10"/>
  <c r="B381" i="10"/>
  <c r="B380" i="10"/>
  <c r="B379" i="10"/>
  <c r="B378" i="10"/>
  <c r="B377" i="10"/>
  <c r="B376" i="10"/>
  <c r="B375" i="10"/>
  <c r="B374" i="10"/>
  <c r="B373" i="10"/>
  <c r="B372" i="10"/>
  <c r="B371" i="10"/>
  <c r="B370" i="10"/>
  <c r="B369" i="10"/>
  <c r="B368" i="10"/>
  <c r="B367" i="10"/>
  <c r="B366" i="10"/>
  <c r="B365" i="10"/>
  <c r="B364" i="10"/>
  <c r="B363" i="10"/>
  <c r="B362" i="10"/>
  <c r="B361" i="10"/>
  <c r="B360" i="10"/>
  <c r="B359" i="10"/>
  <c r="B358" i="10"/>
  <c r="B357" i="10"/>
  <c r="B356" i="10"/>
  <c r="B355" i="10"/>
  <c r="B354" i="10"/>
  <c r="B353" i="10"/>
  <c r="B352" i="10"/>
  <c r="B351" i="10"/>
  <c r="B350" i="10"/>
  <c r="B349" i="10"/>
  <c r="B348" i="10"/>
  <c r="B347" i="10"/>
  <c r="B346" i="10"/>
  <c r="B345" i="10"/>
  <c r="B344" i="10"/>
  <c r="B343" i="10"/>
  <c r="B342" i="10"/>
  <c r="B341" i="10"/>
  <c r="B340" i="10"/>
  <c r="B339" i="10"/>
  <c r="B338" i="10"/>
  <c r="B337" i="10"/>
  <c r="B336" i="10"/>
  <c r="B335" i="10"/>
  <c r="B334" i="10"/>
  <c r="B333" i="10"/>
  <c r="B332" i="10"/>
  <c r="B331" i="10"/>
  <c r="B330" i="10"/>
  <c r="B329" i="10"/>
  <c r="B328" i="10"/>
  <c r="B327" i="10"/>
  <c r="B326" i="10"/>
  <c r="B325" i="10"/>
  <c r="B324" i="10"/>
  <c r="B323" i="10"/>
  <c r="B322" i="10"/>
  <c r="B321" i="10"/>
  <c r="B320" i="10"/>
  <c r="B319" i="10"/>
  <c r="B318" i="10"/>
  <c r="B317" i="10"/>
  <c r="B316" i="10"/>
  <c r="B315" i="10"/>
  <c r="B314" i="10"/>
  <c r="B313" i="10"/>
  <c r="B312" i="10"/>
  <c r="B311" i="10"/>
  <c r="B310" i="10"/>
  <c r="B309" i="10"/>
  <c r="B308" i="10"/>
  <c r="B307" i="10"/>
  <c r="B306" i="10"/>
  <c r="B305" i="10"/>
  <c r="B304" i="10"/>
  <c r="B303" i="10"/>
  <c r="B302" i="10"/>
  <c r="B301" i="10"/>
  <c r="B300" i="10"/>
  <c r="B299" i="10"/>
  <c r="B298" i="10"/>
  <c r="B297" i="10"/>
  <c r="B296" i="10"/>
  <c r="B295" i="10"/>
  <c r="B294" i="10"/>
  <c r="B293" i="10"/>
  <c r="B292" i="10"/>
  <c r="B291" i="10"/>
  <c r="B290" i="10"/>
  <c r="B289" i="10"/>
  <c r="B288" i="10"/>
  <c r="B287" i="10"/>
  <c r="B286" i="10"/>
  <c r="B285" i="10"/>
  <c r="B284" i="10"/>
  <c r="B283" i="10"/>
  <c r="B282" i="10"/>
  <c r="B281" i="10"/>
  <c r="B280" i="10"/>
  <c r="B279" i="10"/>
  <c r="B278" i="10"/>
  <c r="B277" i="10"/>
  <c r="B276" i="10"/>
  <c r="B275" i="10"/>
  <c r="B274" i="10"/>
  <c r="B273" i="10"/>
  <c r="B272" i="10"/>
  <c r="B271" i="10"/>
  <c r="B270" i="10"/>
  <c r="B269" i="10"/>
  <c r="B268" i="10"/>
  <c r="B267" i="10"/>
  <c r="B266" i="10"/>
  <c r="B265" i="10"/>
  <c r="B264" i="10"/>
  <c r="B263" i="10"/>
  <c r="B262"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O8" i="10"/>
  <c r="B8" i="10"/>
  <c r="N7" i="10"/>
  <c r="N8" i="10" s="1"/>
  <c r="C7" i="10"/>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C320" i="10" s="1"/>
  <c r="C321" i="10" s="1"/>
  <c r="C322" i="10" s="1"/>
  <c r="C323" i="10" s="1"/>
  <c r="C324" i="10" s="1"/>
  <c r="C325" i="10" s="1"/>
  <c r="C326" i="10" s="1"/>
  <c r="C327" i="10" s="1"/>
  <c r="C328" i="10" s="1"/>
  <c r="C329" i="10" s="1"/>
  <c r="C330" i="10" s="1"/>
  <c r="C331" i="10" s="1"/>
  <c r="C332" i="10" s="1"/>
  <c r="C333" i="10" s="1"/>
  <c r="C334" i="10" s="1"/>
  <c r="C335" i="10" s="1"/>
  <c r="C336" i="10" s="1"/>
  <c r="C337" i="10" s="1"/>
  <c r="C338" i="10" s="1"/>
  <c r="C339" i="10" s="1"/>
  <c r="C340" i="10" s="1"/>
  <c r="C341" i="10" s="1"/>
  <c r="C342" i="10" s="1"/>
  <c r="C343" i="10" s="1"/>
  <c r="C344" i="10" s="1"/>
  <c r="C345" i="10" s="1"/>
  <c r="C346" i="10" s="1"/>
  <c r="C347" i="10" s="1"/>
  <c r="C348" i="10" s="1"/>
  <c r="C349" i="10" s="1"/>
  <c r="C350" i="10" s="1"/>
  <c r="C351" i="10" s="1"/>
  <c r="C352" i="10" s="1"/>
  <c r="C353" i="10" s="1"/>
  <c r="C354" i="10" s="1"/>
  <c r="C355" i="10" s="1"/>
  <c r="C356" i="10" s="1"/>
  <c r="C357" i="10" s="1"/>
  <c r="C358" i="10" s="1"/>
  <c r="C359" i="10" s="1"/>
  <c r="C360" i="10" s="1"/>
  <c r="C361" i="10" s="1"/>
  <c r="C362" i="10" s="1"/>
  <c r="C363" i="10" s="1"/>
  <c r="C364" i="10" s="1"/>
  <c r="C365" i="10" s="1"/>
  <c r="C366" i="10" s="1"/>
  <c r="C367" i="10" s="1"/>
  <c r="C368" i="10" s="1"/>
  <c r="C369" i="10" s="1"/>
  <c r="C370" i="10" s="1"/>
  <c r="C371" i="10" s="1"/>
  <c r="C372" i="10" s="1"/>
  <c r="C373" i="10" s="1"/>
  <c r="C374" i="10" s="1"/>
  <c r="C375" i="10" s="1"/>
  <c r="C376" i="10" s="1"/>
  <c r="C377" i="10" s="1"/>
  <c r="C378" i="10" s="1"/>
  <c r="C379" i="10" s="1"/>
  <c r="C380" i="10" s="1"/>
  <c r="C381" i="10" s="1"/>
  <c r="C382" i="10" s="1"/>
  <c r="C383" i="10" s="1"/>
  <c r="C384" i="10" s="1"/>
  <c r="C385" i="10" s="1"/>
  <c r="C386" i="10" s="1"/>
  <c r="C387" i="10" s="1"/>
  <c r="C388" i="10" s="1"/>
  <c r="C389" i="10" s="1"/>
  <c r="C390" i="10" s="1"/>
  <c r="C391" i="10" s="1"/>
  <c r="C392" i="10" s="1"/>
  <c r="C393" i="10" s="1"/>
  <c r="C394" i="10" s="1"/>
  <c r="C395" i="10" s="1"/>
  <c r="C396" i="10" s="1"/>
  <c r="C397" i="10" s="1"/>
  <c r="C398" i="10" s="1"/>
  <c r="C399" i="10" s="1"/>
  <c r="C400" i="10" s="1"/>
  <c r="C401" i="10" s="1"/>
  <c r="C402" i="10" s="1"/>
  <c r="C403" i="10" s="1"/>
  <c r="C404" i="10" s="1"/>
  <c r="C405" i="10" s="1"/>
  <c r="C406" i="10" s="1"/>
  <c r="C407" i="10" s="1"/>
  <c r="C408" i="10" s="1"/>
  <c r="C409" i="10" s="1"/>
  <c r="C410" i="10" s="1"/>
  <c r="C411" i="10" s="1"/>
  <c r="C412" i="10" s="1"/>
  <c r="C413" i="10" s="1"/>
  <c r="C414" i="10" s="1"/>
  <c r="C415" i="10" s="1"/>
  <c r="C416" i="10" s="1"/>
  <c r="C417" i="10" s="1"/>
  <c r="C418" i="10" s="1"/>
  <c r="C419" i="10" s="1"/>
  <c r="C420" i="10" s="1"/>
  <c r="C421" i="10" s="1"/>
  <c r="C422" i="10" s="1"/>
  <c r="C423" i="10" s="1"/>
  <c r="C424" i="10" s="1"/>
  <c r="C425" i="10" s="1"/>
  <c r="C426" i="10" s="1"/>
  <c r="C427" i="10" s="1"/>
  <c r="C428" i="10" s="1"/>
  <c r="C429" i="10" s="1"/>
  <c r="C430" i="10" s="1"/>
  <c r="C431" i="10" s="1"/>
  <c r="C432" i="10" s="1"/>
  <c r="C433" i="10" s="1"/>
  <c r="C434" i="10" s="1"/>
  <c r="C435" i="10" s="1"/>
  <c r="C436" i="10" s="1"/>
  <c r="C437" i="10" s="1"/>
  <c r="C438" i="10" s="1"/>
  <c r="C439" i="10" s="1"/>
  <c r="C440" i="10" s="1"/>
  <c r="C441" i="10" s="1"/>
  <c r="C442" i="10" s="1"/>
  <c r="C443" i="10" s="1"/>
  <c r="C444" i="10" s="1"/>
  <c r="C445" i="10" s="1"/>
  <c r="C446" i="10" s="1"/>
  <c r="C447" i="10" s="1"/>
  <c r="C448" i="10" s="1"/>
  <c r="C449" i="10" s="1"/>
  <c r="C450" i="10" s="1"/>
  <c r="C451" i="10" s="1"/>
  <c r="C452" i="10" s="1"/>
  <c r="C453" i="10" s="1"/>
  <c r="C454" i="10" s="1"/>
  <c r="C455" i="10" s="1"/>
  <c r="C456" i="10" s="1"/>
  <c r="C457" i="10" s="1"/>
  <c r="C458" i="10" s="1"/>
  <c r="C459" i="10" s="1"/>
  <c r="C460" i="10" s="1"/>
  <c r="C461" i="10" s="1"/>
  <c r="C462" i="10" s="1"/>
  <c r="C463" i="10" s="1"/>
  <c r="C464" i="10" s="1"/>
  <c r="C465" i="10" s="1"/>
  <c r="C466" i="10" s="1"/>
  <c r="C467" i="10" s="1"/>
  <c r="C468" i="10" s="1"/>
  <c r="C469" i="10" s="1"/>
  <c r="C470" i="10" s="1"/>
  <c r="C471" i="10" s="1"/>
  <c r="C472" i="10" s="1"/>
  <c r="C473" i="10" s="1"/>
  <c r="C474" i="10" s="1"/>
  <c r="C475" i="10" s="1"/>
  <c r="C476" i="10" s="1"/>
  <c r="C477" i="10" s="1"/>
  <c r="C478" i="10" s="1"/>
  <c r="C479" i="10" s="1"/>
  <c r="C480" i="10" s="1"/>
  <c r="C481" i="10" s="1"/>
  <c r="C482" i="10" s="1"/>
  <c r="C483" i="10" s="1"/>
  <c r="C484" i="10" s="1"/>
  <c r="C485" i="10" s="1"/>
  <c r="C486" i="10" s="1"/>
  <c r="C487" i="10" s="1"/>
  <c r="C488" i="10" s="1"/>
  <c r="C489" i="10" s="1"/>
  <c r="C490" i="10" s="1"/>
  <c r="C491" i="10" s="1"/>
  <c r="C492" i="10" s="1"/>
  <c r="C493" i="10" s="1"/>
  <c r="C494" i="10" s="1"/>
  <c r="C495" i="10" s="1"/>
  <c r="C496" i="10" s="1"/>
  <c r="C497" i="10" s="1"/>
  <c r="C498" i="10" s="1"/>
  <c r="C499" i="10" s="1"/>
  <c r="C500" i="10" s="1"/>
  <c r="C501" i="10" s="1"/>
  <c r="C502" i="10" s="1"/>
  <c r="C503" i="10" s="1"/>
  <c r="C504" i="10" s="1"/>
  <c r="C505" i="10" s="1"/>
  <c r="C506" i="10" s="1"/>
  <c r="C507" i="10" s="1"/>
  <c r="C508" i="10" s="1"/>
  <c r="C509" i="10" s="1"/>
  <c r="C510" i="10" s="1"/>
  <c r="C511" i="10" s="1"/>
  <c r="C512" i="10" s="1"/>
  <c r="C513" i="10" s="1"/>
  <c r="C514" i="10" s="1"/>
  <c r="C515" i="10" s="1"/>
  <c r="C516" i="10" s="1"/>
  <c r="C517" i="10" s="1"/>
  <c r="C518" i="10" s="1"/>
  <c r="C519" i="10" s="1"/>
  <c r="C520" i="10" s="1"/>
  <c r="C521" i="10" s="1"/>
  <c r="C522" i="10" s="1"/>
  <c r="C523" i="10" s="1"/>
  <c r="C524" i="10" s="1"/>
  <c r="C525" i="10" s="1"/>
  <c r="C526" i="10" s="1"/>
  <c r="C527" i="10" s="1"/>
  <c r="C528" i="10" s="1"/>
  <c r="C529" i="10" s="1"/>
  <c r="C530" i="10" s="1"/>
  <c r="C531" i="10" s="1"/>
  <c r="C532" i="10" s="1"/>
  <c r="C533" i="10" s="1"/>
  <c r="C534" i="10" s="1"/>
  <c r="C535" i="10" s="1"/>
  <c r="C536" i="10" s="1"/>
  <c r="C537" i="10" s="1"/>
  <c r="C538" i="10" s="1"/>
  <c r="C539" i="10" s="1"/>
  <c r="C540" i="10" s="1"/>
  <c r="C541" i="10" s="1"/>
  <c r="C542" i="10" s="1"/>
  <c r="C543" i="10" s="1"/>
  <c r="C544" i="10" s="1"/>
  <c r="C545" i="10" s="1"/>
  <c r="C546" i="10" s="1"/>
  <c r="C547" i="10" s="1"/>
  <c r="C548" i="10" s="1"/>
  <c r="C549" i="10" s="1"/>
  <c r="C550" i="10" s="1"/>
  <c r="C551" i="10" s="1"/>
  <c r="C552" i="10" s="1"/>
  <c r="C553" i="10" s="1"/>
  <c r="C554" i="10" s="1"/>
  <c r="C555" i="10" s="1"/>
  <c r="C556" i="10" s="1"/>
  <c r="C557" i="10" s="1"/>
  <c r="C558" i="10" s="1"/>
  <c r="C559" i="10" s="1"/>
  <c r="C560" i="10" s="1"/>
  <c r="C561" i="10" s="1"/>
  <c r="C562" i="10" s="1"/>
  <c r="C563" i="10" s="1"/>
  <c r="C564" i="10" s="1"/>
  <c r="C565" i="10" s="1"/>
  <c r="C566" i="10" s="1"/>
  <c r="C567" i="10" s="1"/>
  <c r="C568" i="10" s="1"/>
  <c r="C569" i="10" s="1"/>
  <c r="C570" i="10" s="1"/>
  <c r="C571" i="10" s="1"/>
  <c r="C572" i="10" s="1"/>
  <c r="C573" i="10" s="1"/>
  <c r="C574" i="10" s="1"/>
  <c r="C575" i="10" s="1"/>
  <c r="C576" i="10" s="1"/>
  <c r="C577" i="10" s="1"/>
  <c r="C578" i="10" s="1"/>
  <c r="C579" i="10" s="1"/>
  <c r="C580" i="10" s="1"/>
  <c r="C581" i="10" s="1"/>
  <c r="C582" i="10" s="1"/>
  <c r="C583" i="10" s="1"/>
  <c r="C584" i="10" s="1"/>
  <c r="C585" i="10" s="1"/>
  <c r="C586" i="10" s="1"/>
  <c r="C587" i="10" s="1"/>
  <c r="C588" i="10" s="1"/>
  <c r="C589" i="10" s="1"/>
  <c r="C590" i="10" s="1"/>
  <c r="C591" i="10" s="1"/>
  <c r="C592" i="10" s="1"/>
  <c r="C593" i="10" s="1"/>
  <c r="C594" i="10" s="1"/>
  <c r="C595" i="10" s="1"/>
  <c r="C596" i="10" s="1"/>
  <c r="C597" i="10" s="1"/>
  <c r="C598" i="10" s="1"/>
  <c r="C599" i="10" s="1"/>
  <c r="C600" i="10" s="1"/>
  <c r="C601" i="10" s="1"/>
  <c r="C602" i="10" s="1"/>
  <c r="C603" i="10" s="1"/>
  <c r="C604" i="10" s="1"/>
  <c r="C605" i="10" s="1"/>
  <c r="C606" i="10" s="1"/>
  <c r="C607" i="10" s="1"/>
  <c r="Z6" i="10"/>
  <c r="Y6" i="10"/>
  <c r="X6" i="10"/>
  <c r="W6" i="10"/>
  <c r="V6" i="10"/>
  <c r="U6" i="10"/>
  <c r="T6" i="10"/>
  <c r="S6" i="10"/>
  <c r="R6" i="10"/>
  <c r="Q6" i="10"/>
  <c r="Q5" i="10"/>
  <c r="R5" i="10" s="1"/>
  <c r="D2" i="10"/>
  <c r="D1" i="10"/>
  <c r="F39" i="4"/>
  <c r="E20" i="4"/>
  <c r="AN14" i="4"/>
  <c r="Z3" i="10" s="1"/>
  <c r="AM14" i="4"/>
  <c r="AL14" i="4"/>
  <c r="AK14" i="4"/>
  <c r="AJ14" i="4"/>
  <c r="AI14" i="4"/>
  <c r="AH14" i="4"/>
  <c r="AG14" i="4"/>
  <c r="AF14" i="4"/>
  <c r="AE14" i="4"/>
  <c r="AD14" i="4"/>
  <c r="AC14" i="4"/>
  <c r="AB14" i="4"/>
  <c r="AA14" i="4"/>
  <c r="Y3" i="10" s="1"/>
  <c r="Z14" i="4"/>
  <c r="X3" i="10" s="1"/>
  <c r="Y14" i="4"/>
  <c r="W3" i="10" s="1"/>
  <c r="X14" i="4"/>
  <c r="V3" i="10" s="1"/>
  <c r="W14" i="4"/>
  <c r="U3" i="10" s="1"/>
  <c r="V14" i="4"/>
  <c r="T3" i="10" s="1"/>
  <c r="U14" i="4"/>
  <c r="S3" i="10" s="1"/>
  <c r="T14" i="4"/>
  <c r="R3" i="10" s="1"/>
  <c r="S14" i="4"/>
  <c r="Q3" i="10" s="1"/>
  <c r="R14" i="4"/>
  <c r="Q14" i="4"/>
  <c r="P14" i="4"/>
  <c r="O14" i="4"/>
  <c r="N14" i="4"/>
  <c r="M14" i="4"/>
  <c r="L14" i="4"/>
  <c r="K14" i="4"/>
  <c r="J14" i="4"/>
  <c r="I14" i="4"/>
  <c r="H14" i="4"/>
  <c r="G14" i="4"/>
  <c r="F14" i="4"/>
  <c r="E14" i="4"/>
  <c r="D51" i="24"/>
  <c r="AN48" i="24"/>
  <c r="AN50" i="24" s="1"/>
  <c r="AM48" i="24"/>
  <c r="AM50" i="24" s="1"/>
  <c r="AL48" i="24"/>
  <c r="AL50" i="24" s="1"/>
  <c r="AK48" i="24"/>
  <c r="AK50" i="24" s="1"/>
  <c r="AJ48" i="24"/>
  <c r="AJ50" i="24" s="1"/>
  <c r="AI48" i="24"/>
  <c r="AI50" i="24" s="1"/>
  <c r="AH48" i="24"/>
  <c r="AH50" i="24" s="1"/>
  <c r="AG48" i="24"/>
  <c r="AG50" i="24" s="1"/>
  <c r="AF48" i="24"/>
  <c r="AF50" i="24" s="1"/>
  <c r="AE48" i="24"/>
  <c r="AE50" i="24" s="1"/>
  <c r="AD48" i="24"/>
  <c r="AD50" i="24" s="1"/>
  <c r="AC48" i="24"/>
  <c r="AC50" i="24" s="1"/>
  <c r="AB48" i="24"/>
  <c r="AB50" i="24" s="1"/>
  <c r="AA48" i="24"/>
  <c r="AA50" i="24" s="1"/>
  <c r="Z48" i="24"/>
  <c r="Z50" i="24" s="1"/>
  <c r="Y48" i="24"/>
  <c r="Y50" i="24" s="1"/>
  <c r="X48" i="24"/>
  <c r="X50" i="24" s="1"/>
  <c r="W48" i="24"/>
  <c r="W50" i="24" s="1"/>
  <c r="V48" i="24"/>
  <c r="V50" i="24" s="1"/>
  <c r="U48" i="24"/>
  <c r="U50" i="24" s="1"/>
  <c r="T48" i="24"/>
  <c r="T50" i="24" s="1"/>
  <c r="S48" i="24"/>
  <c r="S50" i="24" s="1"/>
  <c r="R48" i="24"/>
  <c r="R50" i="24" s="1"/>
  <c r="Q48" i="24"/>
  <c r="Q50" i="24" s="1"/>
  <c r="P48" i="24"/>
  <c r="P50" i="24" s="1"/>
  <c r="O48" i="24"/>
  <c r="O50" i="24" s="1"/>
  <c r="N48" i="24"/>
  <c r="N50" i="24" s="1"/>
  <c r="M48" i="24"/>
  <c r="M50" i="24" s="1"/>
  <c r="L48" i="24"/>
  <c r="L50" i="24" s="1"/>
  <c r="K48" i="24"/>
  <c r="K50" i="24" s="1"/>
  <c r="J48" i="24"/>
  <c r="J50" i="24" s="1"/>
  <c r="I48" i="24"/>
  <c r="I50" i="24" s="1"/>
  <c r="H48" i="24"/>
  <c r="H50" i="24" s="1"/>
  <c r="G48" i="24"/>
  <c r="G50" i="24" s="1"/>
  <c r="F48" i="24"/>
  <c r="F50" i="24" s="1"/>
  <c r="E48" i="24"/>
  <c r="E50" i="24" s="1"/>
  <c r="AN47" i="24"/>
  <c r="AM47" i="24"/>
  <c r="AL47" i="24"/>
  <c r="AK47" i="24"/>
  <c r="AJ47" i="24"/>
  <c r="AI47" i="24"/>
  <c r="AH47" i="24"/>
  <c r="AG47" i="24"/>
  <c r="AF47" i="24"/>
  <c r="AE47" i="24"/>
  <c r="AD47" i="24"/>
  <c r="AC47" i="24"/>
  <c r="AB47" i="24"/>
  <c r="AA47" i="24"/>
  <c r="Z47" i="24"/>
  <c r="Y47" i="24"/>
  <c r="X47" i="24"/>
  <c r="W47" i="24"/>
  <c r="V47" i="24"/>
  <c r="U47" i="24"/>
  <c r="T47" i="24"/>
  <c r="S47" i="24"/>
  <c r="R47" i="24"/>
  <c r="Q47" i="24"/>
  <c r="P47" i="24"/>
  <c r="O47" i="24"/>
  <c r="N47" i="24"/>
  <c r="M47" i="24"/>
  <c r="L47" i="24"/>
  <c r="K47" i="24"/>
  <c r="J47" i="24"/>
  <c r="I47" i="24"/>
  <c r="H47" i="24"/>
  <c r="G47" i="24"/>
  <c r="F47" i="24"/>
  <c r="E47" i="24"/>
  <c r="AN46" i="24"/>
  <c r="AM46" i="24"/>
  <c r="AL46" i="24"/>
  <c r="AK46" i="24"/>
  <c r="AJ46" i="24"/>
  <c r="AI46" i="24"/>
  <c r="AH46" i="24"/>
  <c r="AG46" i="24"/>
  <c r="AF46" i="24"/>
  <c r="AE46" i="24"/>
  <c r="AD46" i="24"/>
  <c r="AC46" i="24"/>
  <c r="AB46" i="24"/>
  <c r="AA46" i="24"/>
  <c r="Z46" i="24"/>
  <c r="Y46" i="24"/>
  <c r="X46" i="24"/>
  <c r="W46" i="24"/>
  <c r="V46" i="24"/>
  <c r="U46" i="24"/>
  <c r="T46" i="24"/>
  <c r="S46" i="24"/>
  <c r="R46" i="24"/>
  <c r="Q46" i="24"/>
  <c r="P46" i="24"/>
  <c r="O46" i="24"/>
  <c r="N46" i="24"/>
  <c r="M46" i="24"/>
  <c r="L46" i="24"/>
  <c r="K46" i="24"/>
  <c r="J46" i="24"/>
  <c r="I46" i="24"/>
  <c r="H46" i="24"/>
  <c r="G46" i="24"/>
  <c r="F46" i="24"/>
  <c r="E46" i="24"/>
  <c r="AN42" i="24"/>
  <c r="AM42" i="24"/>
  <c r="AL42" i="24"/>
  <c r="AK42" i="24"/>
  <c r="AJ42" i="24"/>
  <c r="AI42" i="24"/>
  <c r="AH42" i="24"/>
  <c r="AG42" i="24"/>
  <c r="AF42" i="24"/>
  <c r="AE42" i="24"/>
  <c r="AD42" i="24"/>
  <c r="AC42" i="24"/>
  <c r="AB42" i="24"/>
  <c r="AA42" i="24"/>
  <c r="Z42" i="24"/>
  <c r="Y42" i="24"/>
  <c r="X42" i="24"/>
  <c r="W42" i="24"/>
  <c r="V42" i="24"/>
  <c r="U42" i="24"/>
  <c r="T42" i="24"/>
  <c r="S42" i="24"/>
  <c r="R42" i="24"/>
  <c r="Q42" i="24"/>
  <c r="P42" i="24"/>
  <c r="O42" i="24"/>
  <c r="N42" i="24"/>
  <c r="M42" i="24"/>
  <c r="L42" i="24"/>
  <c r="K42" i="24"/>
  <c r="J42" i="24"/>
  <c r="I42" i="24"/>
  <c r="H42" i="24"/>
  <c r="G42" i="24"/>
  <c r="F42" i="24"/>
  <c r="E42" i="24"/>
  <c r="AN41" i="24"/>
  <c r="AM41" i="24"/>
  <c r="AL41" i="24"/>
  <c r="AK41" i="24"/>
  <c r="AJ41" i="24"/>
  <c r="AI41" i="24"/>
  <c r="AH41" i="24"/>
  <c r="AG41" i="24"/>
  <c r="AF41" i="24"/>
  <c r="AE41" i="24"/>
  <c r="AD41" i="24"/>
  <c r="AC41" i="24"/>
  <c r="AB41" i="24"/>
  <c r="AA41" i="24"/>
  <c r="Z41" i="24"/>
  <c r="Y41" i="24"/>
  <c r="X41" i="24"/>
  <c r="W41" i="24"/>
  <c r="V41" i="24"/>
  <c r="U41" i="24"/>
  <c r="T41" i="24"/>
  <c r="S41" i="24"/>
  <c r="R41" i="24"/>
  <c r="Q41" i="24"/>
  <c r="P41" i="24"/>
  <c r="O41" i="24"/>
  <c r="N41" i="24"/>
  <c r="M41" i="24"/>
  <c r="L41" i="24"/>
  <c r="K41" i="24"/>
  <c r="J41" i="24"/>
  <c r="I41" i="24"/>
  <c r="H41" i="24"/>
  <c r="G41" i="24"/>
  <c r="F41" i="24"/>
  <c r="E41" i="24"/>
  <c r="AN40" i="24"/>
  <c r="AM40" i="24"/>
  <c r="AL40" i="24"/>
  <c r="AK40" i="24"/>
  <c r="AJ40" i="24"/>
  <c r="AI40" i="24"/>
  <c r="AH40" i="24"/>
  <c r="AG40" i="24"/>
  <c r="AF40" i="24"/>
  <c r="AE40" i="24"/>
  <c r="AD40" i="24"/>
  <c r="AC40" i="24"/>
  <c r="AB40" i="24"/>
  <c r="AA40" i="24"/>
  <c r="Z40" i="24"/>
  <c r="Y40" i="24"/>
  <c r="X40" i="24"/>
  <c r="W40" i="24"/>
  <c r="V40" i="24"/>
  <c r="U40" i="24"/>
  <c r="T40" i="24"/>
  <c r="S40" i="24"/>
  <c r="R40" i="24"/>
  <c r="Q40" i="24"/>
  <c r="P40" i="24"/>
  <c r="O40" i="24"/>
  <c r="N40" i="24"/>
  <c r="M40" i="24"/>
  <c r="L40" i="24"/>
  <c r="K40" i="24"/>
  <c r="J40" i="24"/>
  <c r="I40" i="24"/>
  <c r="H40" i="24"/>
  <c r="G40" i="24"/>
  <c r="F40" i="24"/>
  <c r="E40" i="24"/>
  <c r="AN39" i="24"/>
  <c r="AM39" i="24"/>
  <c r="AL39" i="24"/>
  <c r="AK39" i="24"/>
  <c r="AJ39" i="24"/>
  <c r="AI39" i="24"/>
  <c r="AH39" i="24"/>
  <c r="AG39" i="24"/>
  <c r="AF39" i="24"/>
  <c r="AE39" i="24"/>
  <c r="AD39" i="24"/>
  <c r="AC39" i="24"/>
  <c r="AB39" i="24"/>
  <c r="AA39" i="24"/>
  <c r="Z39" i="24"/>
  <c r="Y39" i="24"/>
  <c r="X39" i="24"/>
  <c r="W39" i="24"/>
  <c r="V39" i="24"/>
  <c r="U39" i="24"/>
  <c r="T39" i="24"/>
  <c r="S39" i="24"/>
  <c r="R39" i="24"/>
  <c r="Q39" i="24"/>
  <c r="P39" i="24"/>
  <c r="O39" i="24"/>
  <c r="N39" i="24"/>
  <c r="M39" i="24"/>
  <c r="L39" i="24"/>
  <c r="K39" i="24"/>
  <c r="J39" i="24"/>
  <c r="I39" i="24"/>
  <c r="H39" i="24"/>
  <c r="G39" i="24"/>
  <c r="F39" i="24"/>
  <c r="E39" i="24"/>
  <c r="AN35" i="24"/>
  <c r="AM35" i="24"/>
  <c r="AL35" i="24"/>
  <c r="AK35" i="24"/>
  <c r="AJ35" i="24"/>
  <c r="AI35" i="24"/>
  <c r="AH35" i="24"/>
  <c r="AG35" i="24"/>
  <c r="AF35" i="24"/>
  <c r="AE35" i="24"/>
  <c r="AD35" i="24"/>
  <c r="AC35" i="24"/>
  <c r="AB35" i="24"/>
  <c r="AA35" i="24"/>
  <c r="Z35" i="24"/>
  <c r="Y35" i="24"/>
  <c r="X35" i="24"/>
  <c r="W35" i="24"/>
  <c r="V35" i="24"/>
  <c r="U35" i="24"/>
  <c r="T35" i="24"/>
  <c r="S35" i="24"/>
  <c r="R35" i="24"/>
  <c r="Q35" i="24"/>
  <c r="P35" i="24"/>
  <c r="O35" i="24"/>
  <c r="N35" i="24"/>
  <c r="M35" i="24"/>
  <c r="L35" i="24"/>
  <c r="K35" i="24"/>
  <c r="J35" i="24"/>
  <c r="I35" i="24"/>
  <c r="H35" i="24"/>
  <c r="G35" i="24"/>
  <c r="F35" i="24"/>
  <c r="E35" i="24"/>
  <c r="AN34" i="24"/>
  <c r="AM34" i="24"/>
  <c r="AL34" i="24"/>
  <c r="AK34" i="24"/>
  <c r="AJ34" i="24"/>
  <c r="AI34" i="24"/>
  <c r="AH34" i="24"/>
  <c r="AG34" i="24"/>
  <c r="AF34" i="24"/>
  <c r="AE34" i="24"/>
  <c r="AD34" i="24"/>
  <c r="AC34" i="24"/>
  <c r="AB34" i="24"/>
  <c r="AA34" i="24"/>
  <c r="Z34" i="24"/>
  <c r="Y34" i="24"/>
  <c r="X34" i="24"/>
  <c r="W34" i="24"/>
  <c r="V34" i="24"/>
  <c r="U34" i="24"/>
  <c r="T34" i="24"/>
  <c r="S34" i="24"/>
  <c r="R34" i="24"/>
  <c r="Q34" i="24"/>
  <c r="P34" i="24"/>
  <c r="O34" i="24"/>
  <c r="N34" i="24"/>
  <c r="M34" i="24"/>
  <c r="L34" i="24"/>
  <c r="K34" i="24"/>
  <c r="J34" i="24"/>
  <c r="I34" i="24"/>
  <c r="H34" i="24"/>
  <c r="G34" i="24"/>
  <c r="F34" i="24"/>
  <c r="E34" i="24"/>
  <c r="AN33" i="24"/>
  <c r="AM33" i="24"/>
  <c r="AL33" i="24"/>
  <c r="AK33" i="24"/>
  <c r="AJ33" i="24"/>
  <c r="AI33" i="24"/>
  <c r="AH33" i="24"/>
  <c r="AG33" i="24"/>
  <c r="AF33" i="24"/>
  <c r="AE33" i="24"/>
  <c r="AD33" i="24"/>
  <c r="AC33" i="24"/>
  <c r="AB33" i="24"/>
  <c r="AA33" i="24"/>
  <c r="Z33" i="24"/>
  <c r="Y33" i="24"/>
  <c r="X33" i="24"/>
  <c r="W33" i="24"/>
  <c r="V33" i="24"/>
  <c r="U33" i="24"/>
  <c r="T33" i="24"/>
  <c r="S33" i="24"/>
  <c r="R33" i="24"/>
  <c r="Q33" i="24"/>
  <c r="P33" i="24"/>
  <c r="O33" i="24"/>
  <c r="N33" i="24"/>
  <c r="M33" i="24"/>
  <c r="L33" i="24"/>
  <c r="K33" i="24"/>
  <c r="J33" i="24"/>
  <c r="I33" i="24"/>
  <c r="H33" i="24"/>
  <c r="G33" i="24"/>
  <c r="F33" i="24"/>
  <c r="E33" i="24"/>
  <c r="AN32" i="24"/>
  <c r="AM32" i="24"/>
  <c r="AL32" i="24"/>
  <c r="AK32" i="24"/>
  <c r="AJ32" i="24"/>
  <c r="AI32" i="24"/>
  <c r="AH32" i="24"/>
  <c r="AG32" i="24"/>
  <c r="AF32" i="24"/>
  <c r="AE32" i="24"/>
  <c r="AD32" i="24"/>
  <c r="AC32" i="24"/>
  <c r="AB32" i="24"/>
  <c r="AA32" i="24"/>
  <c r="Z32" i="24"/>
  <c r="Y32" i="24"/>
  <c r="X32" i="24"/>
  <c r="W32" i="24"/>
  <c r="V32" i="24"/>
  <c r="U32" i="24"/>
  <c r="T32" i="24"/>
  <c r="S32" i="24"/>
  <c r="R32" i="24"/>
  <c r="Q32" i="24"/>
  <c r="P32" i="24"/>
  <c r="O32" i="24"/>
  <c r="N32" i="24"/>
  <c r="M32" i="24"/>
  <c r="L32" i="24"/>
  <c r="K32" i="24"/>
  <c r="J32" i="24"/>
  <c r="I32" i="24"/>
  <c r="H32" i="24"/>
  <c r="G32" i="24"/>
  <c r="F32" i="24"/>
  <c r="E32" i="24"/>
  <c r="AN28" i="24"/>
  <c r="AM28" i="24"/>
  <c r="AL28" i="24"/>
  <c r="AK28" i="24"/>
  <c r="AJ28" i="24"/>
  <c r="AI28" i="24"/>
  <c r="AH28" i="24"/>
  <c r="AG28" i="24"/>
  <c r="AF28" i="24"/>
  <c r="AE28" i="24"/>
  <c r="AD28" i="24"/>
  <c r="AC28" i="24"/>
  <c r="AB28" i="24"/>
  <c r="AA28" i="24"/>
  <c r="Z28" i="24"/>
  <c r="Y28" i="24"/>
  <c r="X28" i="24"/>
  <c r="W28" i="24"/>
  <c r="V28" i="24"/>
  <c r="U28" i="24"/>
  <c r="T28" i="24"/>
  <c r="S28" i="24"/>
  <c r="R28" i="24"/>
  <c r="Q28" i="24"/>
  <c r="P28" i="24"/>
  <c r="O28" i="24"/>
  <c r="N28" i="24"/>
  <c r="M28" i="24"/>
  <c r="L28" i="24"/>
  <c r="K28" i="24"/>
  <c r="J28" i="24"/>
  <c r="I28" i="24"/>
  <c r="H28" i="24"/>
  <c r="G28" i="24"/>
  <c r="F28" i="24"/>
  <c r="E28" i="24"/>
  <c r="AN27" i="24"/>
  <c r="AM27" i="24"/>
  <c r="AL27" i="24"/>
  <c r="AK27" i="24"/>
  <c r="AJ27" i="24"/>
  <c r="AI27" i="24"/>
  <c r="AH27" i="24"/>
  <c r="AG27" i="24"/>
  <c r="AF27" i="24"/>
  <c r="AE27" i="24"/>
  <c r="AD27" i="24"/>
  <c r="AC27" i="24"/>
  <c r="AB27" i="24"/>
  <c r="AA27" i="24"/>
  <c r="Z27" i="24"/>
  <c r="Y27" i="24"/>
  <c r="X27" i="24"/>
  <c r="W27" i="24"/>
  <c r="V27" i="24"/>
  <c r="U27" i="24"/>
  <c r="T27" i="24"/>
  <c r="S27" i="24"/>
  <c r="R27" i="24"/>
  <c r="Q27" i="24"/>
  <c r="P27" i="24"/>
  <c r="O27" i="24"/>
  <c r="N27" i="24"/>
  <c r="M27" i="24"/>
  <c r="L27" i="24"/>
  <c r="K27" i="24"/>
  <c r="J27" i="24"/>
  <c r="I27" i="24"/>
  <c r="H27" i="24"/>
  <c r="G27" i="24"/>
  <c r="F27" i="24"/>
  <c r="E27" i="24"/>
  <c r="AN26" i="24"/>
  <c r="AM26" i="24"/>
  <c r="AL26" i="24"/>
  <c r="AK26" i="24"/>
  <c r="AJ26" i="24"/>
  <c r="AI26" i="24"/>
  <c r="AH26" i="24"/>
  <c r="AG26" i="24"/>
  <c r="AF26" i="24"/>
  <c r="AE26" i="24"/>
  <c r="AD26" i="24"/>
  <c r="AC26" i="24"/>
  <c r="AB26" i="24"/>
  <c r="AA26" i="24"/>
  <c r="Z26" i="24"/>
  <c r="Y26" i="24"/>
  <c r="X26" i="24"/>
  <c r="W26" i="24"/>
  <c r="V26" i="24"/>
  <c r="U26" i="24"/>
  <c r="T26" i="24"/>
  <c r="S26" i="24"/>
  <c r="R26" i="24"/>
  <c r="Q26" i="24"/>
  <c r="P26" i="24"/>
  <c r="O26" i="24"/>
  <c r="N26" i="24"/>
  <c r="M26" i="24"/>
  <c r="L26" i="24"/>
  <c r="K26" i="24"/>
  <c r="J26" i="24"/>
  <c r="I26" i="24"/>
  <c r="H26" i="24"/>
  <c r="G26" i="24"/>
  <c r="F26" i="24"/>
  <c r="E26" i="24"/>
  <c r="AN25" i="24"/>
  <c r="AM25" i="24"/>
  <c r="AL25" i="24"/>
  <c r="AK25" i="24"/>
  <c r="AJ25" i="24"/>
  <c r="AI25" i="24"/>
  <c r="AH25" i="24"/>
  <c r="AG25" i="24"/>
  <c r="AF25" i="24"/>
  <c r="AE25" i="24"/>
  <c r="AD25" i="24"/>
  <c r="AC25" i="24"/>
  <c r="AB25" i="24"/>
  <c r="AA25" i="24"/>
  <c r="Z25" i="24"/>
  <c r="Y25" i="24"/>
  <c r="X25" i="24"/>
  <c r="W25" i="24"/>
  <c r="V25" i="24"/>
  <c r="U25" i="24"/>
  <c r="T25" i="24"/>
  <c r="S25" i="24"/>
  <c r="R25" i="24"/>
  <c r="Q25" i="24"/>
  <c r="P25" i="24"/>
  <c r="O25" i="24"/>
  <c r="N25" i="24"/>
  <c r="M25" i="24"/>
  <c r="L25" i="24"/>
  <c r="K25" i="24"/>
  <c r="J25" i="24"/>
  <c r="I25" i="24"/>
  <c r="H25" i="24"/>
  <c r="G25" i="24"/>
  <c r="F25" i="24"/>
  <c r="E25" i="24"/>
  <c r="I19" i="24"/>
  <c r="I18" i="24"/>
  <c r="I17" i="24"/>
  <c r="I16" i="24"/>
  <c r="I19" i="3"/>
  <c r="I18" i="3"/>
  <c r="I17" i="3"/>
  <c r="I16" i="3"/>
  <c r="F26" i="6"/>
  <c r="F23" i="6"/>
  <c r="F21" i="6"/>
  <c r="F16" i="6"/>
  <c r="E16" i="5"/>
  <c r="E15" i="5" s="1"/>
  <c r="E32" i="5" s="1"/>
  <c r="H12" i="1"/>
  <c r="H22" i="4" s="1"/>
  <c r="G29" i="24" l="1"/>
  <c r="S29" i="24"/>
  <c r="AM29" i="24"/>
  <c r="K36" i="24"/>
  <c r="AE36" i="24"/>
  <c r="K43" i="24"/>
  <c r="AE43" i="24"/>
  <c r="O29" i="24"/>
  <c r="O51" i="24" s="1"/>
  <c r="AA29" i="24"/>
  <c r="AE29" i="24"/>
  <c r="G36" i="24"/>
  <c r="S36" i="24"/>
  <c r="W36" i="24"/>
  <c r="AI36" i="24"/>
  <c r="G43" i="24"/>
  <c r="O43" i="24"/>
  <c r="W43" i="24"/>
  <c r="AI43" i="24"/>
  <c r="E21" i="4"/>
  <c r="H29" i="24"/>
  <c r="L29" i="24"/>
  <c r="P29" i="24"/>
  <c r="P51" i="24" s="1"/>
  <c r="T29" i="24"/>
  <c r="X29" i="24"/>
  <c r="AB29" i="24"/>
  <c r="AF29" i="24"/>
  <c r="AF51" i="24" s="1"/>
  <c r="AJ29" i="24"/>
  <c r="AN29" i="24"/>
  <c r="H36" i="24"/>
  <c r="L36" i="24"/>
  <c r="P36" i="24"/>
  <c r="T36" i="24"/>
  <c r="X36" i="24"/>
  <c r="AB36" i="24"/>
  <c r="AF36" i="24"/>
  <c r="AJ36" i="24"/>
  <c r="AN36" i="24"/>
  <c r="H43" i="24"/>
  <c r="L43" i="24"/>
  <c r="P43" i="24"/>
  <c r="T43" i="24"/>
  <c r="X43" i="24"/>
  <c r="AB43" i="24"/>
  <c r="AF43" i="24"/>
  <c r="AJ43" i="24"/>
  <c r="AN43" i="24"/>
  <c r="Q21" i="22"/>
  <c r="K29" i="24"/>
  <c r="W29" i="24"/>
  <c r="W51" i="24" s="1"/>
  <c r="AI29" i="24"/>
  <c r="AI51" i="24" s="1"/>
  <c r="O36" i="24"/>
  <c r="AA36" i="24"/>
  <c r="AM36" i="24"/>
  <c r="S43" i="24"/>
  <c r="AA43" i="24"/>
  <c r="AM43" i="24"/>
  <c r="E29" i="24"/>
  <c r="I29" i="24"/>
  <c r="I51" i="24" s="1"/>
  <c r="M29" i="24"/>
  <c r="Q29" i="24"/>
  <c r="U29" i="24"/>
  <c r="Y29" i="24"/>
  <c r="Y51" i="24" s="1"/>
  <c r="AC29" i="24"/>
  <c r="AG29" i="24"/>
  <c r="AK29" i="24"/>
  <c r="E36" i="24"/>
  <c r="I36" i="24"/>
  <c r="M36" i="24"/>
  <c r="Q36" i="24"/>
  <c r="U36" i="24"/>
  <c r="Y36" i="24"/>
  <c r="AC36" i="24"/>
  <c r="AG36" i="24"/>
  <c r="AK36" i="24"/>
  <c r="E43" i="24"/>
  <c r="I43" i="24"/>
  <c r="M43" i="24"/>
  <c r="Q43" i="24"/>
  <c r="U43" i="24"/>
  <c r="Y43" i="24"/>
  <c r="AC43" i="24"/>
  <c r="AG43" i="24"/>
  <c r="AK43" i="24"/>
  <c r="AK18" i="4"/>
  <c r="F34" i="6"/>
  <c r="F29" i="24"/>
  <c r="F51" i="24" s="1"/>
  <c r="J29" i="24"/>
  <c r="N29" i="24"/>
  <c r="R29" i="24"/>
  <c r="V29" i="24"/>
  <c r="V51" i="24" s="1"/>
  <c r="Z29" i="24"/>
  <c r="AD29" i="24"/>
  <c r="AH29" i="24"/>
  <c r="AL29" i="24"/>
  <c r="AL51" i="24" s="1"/>
  <c r="F36" i="24"/>
  <c r="J36" i="24"/>
  <c r="N36" i="24"/>
  <c r="R36" i="24"/>
  <c r="V36" i="24"/>
  <c r="Z36" i="24"/>
  <c r="AD36" i="24"/>
  <c r="AH36" i="24"/>
  <c r="AL36" i="24"/>
  <c r="F43" i="24"/>
  <c r="J43" i="24"/>
  <c r="N43" i="24"/>
  <c r="R43" i="24"/>
  <c r="V43" i="24"/>
  <c r="Z43" i="24"/>
  <c r="AD43" i="24"/>
  <c r="AH43" i="24"/>
  <c r="AL43" i="24"/>
  <c r="Q25" i="22"/>
  <c r="F41" i="22"/>
  <c r="G41" i="22" s="1"/>
  <c r="H41" i="22" s="1"/>
  <c r="I16" i="4"/>
  <c r="U16" i="4"/>
  <c r="AG16" i="4"/>
  <c r="F16" i="4"/>
  <c r="J16" i="4"/>
  <c r="N16" i="4"/>
  <c r="R16" i="4"/>
  <c r="V16" i="4"/>
  <c r="Z16" i="4"/>
  <c r="AD16" i="4"/>
  <c r="AH16" i="4"/>
  <c r="AL16" i="4"/>
  <c r="E16" i="4"/>
  <c r="E22" i="4" s="1"/>
  <c r="D22" i="4" s="1"/>
  <c r="Q16" i="4"/>
  <c r="AC16" i="4"/>
  <c r="G16" i="4"/>
  <c r="K16" i="4"/>
  <c r="O16" i="4"/>
  <c r="S16" i="4"/>
  <c r="W16" i="4"/>
  <c r="AA16" i="4"/>
  <c r="AE16" i="4"/>
  <c r="AI16" i="4"/>
  <c r="AM16" i="4"/>
  <c r="M16" i="4"/>
  <c r="Y16" i="4"/>
  <c r="AK16" i="4"/>
  <c r="H16" i="4"/>
  <c r="L16" i="4"/>
  <c r="P16" i="4"/>
  <c r="T16" i="4"/>
  <c r="X16" i="4"/>
  <c r="AB16" i="4"/>
  <c r="AF16" i="4"/>
  <c r="AJ16" i="4"/>
  <c r="AN16" i="4"/>
  <c r="E24" i="4"/>
  <c r="C34" i="4" s="1"/>
  <c r="R7" i="10"/>
  <c r="S5" i="10"/>
  <c r="O9" i="10"/>
  <c r="N9" i="10"/>
  <c r="F18" i="4"/>
  <c r="J18" i="4"/>
  <c r="N18" i="4"/>
  <c r="R18" i="4"/>
  <c r="V18" i="4"/>
  <c r="Z18" i="4"/>
  <c r="AD18" i="4"/>
  <c r="AH18" i="4"/>
  <c r="AL18" i="4"/>
  <c r="Q7" i="10"/>
  <c r="G18" i="4"/>
  <c r="K18" i="4"/>
  <c r="O18" i="4"/>
  <c r="S18" i="4"/>
  <c r="W18" i="4"/>
  <c r="AA18" i="4"/>
  <c r="AE18" i="4"/>
  <c r="AI18" i="4"/>
  <c r="AM18" i="4"/>
  <c r="F20" i="4"/>
  <c r="G20" i="4" s="1"/>
  <c r="H20" i="4" s="1"/>
  <c r="I20" i="4" s="1"/>
  <c r="J20" i="4" s="1"/>
  <c r="K20" i="4" s="1"/>
  <c r="L20" i="4" s="1"/>
  <c r="M20" i="4" s="1"/>
  <c r="N20" i="4" s="1"/>
  <c r="O20" i="4" s="1"/>
  <c r="P20" i="4" s="1"/>
  <c r="Q20" i="4" s="1"/>
  <c r="R20" i="4" s="1"/>
  <c r="S20" i="4" s="1"/>
  <c r="T20" i="4" s="1"/>
  <c r="U20" i="4" s="1"/>
  <c r="V20" i="4" s="1"/>
  <c r="W20" i="4" s="1"/>
  <c r="X20" i="4" s="1"/>
  <c r="Y20" i="4" s="1"/>
  <c r="Z20" i="4" s="1"/>
  <c r="AA20" i="4" s="1"/>
  <c r="AB20" i="4" s="1"/>
  <c r="AC20" i="4" s="1"/>
  <c r="AD20" i="4" s="1"/>
  <c r="AE20" i="4" s="1"/>
  <c r="AF20" i="4" s="1"/>
  <c r="AG20" i="4" s="1"/>
  <c r="AH20" i="4" s="1"/>
  <c r="AI20" i="4" s="1"/>
  <c r="AJ20" i="4" s="1"/>
  <c r="AK20" i="4" s="1"/>
  <c r="AL20" i="4" s="1"/>
  <c r="AM20" i="4" s="1"/>
  <c r="AN20" i="4" s="1"/>
  <c r="H18" i="4"/>
  <c r="L18" i="4"/>
  <c r="P18" i="4"/>
  <c r="T18" i="4"/>
  <c r="X18" i="4"/>
  <c r="AB18" i="4"/>
  <c r="AF18" i="4"/>
  <c r="AJ18" i="4"/>
  <c r="AN18" i="4"/>
  <c r="F21" i="4"/>
  <c r="G7" i="10"/>
  <c r="K7" i="10"/>
  <c r="I8" i="10" s="1"/>
  <c r="F8" i="10"/>
  <c r="E18" i="4"/>
  <c r="I18" i="4"/>
  <c r="M18" i="4"/>
  <c r="Q18" i="4"/>
  <c r="U18" i="4"/>
  <c r="Y18" i="4"/>
  <c r="AC18" i="4"/>
  <c r="AG18" i="4"/>
  <c r="G21" i="4"/>
  <c r="F704" i="10"/>
  <c r="F700" i="10"/>
  <c r="F696" i="10"/>
  <c r="F692" i="10"/>
  <c r="F688" i="10"/>
  <c r="F684" i="10"/>
  <c r="F680" i="10"/>
  <c r="F676" i="10"/>
  <c r="F672" i="10"/>
  <c r="F668" i="10"/>
  <c r="F664" i="10"/>
  <c r="F660" i="10"/>
  <c r="F656" i="10"/>
  <c r="F652" i="10"/>
  <c r="F648" i="10"/>
  <c r="F644" i="10"/>
  <c r="F640" i="10"/>
  <c r="F703" i="10"/>
  <c r="F699" i="10"/>
  <c r="F695" i="10"/>
  <c r="F691" i="10"/>
  <c r="F687" i="10"/>
  <c r="F683" i="10"/>
  <c r="F679" i="10"/>
  <c r="F675" i="10"/>
  <c r="F671" i="10"/>
  <c r="F667" i="10"/>
  <c r="F663" i="10"/>
  <c r="F659" i="10"/>
  <c r="F655" i="10"/>
  <c r="F651" i="10"/>
  <c r="F647" i="10"/>
  <c r="F643" i="10"/>
  <c r="F702" i="10"/>
  <c r="F694" i="10"/>
  <c r="F686" i="10"/>
  <c r="F678" i="10"/>
  <c r="F670" i="10"/>
  <c r="F662" i="10"/>
  <c r="F654" i="10"/>
  <c r="F646" i="10"/>
  <c r="F639" i="10"/>
  <c r="F635" i="10"/>
  <c r="F631" i="10"/>
  <c r="F627" i="10"/>
  <c r="F623" i="10"/>
  <c r="F619" i="10"/>
  <c r="F615" i="10"/>
  <c r="F611" i="10"/>
  <c r="F701" i="10"/>
  <c r="F693" i="10"/>
  <c r="F685" i="10"/>
  <c r="F677" i="10"/>
  <c r="F669" i="10"/>
  <c r="F661" i="10"/>
  <c r="F653" i="10"/>
  <c r="F645" i="10"/>
  <c r="F638" i="10"/>
  <c r="F634" i="10"/>
  <c r="F630" i="10"/>
  <c r="F626" i="10"/>
  <c r="F622" i="10"/>
  <c r="F618" i="10"/>
  <c r="F614" i="10"/>
  <c r="F610" i="10"/>
  <c r="F690" i="10"/>
  <c r="F674" i="10"/>
  <c r="F658" i="10"/>
  <c r="F642" i="10"/>
  <c r="F633" i="10"/>
  <c r="F625" i="10"/>
  <c r="F617" i="10"/>
  <c r="F609" i="10"/>
  <c r="F689" i="10"/>
  <c r="F673" i="10"/>
  <c r="F657" i="10"/>
  <c r="F641" i="10"/>
  <c r="F632" i="10"/>
  <c r="F624" i="10"/>
  <c r="F616" i="10"/>
  <c r="F682" i="10"/>
  <c r="F650" i="10"/>
  <c r="F629" i="10"/>
  <c r="F613" i="10"/>
  <c r="F681" i="10"/>
  <c r="F649" i="10"/>
  <c r="F628" i="10"/>
  <c r="F612" i="10"/>
  <c r="F665" i="10"/>
  <c r="F620" i="10"/>
  <c r="F698" i="10"/>
  <c r="F637" i="10"/>
  <c r="F697" i="10"/>
  <c r="F636" i="10"/>
  <c r="F666" i="10"/>
  <c r="F621" i="10"/>
  <c r="P27" i="22"/>
  <c r="P19" i="22"/>
  <c r="Q20" i="22"/>
  <c r="D53" i="24"/>
  <c r="R51" i="24" l="1"/>
  <c r="U51" i="24"/>
  <c r="E51" i="24"/>
  <c r="AB51" i="24"/>
  <c r="L51" i="24"/>
  <c r="AM51" i="24"/>
  <c r="AD51" i="24"/>
  <c r="N51" i="24"/>
  <c r="AG51" i="24"/>
  <c r="Q51" i="24"/>
  <c r="K51" i="24"/>
  <c r="AN51" i="24"/>
  <c r="X51" i="24"/>
  <c r="H51" i="24"/>
  <c r="AE51" i="24"/>
  <c r="S51" i="24"/>
  <c r="AH51" i="24"/>
  <c r="AK51" i="24"/>
  <c r="Z51" i="24"/>
  <c r="J51" i="24"/>
  <c r="AC51" i="24"/>
  <c r="M51" i="24"/>
  <c r="AJ51" i="24"/>
  <c r="T51" i="24"/>
  <c r="AA51" i="24"/>
  <c r="G51" i="24"/>
  <c r="E17" i="4"/>
  <c r="E25" i="4" s="1"/>
  <c r="E31" i="4" s="1"/>
  <c r="AE17" i="4"/>
  <c r="AE25" i="4" s="1"/>
  <c r="AG17" i="4"/>
  <c r="AG25" i="4" s="1"/>
  <c r="AG31" i="4" s="1"/>
  <c r="S17" i="4"/>
  <c r="S25" i="4" s="1"/>
  <c r="S31" i="4" s="1"/>
  <c r="AK17" i="4"/>
  <c r="AK25" i="4" s="1"/>
  <c r="AB17" i="4"/>
  <c r="AB25" i="4" s="1"/>
  <c r="AB34" i="4" s="1"/>
  <c r="L17" i="4"/>
  <c r="L25" i="4" s="1"/>
  <c r="L34" i="4" s="1"/>
  <c r="AC17" i="4"/>
  <c r="AC25" i="4" s="1"/>
  <c r="AC34" i="4" s="1"/>
  <c r="K17" i="4"/>
  <c r="K25" i="4" s="1"/>
  <c r="Y17" i="4"/>
  <c r="Y25" i="4" s="1"/>
  <c r="D16" i="4"/>
  <c r="W102" i="22" s="1"/>
  <c r="D24" i="4"/>
  <c r="D18" i="4"/>
  <c r="S7" i="10"/>
  <c r="T5" i="10"/>
  <c r="I41" i="22"/>
  <c r="R17" i="4"/>
  <c r="R25" i="4" s="1"/>
  <c r="R34" i="4" s="1"/>
  <c r="AH17" i="4"/>
  <c r="AH25" i="4" s="1"/>
  <c r="AH34" i="4" s="1"/>
  <c r="P28" i="22"/>
  <c r="Q27" i="22"/>
  <c r="K8" i="10"/>
  <c r="J8" i="10"/>
  <c r="P9" i="10"/>
  <c r="N10" i="10"/>
  <c r="Q19" i="22"/>
  <c r="P18" i="22"/>
  <c r="P8" i="10"/>
  <c r="D8" i="10" s="1"/>
  <c r="E8" i="10" s="1"/>
  <c r="D20" i="4"/>
  <c r="J17" i="4"/>
  <c r="J25" i="4" s="1"/>
  <c r="J34" i="4" s="1"/>
  <c r="Z17" i="4"/>
  <c r="Z25" i="4" s="1"/>
  <c r="Z31" i="4" s="1"/>
  <c r="I17" i="4"/>
  <c r="I25" i="4" s="1"/>
  <c r="D21" i="4" l="1"/>
  <c r="AM17" i="4"/>
  <c r="AM25" i="4" s="1"/>
  <c r="AM31" i="4" s="1"/>
  <c r="M17" i="4"/>
  <c r="M25" i="4" s="1"/>
  <c r="M34" i="4" s="1"/>
  <c r="AI17" i="4"/>
  <c r="AI25" i="4" s="1"/>
  <c r="AI34" i="4" s="1"/>
  <c r="AC31" i="4"/>
  <c r="E88" i="22"/>
  <c r="G17" i="4"/>
  <c r="G25" i="4" s="1"/>
  <c r="G31" i="4" s="1"/>
  <c r="AA17" i="4"/>
  <c r="AA25" i="4" s="1"/>
  <c r="AA34" i="4" s="1"/>
  <c r="AG56" i="22"/>
  <c r="M88" i="22"/>
  <c r="Q102" i="22"/>
  <c r="P88" i="22"/>
  <c r="L88" i="22"/>
  <c r="V88" i="22"/>
  <c r="AA56" i="22"/>
  <c r="O88" i="22"/>
  <c r="K88" i="22"/>
  <c r="M56" i="22"/>
  <c r="T17" i="4"/>
  <c r="T25" i="4" s="1"/>
  <c r="T34" i="4" s="1"/>
  <c r="P17" i="4"/>
  <c r="P25" i="4" s="1"/>
  <c r="P34" i="4" s="1"/>
  <c r="H17" i="4"/>
  <c r="H25" i="4" s="1"/>
  <c r="H34" i="4" s="1"/>
  <c r="O17" i="4"/>
  <c r="O25" i="4" s="1"/>
  <c r="O34" i="4" s="1"/>
  <c r="U17" i="4"/>
  <c r="U25" i="4" s="1"/>
  <c r="U34" i="4" s="1"/>
  <c r="T102" i="22"/>
  <c r="AC56" i="22"/>
  <c r="Y88" i="22"/>
  <c r="AD56" i="22"/>
  <c r="Z56" i="22"/>
  <c r="AC88" i="22"/>
  <c r="AJ17" i="4"/>
  <c r="AJ25" i="4" s="1"/>
  <c r="AD17" i="4"/>
  <c r="AD25" i="4" s="1"/>
  <c r="AD34" i="4" s="1"/>
  <c r="X17" i="4"/>
  <c r="X25" i="4" s="1"/>
  <c r="X34" i="4" s="1"/>
  <c r="AL17" i="4"/>
  <c r="AL25" i="4" s="1"/>
  <c r="AL31" i="4" s="1"/>
  <c r="Q17" i="4"/>
  <c r="Q25" i="4" s="1"/>
  <c r="Q31" i="4" s="1"/>
  <c r="F17" i="4"/>
  <c r="F25" i="4" s="1"/>
  <c r="F34" i="4" s="1"/>
  <c r="AF17" i="4"/>
  <c r="AF25" i="4" s="1"/>
  <c r="AF31" i="4" s="1"/>
  <c r="N17" i="4"/>
  <c r="N25" i="4" s="1"/>
  <c r="N34" i="4" s="1"/>
  <c r="W17" i="4"/>
  <c r="W25" i="4" s="1"/>
  <c r="W31" i="4" s="1"/>
  <c r="V17" i="4"/>
  <c r="V25" i="4" s="1"/>
  <c r="V31" i="4" s="1"/>
  <c r="S34" i="4"/>
  <c r="D19" i="4"/>
  <c r="D23" i="4"/>
  <c r="AN17" i="4"/>
  <c r="AN25" i="4" s="1"/>
  <c r="AN31" i="4" s="1"/>
  <c r="V102" i="22"/>
  <c r="I56" i="22"/>
  <c r="P56" i="22"/>
  <c r="O56" i="22"/>
  <c r="R88" i="22"/>
  <c r="U88" i="22"/>
  <c r="AF88" i="22"/>
  <c r="AE88" i="22"/>
  <c r="N88" i="22"/>
  <c r="Q88" i="22"/>
  <c r="AB88" i="22"/>
  <c r="AA88" i="22"/>
  <c r="Z88" i="22"/>
  <c r="J88" i="22"/>
  <c r="V56" i="22"/>
  <c r="F56" i="22"/>
  <c r="D26" i="4"/>
  <c r="F88" i="22"/>
  <c r="I88" i="22"/>
  <c r="T88" i="22"/>
  <c r="S88" i="22"/>
  <c r="N56" i="22"/>
  <c r="U56" i="22"/>
  <c r="AB56" i="22"/>
  <c r="K56" i="22"/>
  <c r="N67" i="22" s="1"/>
  <c r="J56" i="22"/>
  <c r="Q56" i="22"/>
  <c r="X56" i="22"/>
  <c r="W56" i="22"/>
  <c r="U102" i="22"/>
  <c r="W88" i="22"/>
  <c r="H88" i="22"/>
  <c r="T56" i="22"/>
  <c r="R56" i="22"/>
  <c r="Y56" i="22"/>
  <c r="AF56" i="22"/>
  <c r="AE56" i="22"/>
  <c r="S102" i="22"/>
  <c r="R102" i="22"/>
  <c r="E56" i="22"/>
  <c r="L56" i="22"/>
  <c r="AD88" i="22"/>
  <c r="AG88" i="22"/>
  <c r="Y102" i="22"/>
  <c r="H56" i="22"/>
  <c r="G56" i="22"/>
  <c r="X102" i="22"/>
  <c r="X88" i="22"/>
  <c r="G88" i="22"/>
  <c r="S56" i="22"/>
  <c r="AG34" i="4"/>
  <c r="M31" i="4"/>
  <c r="R31" i="4"/>
  <c r="Z34" i="4"/>
  <c r="AB31" i="4"/>
  <c r="AH31" i="4"/>
  <c r="N11" i="10"/>
  <c r="P10" i="10"/>
  <c r="J9" i="10"/>
  <c r="I9" i="10"/>
  <c r="T7" i="10"/>
  <c r="U5" i="10"/>
  <c r="J41" i="22"/>
  <c r="Q18" i="22"/>
  <c r="P17" i="22"/>
  <c r="O10" i="10"/>
  <c r="G8" i="10"/>
  <c r="P29" i="22"/>
  <c r="Q28" i="22"/>
  <c r="H8" i="10"/>
  <c r="J31" i="4"/>
  <c r="L31" i="4"/>
  <c r="E32" i="4"/>
  <c r="E29" i="4"/>
  <c r="E34" i="4"/>
  <c r="K31" i="4"/>
  <c r="K34" i="4"/>
  <c r="AE31" i="4"/>
  <c r="AE34" i="4"/>
  <c r="I34" i="4"/>
  <c r="I31" i="4"/>
  <c r="AK34" i="4"/>
  <c r="AK31" i="4"/>
  <c r="Y34" i="4"/>
  <c r="Y31" i="4"/>
  <c r="O31" i="4" l="1"/>
  <c r="O11" i="10"/>
  <c r="AM34" i="4"/>
  <c r="AN34" i="4"/>
  <c r="AI31" i="4"/>
  <c r="U31" i="4"/>
  <c r="G34" i="4"/>
  <c r="AA31" i="4"/>
  <c r="AL34" i="4"/>
  <c r="H31" i="4"/>
  <c r="N31" i="4"/>
  <c r="V34" i="4"/>
  <c r="F31" i="4"/>
  <c r="F32" i="4" s="1"/>
  <c r="P31" i="4"/>
  <c r="AF34" i="4"/>
  <c r="X31" i="4"/>
  <c r="AD31" i="4"/>
  <c r="T31" i="4"/>
  <c r="AJ31" i="4"/>
  <c r="AJ34" i="4"/>
  <c r="D17" i="4"/>
  <c r="M91" i="22" s="1"/>
  <c r="Q34" i="4"/>
  <c r="W34" i="4"/>
  <c r="D25" i="4"/>
  <c r="E37" i="4"/>
  <c r="H9" i="10"/>
  <c r="P11" i="10"/>
  <c r="N12" i="10"/>
  <c r="Q17" i="22"/>
  <c r="P16" i="22"/>
  <c r="L41" i="22"/>
  <c r="K9" i="10"/>
  <c r="K41" i="22"/>
  <c r="F9" i="10"/>
  <c r="Q29" i="22"/>
  <c r="P30" i="22"/>
  <c r="V5" i="10"/>
  <c r="U7" i="10"/>
  <c r="E30" i="4"/>
  <c r="F29" i="4"/>
  <c r="E33" i="4"/>
  <c r="H91" i="22" l="1"/>
  <c r="I59" i="22"/>
  <c r="F91" i="22"/>
  <c r="M59" i="22"/>
  <c r="AF59" i="22"/>
  <c r="E59" i="22"/>
  <c r="T91" i="22"/>
  <c r="J59" i="22"/>
  <c r="N91" i="22"/>
  <c r="V104" i="22"/>
  <c r="G59" i="22"/>
  <c r="W104" i="22"/>
  <c r="J91" i="22"/>
  <c r="Z91" i="22"/>
  <c r="O91" i="22"/>
  <c r="E91" i="22"/>
  <c r="AC59" i="22"/>
  <c r="AB91" i="22"/>
  <c r="X91" i="22"/>
  <c r="P59" i="22"/>
  <c r="Y104" i="22"/>
  <c r="T59" i="22"/>
  <c r="AB59" i="22"/>
  <c r="O59" i="22"/>
  <c r="Y91" i="22"/>
  <c r="R91" i="22"/>
  <c r="G91" i="22"/>
  <c r="W91" i="22"/>
  <c r="R104" i="22"/>
  <c r="H59" i="22"/>
  <c r="I91" i="22"/>
  <c r="X104" i="22"/>
  <c r="AE91" i="22"/>
  <c r="AA91" i="22"/>
  <c r="K59" i="22"/>
  <c r="S91" i="22"/>
  <c r="Y106" i="22"/>
  <c r="F43" i="4"/>
  <c r="AG59" i="22"/>
  <c r="V91" i="22"/>
  <c r="S104" i="22"/>
  <c r="AG91" i="22"/>
  <c r="F59" i="22"/>
  <c r="S59" i="22"/>
  <c r="AE59" i="22"/>
  <c r="AC91" i="22"/>
  <c r="T104" i="22"/>
  <c r="N59" i="22"/>
  <c r="Q59" i="22"/>
  <c r="U91" i="22"/>
  <c r="AA59" i="22"/>
  <c r="Z59" i="22"/>
  <c r="L91" i="22"/>
  <c r="K91" i="22"/>
  <c r="W59" i="22"/>
  <c r="AD91" i="22"/>
  <c r="R59" i="22"/>
  <c r="AD59" i="22"/>
  <c r="U104" i="22"/>
  <c r="Y59" i="22"/>
  <c r="U59" i="22"/>
  <c r="X59" i="22"/>
  <c r="Q91" i="22"/>
  <c r="Q104" i="22"/>
  <c r="P91" i="22"/>
  <c r="AF91" i="22"/>
  <c r="V59" i="22"/>
  <c r="L59" i="22"/>
  <c r="M41" i="22"/>
  <c r="Q16" i="22"/>
  <c r="P15" i="22"/>
  <c r="Q30" i="22"/>
  <c r="P31" i="22"/>
  <c r="N41" i="22"/>
  <c r="P12" i="10"/>
  <c r="N13" i="10"/>
  <c r="O12" i="10"/>
  <c r="V7" i="10"/>
  <c r="W5" i="10"/>
  <c r="J10" i="10"/>
  <c r="I10" i="10"/>
  <c r="K10" i="10" s="1"/>
  <c r="D9" i="10"/>
  <c r="E9" i="10" s="1"/>
  <c r="G32" i="4"/>
  <c r="F33" i="4"/>
  <c r="F30" i="4"/>
  <c r="G29" i="4"/>
  <c r="E62" i="22" l="1"/>
  <c r="U106" i="22"/>
  <c r="M94" i="22"/>
  <c r="Y94" i="22"/>
  <c r="AG94" i="22"/>
  <c r="O62" i="22"/>
  <c r="L62" i="22"/>
  <c r="K62" i="22"/>
  <c r="S62" i="22"/>
  <c r="Q62" i="22"/>
  <c r="AF94" i="22"/>
  <c r="T106" i="22"/>
  <c r="R106" i="22"/>
  <c r="AE94" i="22"/>
  <c r="AA94" i="22"/>
  <c r="S106" i="22"/>
  <c r="Y62" i="22"/>
  <c r="AB94" i="22"/>
  <c r="AD94" i="22"/>
  <c r="X94" i="22"/>
  <c r="Q106" i="22"/>
  <c r="T94" i="22"/>
  <c r="AB62" i="22"/>
  <c r="W106" i="22"/>
  <c r="U94" i="22"/>
  <c r="U62" i="22"/>
  <c r="H62" i="22"/>
  <c r="J62" i="22"/>
  <c r="K94" i="22"/>
  <c r="AE62" i="22"/>
  <c r="F62" i="22"/>
  <c r="AC62" i="22"/>
  <c r="N62" i="22"/>
  <c r="L94" i="22"/>
  <c r="O94" i="22"/>
  <c r="N94" i="22"/>
  <c r="Q94" i="22"/>
  <c r="H94" i="22"/>
  <c r="W62" i="22"/>
  <c r="AF62" i="22"/>
  <c r="V94" i="22"/>
  <c r="P62" i="22"/>
  <c r="J94" i="22"/>
  <c r="G94" i="22"/>
  <c r="E94" i="22"/>
  <c r="V62" i="22"/>
  <c r="F94" i="22"/>
  <c r="I62" i="22"/>
  <c r="S94" i="22"/>
  <c r="I94" i="22"/>
  <c r="X62" i="22"/>
  <c r="AA62" i="22"/>
  <c r="Z62" i="22"/>
  <c r="AG62" i="22"/>
  <c r="T62" i="22"/>
  <c r="G62" i="22"/>
  <c r="X106" i="22"/>
  <c r="AD62" i="22"/>
  <c r="W94" i="22"/>
  <c r="R62" i="22"/>
  <c r="R94" i="22"/>
  <c r="M62" i="22"/>
  <c r="V106" i="22"/>
  <c r="P94" i="22"/>
  <c r="AC94" i="22"/>
  <c r="Z94" i="22"/>
  <c r="J11" i="10"/>
  <c r="I11" i="10"/>
  <c r="P13" i="10"/>
  <c r="N14" i="10"/>
  <c r="Q15" i="22"/>
  <c r="P14" i="22"/>
  <c r="Q14" i="22" s="1"/>
  <c r="G9" i="10"/>
  <c r="W7" i="10"/>
  <c r="X5" i="10"/>
  <c r="H10" i="10"/>
  <c r="O13" i="10"/>
  <c r="Q31" i="22"/>
  <c r="P32" i="22"/>
  <c r="Q32" i="22" s="1"/>
  <c r="O41" i="22"/>
  <c r="H29" i="4"/>
  <c r="G30" i="4"/>
  <c r="H32" i="4"/>
  <c r="G33" i="4"/>
  <c r="O14" i="10" l="1"/>
  <c r="H11" i="10"/>
  <c r="F10" i="10"/>
  <c r="D10" i="10" s="1"/>
  <c r="E10" i="10" s="1"/>
  <c r="Q41" i="22"/>
  <c r="P41" i="22"/>
  <c r="N15" i="10"/>
  <c r="O15" i="10" s="1"/>
  <c r="P14" i="10"/>
  <c r="X7" i="10"/>
  <c r="Y5" i="10"/>
  <c r="K11" i="10"/>
  <c r="H33" i="4"/>
  <c r="I32" i="4"/>
  <c r="H30" i="4"/>
  <c r="I29" i="4"/>
  <c r="G10" i="10" l="1"/>
  <c r="J12" i="10"/>
  <c r="I12" i="10"/>
  <c r="K12" i="10" s="1"/>
  <c r="Z5" i="10"/>
  <c r="Z7" i="10" s="1"/>
  <c r="Y7" i="10"/>
  <c r="P15" i="10"/>
  <c r="N16" i="10"/>
  <c r="J29" i="4"/>
  <c r="I30" i="4"/>
  <c r="J32" i="4"/>
  <c r="I33" i="4"/>
  <c r="J13" i="10" l="1"/>
  <c r="I13" i="10"/>
  <c r="H13" i="10" s="1"/>
  <c r="P16" i="10"/>
  <c r="N17" i="10"/>
  <c r="F11" i="10"/>
  <c r="D11" i="10" s="1"/>
  <c r="E11" i="10" s="1"/>
  <c r="H12" i="10"/>
  <c r="O16" i="10"/>
  <c r="K32" i="4"/>
  <c r="J33" i="4"/>
  <c r="J30" i="4"/>
  <c r="K29" i="4"/>
  <c r="O17" i="10" l="1"/>
  <c r="G11" i="10"/>
  <c r="K13" i="10"/>
  <c r="P17" i="10"/>
  <c r="N18" i="10"/>
  <c r="K30" i="4"/>
  <c r="L29" i="4"/>
  <c r="L32" i="4"/>
  <c r="K33" i="4"/>
  <c r="J14" i="10" l="1"/>
  <c r="I14" i="10"/>
  <c r="N19" i="10"/>
  <c r="P18" i="10"/>
  <c r="O18" i="10"/>
  <c r="F12" i="10"/>
  <c r="D12" i="10" s="1"/>
  <c r="E12" i="10" s="1"/>
  <c r="G12" i="10" s="1"/>
  <c r="L33" i="4"/>
  <c r="M32" i="4"/>
  <c r="L30" i="4"/>
  <c r="M29" i="4"/>
  <c r="O19" i="10" l="1"/>
  <c r="H14" i="10"/>
  <c r="F13" i="10"/>
  <c r="D13" i="10" s="1"/>
  <c r="E13" i="10" s="1"/>
  <c r="G13" i="10" s="1"/>
  <c r="O20" i="10"/>
  <c r="N20" i="10"/>
  <c r="P19" i="10"/>
  <c r="K14" i="10"/>
  <c r="N29" i="4"/>
  <c r="M30" i="4"/>
  <c r="N32" i="4"/>
  <c r="M33" i="4"/>
  <c r="F14" i="10" l="1"/>
  <c r="D14" i="10" s="1"/>
  <c r="E14" i="10" s="1"/>
  <c r="G14" i="10" s="1"/>
  <c r="J15" i="10"/>
  <c r="I15" i="10"/>
  <c r="P20" i="10"/>
  <c r="N21" i="10"/>
  <c r="O21" i="10" s="1"/>
  <c r="O32" i="4"/>
  <c r="N33" i="4"/>
  <c r="N30" i="4"/>
  <c r="O29" i="4"/>
  <c r="H15" i="10" l="1"/>
  <c r="F15" i="10"/>
  <c r="D15" i="10" s="1"/>
  <c r="E15" i="10" s="1"/>
  <c r="G15" i="10" s="1"/>
  <c r="K15" i="10"/>
  <c r="N22" i="10"/>
  <c r="P21" i="10"/>
  <c r="O30" i="4"/>
  <c r="P29" i="4"/>
  <c r="P32" i="4"/>
  <c r="O33" i="4"/>
  <c r="F16" i="10" l="1"/>
  <c r="D16" i="10" s="1"/>
  <c r="E16" i="10" s="1"/>
  <c r="G16" i="10" s="1"/>
  <c r="P22" i="10"/>
  <c r="N23" i="10"/>
  <c r="J16" i="10"/>
  <c r="I16" i="10"/>
  <c r="K16" i="10" s="1"/>
  <c r="O22" i="10"/>
  <c r="P33" i="4"/>
  <c r="Q32" i="4"/>
  <c r="P30" i="4"/>
  <c r="Q29" i="4"/>
  <c r="F17" i="10" l="1"/>
  <c r="D17" i="10" s="1"/>
  <c r="E17" i="10" s="1"/>
  <c r="G17" i="10" s="1"/>
  <c r="N24" i="10"/>
  <c r="P23" i="10"/>
  <c r="J17" i="10"/>
  <c r="I17" i="10"/>
  <c r="O23" i="10"/>
  <c r="O24" i="10" s="1"/>
  <c r="H16" i="10"/>
  <c r="R29" i="4"/>
  <c r="Q30" i="4"/>
  <c r="R32" i="4"/>
  <c r="Q33" i="4"/>
  <c r="H17" i="10" l="1"/>
  <c r="F18" i="10"/>
  <c r="D18" i="10" s="1"/>
  <c r="E18" i="10" s="1"/>
  <c r="G18" i="10" s="1"/>
  <c r="P24" i="10"/>
  <c r="N25" i="10"/>
  <c r="O25" i="10" s="1"/>
  <c r="K17" i="10"/>
  <c r="S32" i="4"/>
  <c r="R33" i="4"/>
  <c r="R30" i="4"/>
  <c r="S29" i="4"/>
  <c r="F19" i="10" l="1"/>
  <c r="D19" i="10" s="1"/>
  <c r="E19" i="10" s="1"/>
  <c r="G19" i="10" s="1"/>
  <c r="J18" i="10"/>
  <c r="I18" i="10"/>
  <c r="N26" i="10"/>
  <c r="P25" i="10"/>
  <c r="S30" i="4"/>
  <c r="T29" i="4"/>
  <c r="T32" i="4"/>
  <c r="S33" i="4"/>
  <c r="F20" i="10" l="1"/>
  <c r="D20" i="10" s="1"/>
  <c r="E20" i="10" s="1"/>
  <c r="G20" i="10" s="1"/>
  <c r="H18" i="10"/>
  <c r="K18" i="10"/>
  <c r="P26" i="10"/>
  <c r="N27" i="10"/>
  <c r="O26" i="10"/>
  <c r="T33" i="4"/>
  <c r="U32" i="4"/>
  <c r="T30" i="4"/>
  <c r="U29" i="4"/>
  <c r="F21" i="10" l="1"/>
  <c r="D21" i="10" s="1"/>
  <c r="E21" i="10" s="1"/>
  <c r="G21" i="10" s="1"/>
  <c r="N28" i="10"/>
  <c r="P27" i="10"/>
  <c r="J19" i="10"/>
  <c r="I19" i="10"/>
  <c r="K19" i="10" s="1"/>
  <c r="O27" i="10"/>
  <c r="O28" i="10" s="1"/>
  <c r="V29" i="4"/>
  <c r="U30" i="4"/>
  <c r="V32" i="4"/>
  <c r="U33" i="4"/>
  <c r="F22" i="10" l="1"/>
  <c r="D22" i="10" s="1"/>
  <c r="E22" i="10" s="1"/>
  <c r="G22" i="10" s="1"/>
  <c r="P28" i="10"/>
  <c r="N29" i="10"/>
  <c r="O29" i="10" s="1"/>
  <c r="J20" i="10"/>
  <c r="I20" i="10"/>
  <c r="H19" i="10"/>
  <c r="W32" i="4"/>
  <c r="V33" i="4"/>
  <c r="V30" i="4"/>
  <c r="W29" i="4"/>
  <c r="H20" i="10" l="1"/>
  <c r="F23" i="10"/>
  <c r="D23" i="10" s="1"/>
  <c r="E23" i="10" s="1"/>
  <c r="G23" i="10" s="1"/>
  <c r="K20" i="10"/>
  <c r="N30" i="10"/>
  <c r="P29" i="10"/>
  <c r="X29" i="4"/>
  <c r="W30" i="4"/>
  <c r="X32" i="4"/>
  <c r="W33" i="4"/>
  <c r="F24" i="10" l="1"/>
  <c r="D24" i="10" s="1"/>
  <c r="E24" i="10" s="1"/>
  <c r="G24" i="10" s="1"/>
  <c r="P30" i="10"/>
  <c r="N31" i="10"/>
  <c r="O30" i="10"/>
  <c r="O31" i="10" s="1"/>
  <c r="J21" i="10"/>
  <c r="I21" i="10"/>
  <c r="K21" i="10" s="1"/>
  <c r="X33" i="4"/>
  <c r="Y32" i="4"/>
  <c r="X30" i="4"/>
  <c r="Y29" i="4"/>
  <c r="J22" i="10" l="1"/>
  <c r="I22" i="10"/>
  <c r="H22" i="10" s="1"/>
  <c r="F25" i="10"/>
  <c r="D25" i="10" s="1"/>
  <c r="E25" i="10" s="1"/>
  <c r="G25" i="10" s="1"/>
  <c r="O32" i="10"/>
  <c r="H21" i="10"/>
  <c r="P31" i="10"/>
  <c r="N32" i="10"/>
  <c r="Z29" i="4"/>
  <c r="Y30" i="4"/>
  <c r="Z32" i="4"/>
  <c r="Y33" i="4"/>
  <c r="F26" i="10" l="1"/>
  <c r="D26" i="10" s="1"/>
  <c r="E26" i="10" s="1"/>
  <c r="G26" i="10" s="1"/>
  <c r="P32" i="10"/>
  <c r="N33" i="10"/>
  <c r="K22" i="10"/>
  <c r="AA32" i="4"/>
  <c r="Z33" i="4"/>
  <c r="Z30" i="4"/>
  <c r="AA29" i="4"/>
  <c r="F27" i="10" l="1"/>
  <c r="D27" i="10" s="1"/>
  <c r="E27" i="10" s="1"/>
  <c r="G27" i="10" s="1"/>
  <c r="J23" i="10"/>
  <c r="I23" i="10"/>
  <c r="N34" i="10"/>
  <c r="P33" i="10"/>
  <c r="O33" i="10"/>
  <c r="AB29" i="4"/>
  <c r="AA30" i="4"/>
  <c r="AB32" i="4"/>
  <c r="AA33" i="4"/>
  <c r="O34" i="10" l="1"/>
  <c r="H23" i="10"/>
  <c r="F28" i="10"/>
  <c r="D28" i="10" s="1"/>
  <c r="E28" i="10" s="1"/>
  <c r="G28" i="10" s="1"/>
  <c r="K23" i="10"/>
  <c r="P34" i="10"/>
  <c r="N35" i="10"/>
  <c r="O35" i="10" s="1"/>
  <c r="AB33" i="4"/>
  <c r="AC32" i="4"/>
  <c r="AB30" i="4"/>
  <c r="AC29" i="4"/>
  <c r="F29" i="10" l="1"/>
  <c r="D29" i="10" s="1"/>
  <c r="E29" i="10" s="1"/>
  <c r="G29" i="10" s="1"/>
  <c r="P35" i="10"/>
  <c r="N36" i="10"/>
  <c r="O36" i="10" s="1"/>
  <c r="J24" i="10"/>
  <c r="I24" i="10"/>
  <c r="H24" i="10" s="1"/>
  <c r="AD29" i="4"/>
  <c r="AD30" i="4" s="1"/>
  <c r="AC30" i="4"/>
  <c r="AD32" i="4"/>
  <c r="AC33" i="4"/>
  <c r="F30" i="10" l="1"/>
  <c r="D30" i="10" s="1"/>
  <c r="E30" i="10" s="1"/>
  <c r="G30" i="10" s="1"/>
  <c r="P36" i="10"/>
  <c r="N37" i="10"/>
  <c r="K24" i="10"/>
  <c r="AE32" i="4"/>
  <c r="AD33" i="4"/>
  <c r="AE29" i="4"/>
  <c r="F31" i="10" l="1"/>
  <c r="D31" i="10" s="1"/>
  <c r="E31" i="10" s="1"/>
  <c r="G31" i="10" s="1"/>
  <c r="J25" i="10"/>
  <c r="I25" i="10"/>
  <c r="N38" i="10"/>
  <c r="P37" i="10"/>
  <c r="O37" i="10"/>
  <c r="AF29" i="4"/>
  <c r="AE30" i="4"/>
  <c r="AF32" i="4"/>
  <c r="AE33" i="4"/>
  <c r="H25" i="10" l="1"/>
  <c r="K25" i="10"/>
  <c r="I26" i="10" s="1"/>
  <c r="F32" i="10"/>
  <c r="D32" i="10" s="1"/>
  <c r="E32" i="10" s="1"/>
  <c r="G32" i="10" s="1"/>
  <c r="J26" i="10"/>
  <c r="P38" i="10"/>
  <c r="N39" i="10"/>
  <c r="O38" i="10"/>
  <c r="AF33" i="4"/>
  <c r="AG32" i="4"/>
  <c r="AF30" i="4"/>
  <c r="AG29" i="4"/>
  <c r="H26" i="10" l="1"/>
  <c r="F33" i="10"/>
  <c r="D33" i="10" s="1"/>
  <c r="E33" i="10" s="1"/>
  <c r="G33" i="10" s="1"/>
  <c r="O39" i="10"/>
  <c r="K26" i="10"/>
  <c r="P39" i="10"/>
  <c r="N40" i="10"/>
  <c r="AG30" i="4"/>
  <c r="AH29" i="4"/>
  <c r="AH32" i="4"/>
  <c r="AG33" i="4"/>
  <c r="F34" i="10" l="1"/>
  <c r="D34" i="10" s="1"/>
  <c r="E34" i="10" s="1"/>
  <c r="G34" i="10" s="1"/>
  <c r="P40" i="10"/>
  <c r="N41" i="10"/>
  <c r="J27" i="10"/>
  <c r="I27" i="10"/>
  <c r="K27" i="10" s="1"/>
  <c r="O40" i="10"/>
  <c r="AI32" i="4"/>
  <c r="AH33" i="4"/>
  <c r="AH30" i="4"/>
  <c r="AI29" i="4"/>
  <c r="O41" i="10" l="1"/>
  <c r="F35" i="10"/>
  <c r="D35" i="10" s="1"/>
  <c r="E35" i="10" s="1"/>
  <c r="G35" i="10" s="1"/>
  <c r="J28" i="10"/>
  <c r="I28" i="10"/>
  <c r="H27" i="10"/>
  <c r="N42" i="10"/>
  <c r="O42" i="10" s="1"/>
  <c r="P41" i="10"/>
  <c r="AJ29" i="4"/>
  <c r="AI30" i="4"/>
  <c r="AJ32" i="4"/>
  <c r="AI33" i="4"/>
  <c r="H28" i="10" l="1"/>
  <c r="F36" i="10"/>
  <c r="D36" i="10" s="1"/>
  <c r="E36" i="10" s="1"/>
  <c r="G36" i="10" s="1"/>
  <c r="P42" i="10"/>
  <c r="N43" i="10"/>
  <c r="O43" i="10" s="1"/>
  <c r="K28" i="10"/>
  <c r="AJ33" i="4"/>
  <c r="AK32" i="4"/>
  <c r="AJ30" i="4"/>
  <c r="AK29" i="4"/>
  <c r="F37" i="10" l="1"/>
  <c r="D37" i="10" s="1"/>
  <c r="E37" i="10" s="1"/>
  <c r="G37" i="10" s="1"/>
  <c r="J29" i="10"/>
  <c r="I29" i="10"/>
  <c r="P43" i="10"/>
  <c r="N44" i="10"/>
  <c r="AL29" i="4"/>
  <c r="AK30" i="4"/>
  <c r="AL32" i="4"/>
  <c r="AK33" i="4"/>
  <c r="H29" i="10" l="1"/>
  <c r="F38" i="10"/>
  <c r="D38" i="10" s="1"/>
  <c r="E38" i="10" s="1"/>
  <c r="G38" i="10" s="1"/>
  <c r="P44" i="10"/>
  <c r="N45" i="10"/>
  <c r="K29" i="10"/>
  <c r="O44" i="10"/>
  <c r="AM32" i="4"/>
  <c r="AL33" i="4"/>
  <c r="AL30" i="4"/>
  <c r="AM29" i="4"/>
  <c r="F39" i="10" l="1"/>
  <c r="D39" i="10" s="1"/>
  <c r="E39" i="10" s="1"/>
  <c r="G39" i="10" s="1"/>
  <c r="O45" i="10"/>
  <c r="J30" i="10"/>
  <c r="I30" i="10"/>
  <c r="N46" i="10"/>
  <c r="P45" i="10"/>
  <c r="AN29" i="4"/>
  <c r="AN30" i="4" s="1"/>
  <c r="AM30" i="4"/>
  <c r="AN32" i="4"/>
  <c r="AN33" i="4" s="1"/>
  <c r="AM33" i="4"/>
  <c r="H30" i="10" l="1"/>
  <c r="F40" i="10"/>
  <c r="D40" i="10" s="1"/>
  <c r="E40" i="10" s="1"/>
  <c r="G40" i="10" s="1"/>
  <c r="P46" i="10"/>
  <c r="N47" i="10"/>
  <c r="O46" i="10"/>
  <c r="K30" i="10"/>
  <c r="F40" i="4"/>
  <c r="F38" i="4"/>
  <c r="F41" i="10" l="1"/>
  <c r="D41" i="10" s="1"/>
  <c r="E41" i="10" s="1"/>
  <c r="G41" i="10" s="1"/>
  <c r="J31" i="10"/>
  <c r="I31" i="10"/>
  <c r="O47" i="10"/>
  <c r="P47" i="10"/>
  <c r="N48" i="10"/>
  <c r="H31" i="10" l="1"/>
  <c r="F42" i="10"/>
  <c r="D42" i="10" s="1"/>
  <c r="E42" i="10" s="1"/>
  <c r="G42" i="10" s="1"/>
  <c r="O48" i="10"/>
  <c r="O49" i="10" s="1"/>
  <c r="P48" i="10"/>
  <c r="N49" i="10"/>
  <c r="K31" i="10"/>
  <c r="F43" i="10" l="1"/>
  <c r="D43" i="10" s="1"/>
  <c r="E43" i="10" s="1"/>
  <c r="G43" i="10" s="1"/>
  <c r="J32" i="10"/>
  <c r="I32" i="10"/>
  <c r="N50" i="10"/>
  <c r="P49" i="10"/>
  <c r="H32" i="10" l="1"/>
  <c r="F44" i="10"/>
  <c r="D44" i="10" s="1"/>
  <c r="E44" i="10" s="1"/>
  <c r="G44" i="10" s="1"/>
  <c r="P50" i="10"/>
  <c r="N51" i="10"/>
  <c r="O50" i="10"/>
  <c r="K32" i="10"/>
  <c r="F45" i="10" l="1"/>
  <c r="D45" i="10" s="1"/>
  <c r="E45" i="10" s="1"/>
  <c r="G45" i="10" s="1"/>
  <c r="J33" i="10"/>
  <c r="I33" i="10"/>
  <c r="H33" i="10" s="1"/>
  <c r="O51" i="10"/>
  <c r="O52" i="10" s="1"/>
  <c r="P51" i="10"/>
  <c r="N52" i="10"/>
  <c r="F46" i="10" l="1"/>
  <c r="D46" i="10" s="1"/>
  <c r="E46" i="10" s="1"/>
  <c r="G46" i="10" s="1"/>
  <c r="P52" i="10"/>
  <c r="N53" i="10"/>
  <c r="O53" i="10" s="1"/>
  <c r="K33" i="10"/>
  <c r="F47" i="10" l="1"/>
  <c r="D47" i="10" s="1"/>
  <c r="E47" i="10" s="1"/>
  <c r="G47" i="10" s="1"/>
  <c r="J34" i="10"/>
  <c r="I34" i="10"/>
  <c r="N54" i="10"/>
  <c r="P53" i="10"/>
  <c r="H34" i="10" l="1"/>
  <c r="F48" i="10"/>
  <c r="D48" i="10" s="1"/>
  <c r="E48" i="10" s="1"/>
  <c r="G48" i="10" s="1"/>
  <c r="P54" i="10"/>
  <c r="N55" i="10"/>
  <c r="O54" i="10"/>
  <c r="K34" i="10"/>
  <c r="F49" i="10" l="1"/>
  <c r="D49" i="10" s="1"/>
  <c r="E49" i="10" s="1"/>
  <c r="G49" i="10" s="1"/>
  <c r="J35" i="10"/>
  <c r="I35" i="10"/>
  <c r="O55" i="10"/>
  <c r="O56" i="10" s="1"/>
  <c r="P55" i="10"/>
  <c r="N56" i="10"/>
  <c r="H35" i="10" l="1"/>
  <c r="F50" i="10"/>
  <c r="D50" i="10" s="1"/>
  <c r="E50" i="10" s="1"/>
  <c r="G50" i="10" s="1"/>
  <c r="P56" i="10"/>
  <c r="N57" i="10"/>
  <c r="O57" i="10" s="1"/>
  <c r="K35" i="10"/>
  <c r="F51" i="10" l="1"/>
  <c r="D51" i="10" s="1"/>
  <c r="E51" i="10" s="1"/>
  <c r="G51" i="10" s="1"/>
  <c r="J36" i="10"/>
  <c r="I36" i="10"/>
  <c r="N58" i="10"/>
  <c r="P57" i="10"/>
  <c r="H36" i="10" l="1"/>
  <c r="F52" i="10"/>
  <c r="D52" i="10" s="1"/>
  <c r="E52" i="10" s="1"/>
  <c r="G52" i="10" s="1"/>
  <c r="P58" i="10"/>
  <c r="N59" i="10"/>
  <c r="K36" i="10"/>
  <c r="O58" i="10"/>
  <c r="O59" i="10" l="1"/>
  <c r="F53" i="10"/>
  <c r="D53" i="10" s="1"/>
  <c r="E53" i="10" s="1"/>
  <c r="G53" i="10" s="1"/>
  <c r="J37" i="10"/>
  <c r="I37" i="10"/>
  <c r="P59" i="10"/>
  <c r="N60" i="10"/>
  <c r="H37" i="10" l="1"/>
  <c r="F54" i="10"/>
  <c r="D54" i="10" s="1"/>
  <c r="E54" i="10" s="1"/>
  <c r="G54" i="10" s="1"/>
  <c r="P60" i="10"/>
  <c r="N61" i="10"/>
  <c r="K37" i="10"/>
  <c r="O60" i="10"/>
  <c r="O61" i="10" l="1"/>
  <c r="F55" i="10"/>
  <c r="D55" i="10" s="1"/>
  <c r="E55" i="10" s="1"/>
  <c r="G55" i="10" s="1"/>
  <c r="J38" i="10"/>
  <c r="I38" i="10"/>
  <c r="N62" i="10"/>
  <c r="P61" i="10"/>
  <c r="H38" i="10" l="1"/>
  <c r="F56" i="10"/>
  <c r="D56" i="10" s="1"/>
  <c r="E56" i="10" s="1"/>
  <c r="G56" i="10" s="1"/>
  <c r="K38" i="10"/>
  <c r="P62" i="10"/>
  <c r="N63" i="10"/>
  <c r="O62" i="10"/>
  <c r="O63" i="10" s="1"/>
  <c r="F57" i="10" l="1"/>
  <c r="D57" i="10" s="1"/>
  <c r="E57" i="10" s="1"/>
  <c r="G57" i="10" s="1"/>
  <c r="P63" i="10"/>
  <c r="N64" i="10"/>
  <c r="O64" i="10" s="1"/>
  <c r="J39" i="10"/>
  <c r="I39" i="10"/>
  <c r="H39" i="10" s="1"/>
  <c r="F58" i="10" l="1"/>
  <c r="D58" i="10" s="1"/>
  <c r="E58" i="10" s="1"/>
  <c r="G58" i="10" s="1"/>
  <c r="K39" i="10"/>
  <c r="P64" i="10"/>
  <c r="N65" i="10"/>
  <c r="F59" i="10" l="1"/>
  <c r="D59" i="10" s="1"/>
  <c r="E59" i="10" s="1"/>
  <c r="G59" i="10" s="1"/>
  <c r="N66" i="10"/>
  <c r="P65" i="10"/>
  <c r="J40" i="10"/>
  <c r="I40" i="10"/>
  <c r="K40" i="10" s="1"/>
  <c r="O65" i="10"/>
  <c r="O66" i="10" l="1"/>
  <c r="F60" i="10"/>
  <c r="D60" i="10" s="1"/>
  <c r="E60" i="10" s="1"/>
  <c r="G60" i="10" s="1"/>
  <c r="J41" i="10"/>
  <c r="I41" i="10"/>
  <c r="K41" i="10" s="1"/>
  <c r="H40" i="10"/>
  <c r="P66" i="10"/>
  <c r="N67" i="10"/>
  <c r="O67" i="10" s="1"/>
  <c r="F61" i="10" l="1"/>
  <c r="D61" i="10" s="1"/>
  <c r="E61" i="10" s="1"/>
  <c r="G61" i="10" s="1"/>
  <c r="J42" i="10"/>
  <c r="I42" i="10"/>
  <c r="P67" i="10"/>
  <c r="N68" i="10"/>
  <c r="H41" i="10"/>
  <c r="H42" i="10" l="1"/>
  <c r="F62" i="10"/>
  <c r="D62" i="10" s="1"/>
  <c r="E62" i="10" s="1"/>
  <c r="G62" i="10" s="1"/>
  <c r="P68" i="10"/>
  <c r="N69" i="10"/>
  <c r="K42" i="10"/>
  <c r="O68" i="10"/>
  <c r="O69" i="10" s="1"/>
  <c r="F63" i="10" l="1"/>
  <c r="D63" i="10" s="1"/>
  <c r="E63" i="10" s="1"/>
  <c r="G63" i="10" s="1"/>
  <c r="J43" i="10"/>
  <c r="I43" i="10"/>
  <c r="N70" i="10"/>
  <c r="P69" i="10"/>
  <c r="H43" i="10" l="1"/>
  <c r="F64" i="10"/>
  <c r="D64" i="10" s="1"/>
  <c r="E64" i="10" s="1"/>
  <c r="G64" i="10" s="1"/>
  <c r="P70" i="10"/>
  <c r="N71" i="10"/>
  <c r="O70" i="10"/>
  <c r="K43" i="10"/>
  <c r="F65" i="10" l="1"/>
  <c r="D65" i="10" s="1"/>
  <c r="E65" i="10" s="1"/>
  <c r="G65" i="10" s="1"/>
  <c r="J44" i="10"/>
  <c r="I44" i="10"/>
  <c r="H44" i="10" s="1"/>
  <c r="O71" i="10"/>
  <c r="O72" i="10" s="1"/>
  <c r="P71" i="10"/>
  <c r="N72" i="10"/>
  <c r="F66" i="10" l="1"/>
  <c r="D66" i="10" s="1"/>
  <c r="E66" i="10" s="1"/>
  <c r="G66" i="10" s="1"/>
  <c r="P72" i="10"/>
  <c r="N73" i="10"/>
  <c r="O73" i="10" s="1"/>
  <c r="K44" i="10"/>
  <c r="F67" i="10" l="1"/>
  <c r="D67" i="10" s="1"/>
  <c r="E67" i="10" s="1"/>
  <c r="G67" i="10" s="1"/>
  <c r="J45" i="10"/>
  <c r="I45" i="10"/>
  <c r="N74" i="10"/>
  <c r="P73" i="10"/>
  <c r="H45" i="10" l="1"/>
  <c r="F68" i="10"/>
  <c r="D68" i="10" s="1"/>
  <c r="E68" i="10" s="1"/>
  <c r="G68" i="10" s="1"/>
  <c r="P74" i="10"/>
  <c r="N75" i="10"/>
  <c r="K45" i="10"/>
  <c r="O74" i="10"/>
  <c r="O75" i="10" l="1"/>
  <c r="F69" i="10"/>
  <c r="D69" i="10" s="1"/>
  <c r="E69" i="10" s="1"/>
  <c r="G69" i="10" s="1"/>
  <c r="J46" i="10"/>
  <c r="I46" i="10"/>
  <c r="P75" i="10"/>
  <c r="N76" i="10"/>
  <c r="F70" i="10" l="1"/>
  <c r="D70" i="10" s="1"/>
  <c r="E70" i="10" s="1"/>
  <c r="G70" i="10" s="1"/>
  <c r="H46" i="10"/>
  <c r="P76" i="10"/>
  <c r="N77" i="10"/>
  <c r="K46" i="10"/>
  <c r="O76" i="10"/>
  <c r="F71" i="10" l="1"/>
  <c r="D71" i="10" s="1"/>
  <c r="E71" i="10" s="1"/>
  <c r="G71" i="10" s="1"/>
  <c r="J47" i="10"/>
  <c r="I47" i="10"/>
  <c r="N78" i="10"/>
  <c r="P77" i="10"/>
  <c r="O77" i="10"/>
  <c r="H47" i="10" l="1"/>
  <c r="K47" i="10"/>
  <c r="J48" i="10" s="1"/>
  <c r="F72" i="10"/>
  <c r="D72" i="10" s="1"/>
  <c r="E72" i="10" s="1"/>
  <c r="G72" i="10" s="1"/>
  <c r="P78" i="10"/>
  <c r="N79" i="10"/>
  <c r="O78" i="10"/>
  <c r="I48" i="10" l="1"/>
  <c r="F73" i="10"/>
  <c r="D73" i="10" s="1"/>
  <c r="E73" i="10" s="1"/>
  <c r="G73" i="10" s="1"/>
  <c r="P79" i="10"/>
  <c r="N80" i="10"/>
  <c r="H48" i="10"/>
  <c r="O79" i="10"/>
  <c r="K48" i="10"/>
  <c r="F74" i="10" l="1"/>
  <c r="D74" i="10" s="1"/>
  <c r="E74" i="10" s="1"/>
  <c r="G74" i="10" s="1"/>
  <c r="O80" i="10"/>
  <c r="P80" i="10"/>
  <c r="N81" i="10"/>
  <c r="J49" i="10"/>
  <c r="I49" i="10"/>
  <c r="K49" i="10" s="1"/>
  <c r="F75" i="10" l="1"/>
  <c r="D75" i="10" s="1"/>
  <c r="E75" i="10" s="1"/>
  <c r="G75" i="10" s="1"/>
  <c r="O81" i="10"/>
  <c r="J50" i="10"/>
  <c r="I50" i="10"/>
  <c r="N82" i="10"/>
  <c r="P81" i="10"/>
  <c r="H49" i="10"/>
  <c r="H50" i="10" l="1"/>
  <c r="F76" i="10"/>
  <c r="D76" i="10" s="1"/>
  <c r="E76" i="10" s="1"/>
  <c r="G76" i="10" s="1"/>
  <c r="P82" i="10"/>
  <c r="N83" i="10"/>
  <c r="O82" i="10"/>
  <c r="K50" i="10"/>
  <c r="F77" i="10" l="1"/>
  <c r="D77" i="10" s="1"/>
  <c r="E77" i="10" s="1"/>
  <c r="G77" i="10" s="1"/>
  <c r="P83" i="10"/>
  <c r="N84" i="10"/>
  <c r="J51" i="10"/>
  <c r="I51" i="10"/>
  <c r="K51" i="10" s="1"/>
  <c r="O83" i="10"/>
  <c r="O84" i="10" s="1"/>
  <c r="F78" i="10" l="1"/>
  <c r="D78" i="10" s="1"/>
  <c r="E78" i="10" s="1"/>
  <c r="G78" i="10" s="1"/>
  <c r="J52" i="10"/>
  <c r="I52" i="10"/>
  <c r="H51" i="10"/>
  <c r="P84" i="10"/>
  <c r="N85" i="10"/>
  <c r="O85" i="10" s="1"/>
  <c r="H52" i="10" l="1"/>
  <c r="F79" i="10"/>
  <c r="D79" i="10" s="1"/>
  <c r="E79" i="10" s="1"/>
  <c r="G79" i="10" s="1"/>
  <c r="K52" i="10"/>
  <c r="N86" i="10"/>
  <c r="P85" i="10"/>
  <c r="F80" i="10" l="1"/>
  <c r="D80" i="10" s="1"/>
  <c r="E80" i="10" s="1"/>
  <c r="G80" i="10" s="1"/>
  <c r="P86" i="10"/>
  <c r="N87" i="10"/>
  <c r="J53" i="10"/>
  <c r="I53" i="10"/>
  <c r="O86" i="10"/>
  <c r="O87" i="10" l="1"/>
  <c r="H53" i="10"/>
  <c r="F81" i="10"/>
  <c r="D81" i="10" s="1"/>
  <c r="E81" i="10" s="1"/>
  <c r="G81" i="10" s="1"/>
  <c r="K53" i="10"/>
  <c r="P87" i="10"/>
  <c r="N88" i="10"/>
  <c r="F82" i="10" l="1"/>
  <c r="D82" i="10" s="1"/>
  <c r="E82" i="10" s="1"/>
  <c r="G82" i="10" s="1"/>
  <c r="J54" i="10"/>
  <c r="I54" i="10"/>
  <c r="H54" i="10" s="1"/>
  <c r="P88" i="10"/>
  <c r="N89" i="10"/>
  <c r="O88" i="10"/>
  <c r="O89" i="10" l="1"/>
  <c r="F83" i="10"/>
  <c r="D83" i="10" s="1"/>
  <c r="E83" i="10" s="1"/>
  <c r="G83" i="10" s="1"/>
  <c r="N90" i="10"/>
  <c r="O90" i="10" s="1"/>
  <c r="P89" i="10"/>
  <c r="K54" i="10"/>
  <c r="F84" i="10" l="1"/>
  <c r="D84" i="10" s="1"/>
  <c r="E84" i="10" s="1"/>
  <c r="G84" i="10" s="1"/>
  <c r="P90" i="10"/>
  <c r="N91" i="10"/>
  <c r="O91" i="10" s="1"/>
  <c r="J55" i="10"/>
  <c r="I55" i="10"/>
  <c r="H55" i="10" l="1"/>
  <c r="F85" i="10"/>
  <c r="D85" i="10" s="1"/>
  <c r="E85" i="10" s="1"/>
  <c r="G85" i="10" s="1"/>
  <c r="K55" i="10"/>
  <c r="P91" i="10"/>
  <c r="N92" i="10"/>
  <c r="F86" i="10" l="1"/>
  <c r="D86" i="10" s="1"/>
  <c r="E86" i="10" s="1"/>
  <c r="G86" i="10" s="1"/>
  <c r="P92" i="10"/>
  <c r="N93" i="10"/>
  <c r="O92" i="10"/>
  <c r="O93" i="10" s="1"/>
  <c r="J56" i="10"/>
  <c r="I56" i="10"/>
  <c r="H56" i="10" l="1"/>
  <c r="F87" i="10"/>
  <c r="D87" i="10" s="1"/>
  <c r="E87" i="10" s="1"/>
  <c r="G87" i="10" s="1"/>
  <c r="K56" i="10"/>
  <c r="N94" i="10"/>
  <c r="P93" i="10"/>
  <c r="F88" i="10" l="1"/>
  <c r="D88" i="10" s="1"/>
  <c r="E88" i="10" s="1"/>
  <c r="G88" i="10" s="1"/>
  <c r="P94" i="10"/>
  <c r="N95" i="10"/>
  <c r="J57" i="10"/>
  <c r="I57" i="10"/>
  <c r="K57" i="10" s="1"/>
  <c r="O94" i="10"/>
  <c r="O95" i="10" s="1"/>
  <c r="H57" i="10" l="1"/>
  <c r="F89" i="10"/>
  <c r="D89" i="10" s="1"/>
  <c r="E89" i="10" s="1"/>
  <c r="G89" i="10" s="1"/>
  <c r="J58" i="10"/>
  <c r="I58" i="10"/>
  <c r="P95" i="10"/>
  <c r="N96" i="10"/>
  <c r="O96" i="10" s="1"/>
  <c r="H58" i="10" l="1"/>
  <c r="F90" i="10"/>
  <c r="D90" i="10" s="1"/>
  <c r="E90" i="10" s="1"/>
  <c r="G90" i="10" s="1"/>
  <c r="K58" i="10"/>
  <c r="P96" i="10"/>
  <c r="N97" i="10"/>
  <c r="F91" i="10" l="1"/>
  <c r="D91" i="10" s="1"/>
  <c r="E91" i="10" s="1"/>
  <c r="G91" i="10" s="1"/>
  <c r="N98" i="10"/>
  <c r="P97" i="10"/>
  <c r="O97" i="10"/>
  <c r="O98" i="10" s="1"/>
  <c r="J59" i="10"/>
  <c r="I59" i="10"/>
  <c r="H59" i="10" l="1"/>
  <c r="F92" i="10"/>
  <c r="D92" i="10" s="1"/>
  <c r="E92" i="10" s="1"/>
  <c r="G92" i="10" s="1"/>
  <c r="K59" i="10"/>
  <c r="P98" i="10"/>
  <c r="N99" i="10"/>
  <c r="O99" i="10"/>
  <c r="F93" i="10" l="1"/>
  <c r="D93" i="10" s="1"/>
  <c r="E93" i="10" s="1"/>
  <c r="G93" i="10" s="1"/>
  <c r="J60" i="10"/>
  <c r="I60" i="10"/>
  <c r="P99" i="10"/>
  <c r="N100" i="10"/>
  <c r="O100" i="10" s="1"/>
  <c r="H60" i="10" l="1"/>
  <c r="F94" i="10"/>
  <c r="D94" i="10" s="1"/>
  <c r="E94" i="10" s="1"/>
  <c r="G94" i="10" s="1"/>
  <c r="P100" i="10"/>
  <c r="N101" i="10"/>
  <c r="O101" i="10" s="1"/>
  <c r="K60" i="10"/>
  <c r="F95" i="10" l="1"/>
  <c r="D95" i="10" s="1"/>
  <c r="E95" i="10" s="1"/>
  <c r="G95" i="10" s="1"/>
  <c r="J61" i="10"/>
  <c r="I61" i="10"/>
  <c r="H61" i="10" s="1"/>
  <c r="N102" i="10"/>
  <c r="P101" i="10"/>
  <c r="F96" i="10" l="1"/>
  <c r="D96" i="10" s="1"/>
  <c r="E96" i="10" s="1"/>
  <c r="G96" i="10" s="1"/>
  <c r="P102" i="10"/>
  <c r="N103" i="10"/>
  <c r="K61" i="10"/>
  <c r="O102" i="10"/>
  <c r="O103" i="10" s="1"/>
  <c r="F97" i="10" l="1"/>
  <c r="D97" i="10" s="1"/>
  <c r="E97" i="10" s="1"/>
  <c r="G97" i="10" s="1"/>
  <c r="J62" i="10"/>
  <c r="I62" i="10"/>
  <c r="H62" i="10" s="1"/>
  <c r="P103" i="10"/>
  <c r="N104" i="10"/>
  <c r="F98" i="10" l="1"/>
  <c r="D98" i="10" s="1"/>
  <c r="E98" i="10" s="1"/>
  <c r="G98" i="10" s="1"/>
  <c r="P104" i="10"/>
  <c r="N105" i="10"/>
  <c r="K62" i="10"/>
  <c r="O104" i="10"/>
  <c r="O105" i="10" s="1"/>
  <c r="F99" i="10" l="1"/>
  <c r="D99" i="10" s="1"/>
  <c r="E99" i="10" s="1"/>
  <c r="G99" i="10" s="1"/>
  <c r="J63" i="10"/>
  <c r="I63" i="10"/>
  <c r="N106" i="10"/>
  <c r="P105" i="10"/>
  <c r="H63" i="10" l="1"/>
  <c r="F100" i="10"/>
  <c r="D100" i="10" s="1"/>
  <c r="E100" i="10" s="1"/>
  <c r="G100" i="10" s="1"/>
  <c r="K63" i="10"/>
  <c r="P106" i="10"/>
  <c r="N107" i="10"/>
  <c r="O106" i="10"/>
  <c r="F101" i="10" l="1"/>
  <c r="D101" i="10" s="1"/>
  <c r="E101" i="10" s="1"/>
  <c r="G101" i="10" s="1"/>
  <c r="J64" i="10"/>
  <c r="I64" i="10"/>
  <c r="O107" i="10"/>
  <c r="O108" i="10" s="1"/>
  <c r="P107" i="10"/>
  <c r="N108" i="10"/>
  <c r="F102" i="10" l="1"/>
  <c r="D102" i="10" s="1"/>
  <c r="E102" i="10" s="1"/>
  <c r="G102" i="10" s="1"/>
  <c r="H64" i="10"/>
  <c r="P108" i="10"/>
  <c r="N109" i="10"/>
  <c r="K64" i="10"/>
  <c r="F103" i="10" l="1"/>
  <c r="D103" i="10" s="1"/>
  <c r="E103" i="10" s="1"/>
  <c r="G103" i="10" s="1"/>
  <c r="N110" i="10"/>
  <c r="P109" i="10"/>
  <c r="J65" i="10"/>
  <c r="I65" i="10"/>
  <c r="K65" i="10" s="1"/>
  <c r="O109" i="10"/>
  <c r="O110" i="10" s="1"/>
  <c r="F104" i="10" l="1"/>
  <c r="D104" i="10" s="1"/>
  <c r="E104" i="10" s="1"/>
  <c r="G104" i="10" s="1"/>
  <c r="P110" i="10"/>
  <c r="N111" i="10"/>
  <c r="O111" i="10" s="1"/>
  <c r="J66" i="10"/>
  <c r="I66" i="10"/>
  <c r="H65" i="10"/>
  <c r="H66" i="10" l="1"/>
  <c r="F105" i="10"/>
  <c r="D105" i="10" s="1"/>
  <c r="E105" i="10" s="1"/>
  <c r="G105" i="10" s="1"/>
  <c r="K66" i="10"/>
  <c r="P111" i="10"/>
  <c r="N112" i="10"/>
  <c r="F106" i="10" l="1"/>
  <c r="D106" i="10" s="1"/>
  <c r="E106" i="10" s="1"/>
  <c r="G106" i="10" s="1"/>
  <c r="P112" i="10"/>
  <c r="N113" i="10"/>
  <c r="O112" i="10"/>
  <c r="O113" i="10" s="1"/>
  <c r="J67" i="10"/>
  <c r="I67" i="10"/>
  <c r="K67" i="10" s="1"/>
  <c r="H67" i="10" l="1"/>
  <c r="F107" i="10"/>
  <c r="D107" i="10" s="1"/>
  <c r="E107" i="10" s="1"/>
  <c r="G107" i="10" s="1"/>
  <c r="J68" i="10"/>
  <c r="I68" i="10"/>
  <c r="N114" i="10"/>
  <c r="O114" i="10" s="1"/>
  <c r="P113" i="10"/>
  <c r="H68" i="10" l="1"/>
  <c r="F108" i="10"/>
  <c r="D108" i="10" s="1"/>
  <c r="E108" i="10" s="1"/>
  <c r="G108" i="10" s="1"/>
  <c r="K68" i="10"/>
  <c r="P114" i="10"/>
  <c r="N115" i="10"/>
  <c r="F109" i="10" l="1"/>
  <c r="D109" i="10" s="1"/>
  <c r="E109" i="10" s="1"/>
  <c r="G109" i="10" s="1"/>
  <c r="P115" i="10"/>
  <c r="N116" i="10"/>
  <c r="O115" i="10"/>
  <c r="O116" i="10" s="1"/>
  <c r="J69" i="10"/>
  <c r="I69" i="10"/>
  <c r="H69" i="10" l="1"/>
  <c r="F110" i="10"/>
  <c r="D110" i="10" s="1"/>
  <c r="E110" i="10" s="1"/>
  <c r="G110" i="10" s="1"/>
  <c r="K69" i="10"/>
  <c r="P116" i="10"/>
  <c r="N117" i="10"/>
  <c r="F111" i="10" l="1"/>
  <c r="D111" i="10" s="1"/>
  <c r="E111" i="10" s="1"/>
  <c r="G111" i="10" s="1"/>
  <c r="J70" i="10"/>
  <c r="I70" i="10"/>
  <c r="N118" i="10"/>
  <c r="P117" i="10"/>
  <c r="O117" i="10"/>
  <c r="H70" i="10" l="1"/>
  <c r="F112" i="10"/>
  <c r="D112" i="10" s="1"/>
  <c r="E112" i="10" s="1"/>
  <c r="G112" i="10" s="1"/>
  <c r="K70" i="10"/>
  <c r="P118" i="10"/>
  <c r="N119" i="10"/>
  <c r="O118" i="10"/>
  <c r="O119" i="10" s="1"/>
  <c r="F113" i="10" l="1"/>
  <c r="D113" i="10" s="1"/>
  <c r="E113" i="10" s="1"/>
  <c r="G113" i="10" s="1"/>
  <c r="P119" i="10"/>
  <c r="N120" i="10"/>
  <c r="O120" i="10" s="1"/>
  <c r="J71" i="10"/>
  <c r="I71" i="10"/>
  <c r="H71" i="10" s="1"/>
  <c r="F114" i="10" l="1"/>
  <c r="D114" i="10" s="1"/>
  <c r="E114" i="10" s="1"/>
  <c r="G114" i="10" s="1"/>
  <c r="K71" i="10"/>
  <c r="P120" i="10"/>
  <c r="N121" i="10"/>
  <c r="F115" i="10" l="1"/>
  <c r="D115" i="10" s="1"/>
  <c r="E115" i="10" s="1"/>
  <c r="G115" i="10" s="1"/>
  <c r="N122" i="10"/>
  <c r="P121" i="10"/>
  <c r="J72" i="10"/>
  <c r="I72" i="10"/>
  <c r="K72" i="10" s="1"/>
  <c r="O121" i="10"/>
  <c r="O122" i="10" s="1"/>
  <c r="F116" i="10" l="1"/>
  <c r="D116" i="10" s="1"/>
  <c r="E116" i="10" s="1"/>
  <c r="G116" i="10" s="1"/>
  <c r="J73" i="10"/>
  <c r="I73" i="10"/>
  <c r="H72" i="10"/>
  <c r="P122" i="10"/>
  <c r="N123" i="10"/>
  <c r="O123" i="10" s="1"/>
  <c r="H73" i="10" l="1"/>
  <c r="F117" i="10"/>
  <c r="D117" i="10" s="1"/>
  <c r="E117" i="10" s="1"/>
  <c r="G117" i="10" s="1"/>
  <c r="K73" i="10"/>
  <c r="P123" i="10"/>
  <c r="N124" i="10"/>
  <c r="F118" i="10" l="1"/>
  <c r="D118" i="10" s="1"/>
  <c r="E118" i="10" s="1"/>
  <c r="G118" i="10" s="1"/>
  <c r="P124" i="10"/>
  <c r="N125" i="10"/>
  <c r="J74" i="10"/>
  <c r="I74" i="10"/>
  <c r="K74" i="10" s="1"/>
  <c r="O124" i="10"/>
  <c r="O125" i="10" s="1"/>
  <c r="F119" i="10" l="1"/>
  <c r="D119" i="10" s="1"/>
  <c r="E119" i="10" s="1"/>
  <c r="G119" i="10" s="1"/>
  <c r="J75" i="10"/>
  <c r="I75" i="10"/>
  <c r="H74" i="10"/>
  <c r="N126" i="10"/>
  <c r="P125" i="10"/>
  <c r="H75" i="10" l="1"/>
  <c r="F120" i="10"/>
  <c r="D120" i="10" s="1"/>
  <c r="E120" i="10" s="1"/>
  <c r="G120" i="10" s="1"/>
  <c r="P126" i="10"/>
  <c r="N127" i="10"/>
  <c r="O126" i="10"/>
  <c r="K75" i="10"/>
  <c r="F121" i="10" l="1"/>
  <c r="D121" i="10" s="1"/>
  <c r="E121" i="10" s="1"/>
  <c r="G121" i="10" s="1"/>
  <c r="J76" i="10"/>
  <c r="I76" i="10"/>
  <c r="O127" i="10"/>
  <c r="P127" i="10"/>
  <c r="N128" i="10"/>
  <c r="H76" i="10" l="1"/>
  <c r="F122" i="10"/>
  <c r="D122" i="10" s="1"/>
  <c r="E122" i="10" s="1"/>
  <c r="G122" i="10" s="1"/>
  <c r="O128" i="10"/>
  <c r="O129" i="10" s="1"/>
  <c r="P128" i="10"/>
  <c r="N129" i="10"/>
  <c r="K76" i="10"/>
  <c r="F123" i="10" l="1"/>
  <c r="D123" i="10" s="1"/>
  <c r="E123" i="10" s="1"/>
  <c r="G123" i="10" s="1"/>
  <c r="J77" i="10"/>
  <c r="I77" i="10"/>
  <c r="N130" i="10"/>
  <c r="O130" i="10" s="1"/>
  <c r="P129" i="10"/>
  <c r="H77" i="10" l="1"/>
  <c r="F124" i="10"/>
  <c r="D124" i="10" s="1"/>
  <c r="E124" i="10" s="1"/>
  <c r="G124" i="10" s="1"/>
  <c r="P130" i="10"/>
  <c r="N131" i="10"/>
  <c r="K77" i="10"/>
  <c r="F125" i="10" l="1"/>
  <c r="D125" i="10" s="1"/>
  <c r="E125" i="10" s="1"/>
  <c r="G125" i="10" s="1"/>
  <c r="J78" i="10"/>
  <c r="I78" i="10"/>
  <c r="P131" i="10"/>
  <c r="N132" i="10"/>
  <c r="O131" i="10"/>
  <c r="O132" i="10" l="1"/>
  <c r="H78" i="10"/>
  <c r="F126" i="10"/>
  <c r="D126" i="10" s="1"/>
  <c r="E126" i="10" s="1"/>
  <c r="G126" i="10" s="1"/>
  <c r="P132" i="10"/>
  <c r="N133" i="10"/>
  <c r="K78" i="10"/>
  <c r="O133" i="10"/>
  <c r="F127" i="10" l="1"/>
  <c r="D127" i="10" s="1"/>
  <c r="E127" i="10" s="1"/>
  <c r="G127" i="10" s="1"/>
  <c r="J79" i="10"/>
  <c r="I79" i="10"/>
  <c r="N134" i="10"/>
  <c r="P133" i="10"/>
  <c r="F128" i="10" l="1"/>
  <c r="D128" i="10" s="1"/>
  <c r="E128" i="10" s="1"/>
  <c r="G128" i="10" s="1"/>
  <c r="H79" i="10"/>
  <c r="K79" i="10"/>
  <c r="P134" i="10"/>
  <c r="N135" i="10"/>
  <c r="O134" i="10"/>
  <c r="O135" i="10" l="1"/>
  <c r="F129" i="10"/>
  <c r="D129" i="10" s="1"/>
  <c r="E129" i="10" s="1"/>
  <c r="G129" i="10" s="1"/>
  <c r="P135" i="10"/>
  <c r="N136" i="10"/>
  <c r="O136" i="10" s="1"/>
  <c r="J80" i="10"/>
  <c r="I80" i="10"/>
  <c r="K80" i="10" s="1"/>
  <c r="F130" i="10" l="1"/>
  <c r="D130" i="10" s="1"/>
  <c r="E130" i="10" s="1"/>
  <c r="G130" i="10" s="1"/>
  <c r="J81" i="10"/>
  <c r="I81" i="10"/>
  <c r="H80" i="10"/>
  <c r="P136" i="10"/>
  <c r="N137" i="10"/>
  <c r="O137" i="10" s="1"/>
  <c r="H81" i="10" l="1"/>
  <c r="F131" i="10"/>
  <c r="D131" i="10" s="1"/>
  <c r="E131" i="10" s="1"/>
  <c r="G131" i="10" s="1"/>
  <c r="K81" i="10"/>
  <c r="N138" i="10"/>
  <c r="P137" i="10"/>
  <c r="F132" i="10" l="1"/>
  <c r="D132" i="10" s="1"/>
  <c r="E132" i="10" s="1"/>
  <c r="G132" i="10" s="1"/>
  <c r="P138" i="10"/>
  <c r="N139" i="10"/>
  <c r="J82" i="10"/>
  <c r="I82" i="10"/>
  <c r="O138" i="10"/>
  <c r="H82" i="10" l="1"/>
  <c r="F133" i="10"/>
  <c r="D133" i="10" s="1"/>
  <c r="E133" i="10" s="1"/>
  <c r="G133" i="10" s="1"/>
  <c r="K82" i="10"/>
  <c r="O139" i="10"/>
  <c r="P139" i="10"/>
  <c r="N140" i="10"/>
  <c r="F134" i="10" l="1"/>
  <c r="D134" i="10" s="1"/>
  <c r="E134" i="10" s="1"/>
  <c r="G134" i="10" s="1"/>
  <c r="P140" i="10"/>
  <c r="N141" i="10"/>
  <c r="O140" i="10"/>
  <c r="J83" i="10"/>
  <c r="I83" i="10"/>
  <c r="K83" i="10" s="1"/>
  <c r="F135" i="10" l="1"/>
  <c r="D135" i="10" s="1"/>
  <c r="E135" i="10" s="1"/>
  <c r="G135" i="10" s="1"/>
  <c r="J84" i="10"/>
  <c r="I84" i="10"/>
  <c r="K84" i="10" s="1"/>
  <c r="O141" i="10"/>
  <c r="O142" i="10" s="1"/>
  <c r="H83" i="10"/>
  <c r="N142" i="10"/>
  <c r="P141" i="10"/>
  <c r="F136" i="10" l="1"/>
  <c r="D136" i="10" s="1"/>
  <c r="E136" i="10" s="1"/>
  <c r="G136" i="10" s="1"/>
  <c r="J85" i="10"/>
  <c r="I85" i="10"/>
  <c r="P142" i="10"/>
  <c r="N143" i="10"/>
  <c r="O143" i="10" s="1"/>
  <c r="H84" i="10"/>
  <c r="H85" i="10" l="1"/>
  <c r="F137" i="10"/>
  <c r="D137" i="10" s="1"/>
  <c r="E137" i="10" s="1"/>
  <c r="G137" i="10" s="1"/>
  <c r="P143" i="10"/>
  <c r="N144" i="10"/>
  <c r="K85" i="10"/>
  <c r="F138" i="10" l="1"/>
  <c r="D138" i="10" s="1"/>
  <c r="E138" i="10" s="1"/>
  <c r="G138" i="10" s="1"/>
  <c r="J86" i="10"/>
  <c r="I86" i="10"/>
  <c r="P144" i="10"/>
  <c r="N145" i="10"/>
  <c r="O144" i="10"/>
  <c r="O145" i="10" l="1"/>
  <c r="H86" i="10"/>
  <c r="K86" i="10"/>
  <c r="I87" i="10" s="1"/>
  <c r="F139" i="10"/>
  <c r="D139" i="10" s="1"/>
  <c r="E139" i="10" s="1"/>
  <c r="G139" i="10" s="1"/>
  <c r="N146" i="10"/>
  <c r="O146" i="10" s="1"/>
  <c r="P145" i="10"/>
  <c r="J87" i="10" l="1"/>
  <c r="H87" i="10" s="1"/>
  <c r="F140" i="10"/>
  <c r="D140" i="10" s="1"/>
  <c r="E140" i="10" s="1"/>
  <c r="G140" i="10" s="1"/>
  <c r="P146" i="10"/>
  <c r="N147" i="10"/>
  <c r="K87" i="10"/>
  <c r="F141" i="10" l="1"/>
  <c r="D141" i="10" s="1"/>
  <c r="E141" i="10" s="1"/>
  <c r="G141" i="10" s="1"/>
  <c r="P147" i="10"/>
  <c r="N148" i="10"/>
  <c r="J88" i="10"/>
  <c r="I88" i="10"/>
  <c r="H88" i="10" s="1"/>
  <c r="O147" i="10"/>
  <c r="O148" i="10" s="1"/>
  <c r="F142" i="10" l="1"/>
  <c r="D142" i="10" s="1"/>
  <c r="E142" i="10" s="1"/>
  <c r="G142" i="10" s="1"/>
  <c r="K88" i="10"/>
  <c r="P148" i="10"/>
  <c r="N149" i="10"/>
  <c r="F143" i="10" l="1"/>
  <c r="D143" i="10" s="1"/>
  <c r="E143" i="10" s="1"/>
  <c r="G143" i="10" s="1"/>
  <c r="N150" i="10"/>
  <c r="P149" i="10"/>
  <c r="O149" i="10"/>
  <c r="O150" i="10" s="1"/>
  <c r="J89" i="10"/>
  <c r="I89" i="10"/>
  <c r="K89" i="10" s="1"/>
  <c r="H89" i="10" l="1"/>
  <c r="F144" i="10"/>
  <c r="D144" i="10" s="1"/>
  <c r="E144" i="10" s="1"/>
  <c r="G144" i="10" s="1"/>
  <c r="J90" i="10"/>
  <c r="I90" i="10"/>
  <c r="K90" i="10" s="1"/>
  <c r="P150" i="10"/>
  <c r="N151" i="10"/>
  <c r="O151" i="10"/>
  <c r="J91" i="10" l="1"/>
  <c r="I91" i="10"/>
  <c r="F145" i="10"/>
  <c r="D145" i="10" s="1"/>
  <c r="E145" i="10" s="1"/>
  <c r="G145" i="10" s="1"/>
  <c r="P151" i="10"/>
  <c r="N152" i="10"/>
  <c r="H90" i="10"/>
  <c r="O152" i="10"/>
  <c r="H91" i="10" l="1"/>
  <c r="F146" i="10"/>
  <c r="D146" i="10" s="1"/>
  <c r="E146" i="10" s="1"/>
  <c r="G146" i="10" s="1"/>
  <c r="P152" i="10"/>
  <c r="N153" i="10"/>
  <c r="O153" i="10" s="1"/>
  <c r="K91" i="10"/>
  <c r="F147" i="10" l="1"/>
  <c r="D147" i="10" s="1"/>
  <c r="E147" i="10" s="1"/>
  <c r="G147" i="10" s="1"/>
  <c r="J92" i="10"/>
  <c r="I92" i="10"/>
  <c r="N154" i="10"/>
  <c r="O154" i="10" s="1"/>
  <c r="P153" i="10"/>
  <c r="H92" i="10" l="1"/>
  <c r="F148" i="10"/>
  <c r="D148" i="10" s="1"/>
  <c r="E148" i="10" s="1"/>
  <c r="G148" i="10" s="1"/>
  <c r="K92" i="10"/>
  <c r="P154" i="10"/>
  <c r="N155" i="10"/>
  <c r="O155" i="10" s="1"/>
  <c r="F149" i="10" l="1"/>
  <c r="D149" i="10" s="1"/>
  <c r="E149" i="10" s="1"/>
  <c r="G149" i="10" s="1"/>
  <c r="P155" i="10"/>
  <c r="N156" i="10"/>
  <c r="J93" i="10"/>
  <c r="I93" i="10"/>
  <c r="K93" i="10" s="1"/>
  <c r="H93" i="10" l="1"/>
  <c r="F150" i="10"/>
  <c r="D150" i="10" s="1"/>
  <c r="E150" i="10" s="1"/>
  <c r="G150" i="10" s="1"/>
  <c r="J94" i="10"/>
  <c r="I94" i="10"/>
  <c r="K94" i="10" s="1"/>
  <c r="P156" i="10"/>
  <c r="N157" i="10"/>
  <c r="O156" i="10"/>
  <c r="H94" i="10" l="1"/>
  <c r="F151" i="10"/>
  <c r="D151" i="10" s="1"/>
  <c r="E151" i="10" s="1"/>
  <c r="G151" i="10" s="1"/>
  <c r="J95" i="10"/>
  <c r="I95" i="10"/>
  <c r="N158" i="10"/>
  <c r="P157" i="10"/>
  <c r="O157" i="10"/>
  <c r="H95" i="10" l="1"/>
  <c r="F152" i="10"/>
  <c r="D152" i="10" s="1"/>
  <c r="E152" i="10" s="1"/>
  <c r="G152" i="10" s="1"/>
  <c r="P158" i="10"/>
  <c r="N159" i="10"/>
  <c r="O158" i="10"/>
  <c r="K95" i="10"/>
  <c r="F153" i="10" l="1"/>
  <c r="D153" i="10" s="1"/>
  <c r="E153" i="10" s="1"/>
  <c r="G153" i="10" s="1"/>
  <c r="J96" i="10"/>
  <c r="I96" i="10"/>
  <c r="O159" i="10"/>
  <c r="P159" i="10"/>
  <c r="N160" i="10"/>
  <c r="H96" i="10" l="1"/>
  <c r="F154" i="10"/>
  <c r="D154" i="10" s="1"/>
  <c r="E154" i="10" s="1"/>
  <c r="G154" i="10" s="1"/>
  <c r="P160" i="10"/>
  <c r="N161" i="10"/>
  <c r="O160" i="10"/>
  <c r="K96" i="10"/>
  <c r="O161" i="10" l="1"/>
  <c r="F155" i="10"/>
  <c r="D155" i="10" s="1"/>
  <c r="E155" i="10" s="1"/>
  <c r="G155" i="10" s="1"/>
  <c r="J97" i="10"/>
  <c r="I97" i="10"/>
  <c r="N162" i="10"/>
  <c r="O162" i="10" s="1"/>
  <c r="P161" i="10"/>
  <c r="H97" i="10" l="1"/>
  <c r="F156" i="10"/>
  <c r="D156" i="10" s="1"/>
  <c r="E156" i="10" s="1"/>
  <c r="G156" i="10" s="1"/>
  <c r="P162" i="10"/>
  <c r="N163" i="10"/>
  <c r="O163" i="10" s="1"/>
  <c r="K97" i="10"/>
  <c r="F157" i="10" l="1"/>
  <c r="D157" i="10" s="1"/>
  <c r="E157" i="10" s="1"/>
  <c r="G157" i="10" s="1"/>
  <c r="J98" i="10"/>
  <c r="I98" i="10"/>
  <c r="P163" i="10"/>
  <c r="N164" i="10"/>
  <c r="H98" i="10" l="1"/>
  <c r="F158" i="10"/>
  <c r="D158" i="10" s="1"/>
  <c r="E158" i="10" s="1"/>
  <c r="G158" i="10" s="1"/>
  <c r="P164" i="10"/>
  <c r="N165" i="10"/>
  <c r="K98" i="10"/>
  <c r="O164" i="10"/>
  <c r="O165" i="10" l="1"/>
  <c r="F159" i="10"/>
  <c r="D159" i="10" s="1"/>
  <c r="E159" i="10" s="1"/>
  <c r="G159" i="10" s="1"/>
  <c r="J99" i="10"/>
  <c r="I99" i="10"/>
  <c r="N166" i="10"/>
  <c r="P165" i="10"/>
  <c r="H99" i="10" l="1"/>
  <c r="F160" i="10"/>
  <c r="D160" i="10" s="1"/>
  <c r="E160" i="10" s="1"/>
  <c r="G160" i="10" s="1"/>
  <c r="P166" i="10"/>
  <c r="N167" i="10"/>
  <c r="O166" i="10"/>
  <c r="K99" i="10"/>
  <c r="F161" i="10" l="1"/>
  <c r="D161" i="10" s="1"/>
  <c r="E161" i="10" s="1"/>
  <c r="G161" i="10" s="1"/>
  <c r="O167" i="10"/>
  <c r="J100" i="10"/>
  <c r="I100" i="10"/>
  <c r="H100" i="10" s="1"/>
  <c r="P167" i="10"/>
  <c r="N168" i="10"/>
  <c r="K100" i="10" l="1"/>
  <c r="J101" i="10" s="1"/>
  <c r="F162" i="10"/>
  <c r="D162" i="10" s="1"/>
  <c r="E162" i="10" s="1"/>
  <c r="G162" i="10" s="1"/>
  <c r="I101" i="10"/>
  <c r="P168" i="10"/>
  <c r="N169" i="10"/>
  <c r="O168" i="10"/>
  <c r="O169" i="10" s="1"/>
  <c r="H101" i="10" l="1"/>
  <c r="F163" i="10"/>
  <c r="D163" i="10" s="1"/>
  <c r="E163" i="10" s="1"/>
  <c r="G163" i="10" s="1"/>
  <c r="N170" i="10"/>
  <c r="P169" i="10"/>
  <c r="K101" i="10"/>
  <c r="F164" i="10" l="1"/>
  <c r="D164" i="10" s="1"/>
  <c r="E164" i="10" s="1"/>
  <c r="G164" i="10" s="1"/>
  <c r="P170" i="10"/>
  <c r="N171" i="10"/>
  <c r="O170" i="10"/>
  <c r="J102" i="10"/>
  <c r="I102" i="10"/>
  <c r="H102" i="10" l="1"/>
  <c r="F165" i="10"/>
  <c r="D165" i="10" s="1"/>
  <c r="E165" i="10" s="1"/>
  <c r="G165" i="10" s="1"/>
  <c r="K102" i="10"/>
  <c r="O171" i="10"/>
  <c r="P171" i="10"/>
  <c r="N172" i="10"/>
  <c r="F166" i="10" l="1"/>
  <c r="D166" i="10" s="1"/>
  <c r="E166" i="10" s="1"/>
  <c r="G166" i="10" s="1"/>
  <c r="P172" i="10"/>
  <c r="N173" i="10"/>
  <c r="O172" i="10"/>
  <c r="O173" i="10" s="1"/>
  <c r="J103" i="10"/>
  <c r="I103" i="10"/>
  <c r="K103" i="10" s="1"/>
  <c r="H103" i="10" l="1"/>
  <c r="F167" i="10"/>
  <c r="D167" i="10" s="1"/>
  <c r="E167" i="10" s="1"/>
  <c r="G167" i="10" s="1"/>
  <c r="J104" i="10"/>
  <c r="I104" i="10"/>
  <c r="N174" i="10"/>
  <c r="O174" i="10" s="1"/>
  <c r="P173" i="10"/>
  <c r="H104" i="10" l="1"/>
  <c r="F168" i="10"/>
  <c r="D168" i="10" s="1"/>
  <c r="E168" i="10" s="1"/>
  <c r="G168" i="10" s="1"/>
  <c r="K104" i="10"/>
  <c r="P174" i="10"/>
  <c r="N175" i="10"/>
  <c r="F169" i="10" l="1"/>
  <c r="D169" i="10" s="1"/>
  <c r="E169" i="10" s="1"/>
  <c r="G169" i="10" s="1"/>
  <c r="P175" i="10"/>
  <c r="N176" i="10"/>
  <c r="O175" i="10"/>
  <c r="O176" i="10" s="1"/>
  <c r="J105" i="10"/>
  <c r="I105" i="10"/>
  <c r="K105" i="10" s="1"/>
  <c r="H105" i="10" l="1"/>
  <c r="F170" i="10"/>
  <c r="D170" i="10" s="1"/>
  <c r="E170" i="10" s="1"/>
  <c r="G170" i="10" s="1"/>
  <c r="J106" i="10"/>
  <c r="I106" i="10"/>
  <c r="P176" i="10"/>
  <c r="N177" i="10"/>
  <c r="O177" i="10" s="1"/>
  <c r="H106" i="10" l="1"/>
  <c r="F171" i="10"/>
  <c r="D171" i="10" s="1"/>
  <c r="E171" i="10" s="1"/>
  <c r="G171" i="10" s="1"/>
  <c r="N178" i="10"/>
  <c r="P177" i="10"/>
  <c r="K106" i="10"/>
  <c r="F172" i="10" l="1"/>
  <c r="D172" i="10" s="1"/>
  <c r="E172" i="10" s="1"/>
  <c r="G172" i="10" s="1"/>
  <c r="J107" i="10"/>
  <c r="I107" i="10"/>
  <c r="K107" i="10" s="1"/>
  <c r="P178" i="10"/>
  <c r="N179" i="10"/>
  <c r="O178" i="10"/>
  <c r="O179" i="10" l="1"/>
  <c r="J108" i="10"/>
  <c r="I108" i="10"/>
  <c r="F173" i="10"/>
  <c r="D173" i="10" s="1"/>
  <c r="E173" i="10" s="1"/>
  <c r="G173" i="10" s="1"/>
  <c r="H107" i="10"/>
  <c r="P179" i="10"/>
  <c r="N180" i="10"/>
  <c r="O180" i="10" s="1"/>
  <c r="H108" i="10" l="1"/>
  <c r="F174" i="10"/>
  <c r="D174" i="10" s="1"/>
  <c r="E174" i="10" s="1"/>
  <c r="G174" i="10" s="1"/>
  <c r="P180" i="10"/>
  <c r="N181" i="10"/>
  <c r="O181" i="10" s="1"/>
  <c r="K108" i="10"/>
  <c r="F175" i="10" l="1"/>
  <c r="D175" i="10" s="1"/>
  <c r="E175" i="10" s="1"/>
  <c r="G175" i="10" s="1"/>
  <c r="J109" i="10"/>
  <c r="I109" i="10"/>
  <c r="N182" i="10"/>
  <c r="P181" i="10"/>
  <c r="H109" i="10" l="1"/>
  <c r="F176" i="10"/>
  <c r="D176" i="10" s="1"/>
  <c r="E176" i="10" s="1"/>
  <c r="G176" i="10" s="1"/>
  <c r="P182" i="10"/>
  <c r="N183" i="10"/>
  <c r="K109" i="10"/>
  <c r="O182" i="10"/>
  <c r="O183" i="10" s="1"/>
  <c r="F177" i="10" l="1"/>
  <c r="D177" i="10" s="1"/>
  <c r="E177" i="10" s="1"/>
  <c r="G177" i="10" s="1"/>
  <c r="J110" i="10"/>
  <c r="I110" i="10"/>
  <c r="P183" i="10"/>
  <c r="N184" i="10"/>
  <c r="H110" i="10" l="1"/>
  <c r="F178" i="10"/>
  <c r="D178" i="10" s="1"/>
  <c r="E178" i="10" s="1"/>
  <c r="G178" i="10" s="1"/>
  <c r="P184" i="10"/>
  <c r="N185" i="10"/>
  <c r="K110" i="10"/>
  <c r="O184" i="10"/>
  <c r="O185" i="10" l="1"/>
  <c r="F179" i="10"/>
  <c r="D179" i="10" s="1"/>
  <c r="E179" i="10" s="1"/>
  <c r="G179" i="10" s="1"/>
  <c r="J111" i="10"/>
  <c r="I111" i="10"/>
  <c r="N186" i="10"/>
  <c r="P185" i="10"/>
  <c r="H111" i="10" l="1"/>
  <c r="F180" i="10"/>
  <c r="D180" i="10" s="1"/>
  <c r="E180" i="10" s="1"/>
  <c r="G180" i="10" s="1"/>
  <c r="K111" i="10"/>
  <c r="P186" i="10"/>
  <c r="N187" i="10"/>
  <c r="O186" i="10"/>
  <c r="F181" i="10" l="1"/>
  <c r="D181" i="10" s="1"/>
  <c r="E181" i="10" s="1"/>
  <c r="G181" i="10" s="1"/>
  <c r="O187" i="10"/>
  <c r="P187" i="10"/>
  <c r="N188" i="10"/>
  <c r="J112" i="10"/>
  <c r="I112" i="10"/>
  <c r="F182" i="10" l="1"/>
  <c r="D182" i="10" s="1"/>
  <c r="E182" i="10" s="1"/>
  <c r="G182" i="10" s="1"/>
  <c r="O188" i="10"/>
  <c r="P188" i="10"/>
  <c r="N189" i="10"/>
  <c r="H112" i="10"/>
  <c r="K112" i="10"/>
  <c r="F183" i="10" l="1"/>
  <c r="D183" i="10" s="1"/>
  <c r="E183" i="10" s="1"/>
  <c r="G183" i="10" s="1"/>
  <c r="N190" i="10"/>
  <c r="P189" i="10"/>
  <c r="O189" i="10"/>
  <c r="O190" i="10" s="1"/>
  <c r="J113" i="10"/>
  <c r="I113" i="10"/>
  <c r="K113" i="10" s="1"/>
  <c r="F184" i="10" l="1"/>
  <c r="D184" i="10" s="1"/>
  <c r="E184" i="10" s="1"/>
  <c r="G184" i="10" s="1"/>
  <c r="P190" i="10"/>
  <c r="N191" i="10"/>
  <c r="O191" i="10" s="1"/>
  <c r="J114" i="10"/>
  <c r="I114" i="10"/>
  <c r="H114" i="10" s="1"/>
  <c r="H113" i="10"/>
  <c r="F185" i="10" l="1"/>
  <c r="D185" i="10" s="1"/>
  <c r="E185" i="10" s="1"/>
  <c r="G185" i="10" s="1"/>
  <c r="K114" i="10"/>
  <c r="P191" i="10"/>
  <c r="N192" i="10"/>
  <c r="F186" i="10" l="1"/>
  <c r="D186" i="10" s="1"/>
  <c r="E186" i="10" s="1"/>
  <c r="G186" i="10" s="1"/>
  <c r="P192" i="10"/>
  <c r="N193" i="10"/>
  <c r="J115" i="10"/>
  <c r="I115" i="10"/>
  <c r="K115" i="10" s="1"/>
  <c r="O192" i="10"/>
  <c r="O193" i="10" s="1"/>
  <c r="F187" i="10" l="1"/>
  <c r="D187" i="10" s="1"/>
  <c r="E187" i="10" s="1"/>
  <c r="G187" i="10" s="1"/>
  <c r="J116" i="10"/>
  <c r="I116" i="10"/>
  <c r="H116" i="10" s="1"/>
  <c r="O194" i="10"/>
  <c r="H115" i="10"/>
  <c r="N194" i="10"/>
  <c r="P193" i="10"/>
  <c r="F188" i="10" l="1"/>
  <c r="D188" i="10" s="1"/>
  <c r="E188" i="10" s="1"/>
  <c r="G188" i="10" s="1"/>
  <c r="P194" i="10"/>
  <c r="N195" i="10"/>
  <c r="O195" i="10" s="1"/>
  <c r="K116" i="10"/>
  <c r="F189" i="10" l="1"/>
  <c r="D189" i="10" s="1"/>
  <c r="E189" i="10" s="1"/>
  <c r="G189" i="10" s="1"/>
  <c r="J117" i="10"/>
  <c r="I117" i="10"/>
  <c r="P195" i="10"/>
  <c r="N196" i="10"/>
  <c r="H117" i="10" l="1"/>
  <c r="F190" i="10"/>
  <c r="D190" i="10" s="1"/>
  <c r="E190" i="10" s="1"/>
  <c r="G190" i="10" s="1"/>
  <c r="P196" i="10"/>
  <c r="N197" i="10"/>
  <c r="K117" i="10"/>
  <c r="O196" i="10"/>
  <c r="O197" i="10" l="1"/>
  <c r="F191" i="10"/>
  <c r="D191" i="10" s="1"/>
  <c r="E191" i="10" s="1"/>
  <c r="G191" i="10" s="1"/>
  <c r="J118" i="10"/>
  <c r="I118" i="10"/>
  <c r="H118" i="10" s="1"/>
  <c r="N198" i="10"/>
  <c r="P197" i="10"/>
  <c r="F192" i="10" l="1"/>
  <c r="D192" i="10" s="1"/>
  <c r="E192" i="10" s="1"/>
  <c r="G192" i="10" s="1"/>
  <c r="K118" i="10"/>
  <c r="P198" i="10"/>
  <c r="N199" i="10"/>
  <c r="O198" i="10"/>
  <c r="F193" i="10" l="1"/>
  <c r="D193" i="10" s="1"/>
  <c r="E193" i="10" s="1"/>
  <c r="G193" i="10" s="1"/>
  <c r="O199" i="10"/>
  <c r="P199" i="10"/>
  <c r="N200" i="10"/>
  <c r="J119" i="10"/>
  <c r="I119" i="10"/>
  <c r="H119" i="10" l="1"/>
  <c r="F194" i="10"/>
  <c r="D194" i="10" s="1"/>
  <c r="E194" i="10" s="1"/>
  <c r="G194" i="10" s="1"/>
  <c r="K119" i="10"/>
  <c r="O200" i="10"/>
  <c r="P200" i="10"/>
  <c r="N201" i="10"/>
  <c r="F195" i="10" l="1"/>
  <c r="D195" i="10" s="1"/>
  <c r="E195" i="10" s="1"/>
  <c r="G195" i="10" s="1"/>
  <c r="J120" i="10"/>
  <c r="I120" i="10"/>
  <c r="N202" i="10"/>
  <c r="P201" i="10"/>
  <c r="O201" i="10"/>
  <c r="F196" i="10" l="1"/>
  <c r="D196" i="10" s="1"/>
  <c r="E196" i="10" s="1"/>
  <c r="G196" i="10" s="1"/>
  <c r="P202" i="10"/>
  <c r="N203" i="10"/>
  <c r="O202" i="10"/>
  <c r="H120" i="10"/>
  <c r="K120" i="10"/>
  <c r="O203" i="10" l="1"/>
  <c r="F197" i="10"/>
  <c r="D197" i="10" s="1"/>
  <c r="E197" i="10" s="1"/>
  <c r="G197" i="10" s="1"/>
  <c r="J121" i="10"/>
  <c r="I121" i="10"/>
  <c r="H121" i="10" s="1"/>
  <c r="P203" i="10"/>
  <c r="N204" i="10"/>
  <c r="O204" i="10" s="1"/>
  <c r="K121" i="10" l="1"/>
  <c r="I122" i="10" s="1"/>
  <c r="K122" i="10" s="1"/>
  <c r="F198" i="10"/>
  <c r="D198" i="10" s="1"/>
  <c r="E198" i="10" s="1"/>
  <c r="G198" i="10" s="1"/>
  <c r="P204" i="10"/>
  <c r="N205" i="10"/>
  <c r="O205" i="10" s="1"/>
  <c r="J122" i="10" l="1"/>
  <c r="H122" i="10" s="1"/>
  <c r="F199" i="10"/>
  <c r="D199" i="10" s="1"/>
  <c r="E199" i="10" s="1"/>
  <c r="G199" i="10" s="1"/>
  <c r="J123" i="10"/>
  <c r="I123" i="10"/>
  <c r="N206" i="10"/>
  <c r="O206" i="10" s="1"/>
  <c r="P205" i="10"/>
  <c r="H123" i="10" l="1"/>
  <c r="F200" i="10"/>
  <c r="D200" i="10" s="1"/>
  <c r="E200" i="10" s="1"/>
  <c r="G200" i="10" s="1"/>
  <c r="P206" i="10"/>
  <c r="N207" i="10"/>
  <c r="K123" i="10"/>
  <c r="F201" i="10" l="1"/>
  <c r="D201" i="10" s="1"/>
  <c r="E201" i="10" s="1"/>
  <c r="G201" i="10" s="1"/>
  <c r="P207" i="10"/>
  <c r="N208" i="10"/>
  <c r="O207" i="10"/>
  <c r="O208" i="10" s="1"/>
  <c r="J124" i="10"/>
  <c r="I124" i="10"/>
  <c r="F202" i="10" l="1"/>
  <c r="D202" i="10" s="1"/>
  <c r="E202" i="10" s="1"/>
  <c r="G202" i="10" s="1"/>
  <c r="H124" i="10"/>
  <c r="K124" i="10"/>
  <c r="P208" i="10"/>
  <c r="N209" i="10"/>
  <c r="F203" i="10" l="1"/>
  <c r="D203" i="10" s="1"/>
  <c r="E203" i="10" s="1"/>
  <c r="G203" i="10" s="1"/>
  <c r="J125" i="10"/>
  <c r="I125" i="10"/>
  <c r="N210" i="10"/>
  <c r="P209" i="10"/>
  <c r="O209" i="10"/>
  <c r="H125" i="10" l="1"/>
  <c r="F204" i="10"/>
  <c r="D204" i="10" s="1"/>
  <c r="E204" i="10" s="1"/>
  <c r="G204" i="10" s="1"/>
  <c r="P210" i="10"/>
  <c r="N211" i="10"/>
  <c r="O210" i="10"/>
  <c r="K125" i="10"/>
  <c r="F205" i="10" l="1"/>
  <c r="D205" i="10" s="1"/>
  <c r="E205" i="10" s="1"/>
  <c r="G205" i="10" s="1"/>
  <c r="J126" i="10"/>
  <c r="I126" i="10"/>
  <c r="O211" i="10"/>
  <c r="O212" i="10" s="1"/>
  <c r="P211" i="10"/>
  <c r="N212" i="10"/>
  <c r="H126" i="10" l="1"/>
  <c r="F206" i="10"/>
  <c r="D206" i="10" s="1"/>
  <c r="E206" i="10" s="1"/>
  <c r="G206" i="10" s="1"/>
  <c r="O213" i="10"/>
  <c r="P212" i="10"/>
  <c r="N213" i="10"/>
  <c r="K126" i="10"/>
  <c r="F207" i="10" l="1"/>
  <c r="D207" i="10" s="1"/>
  <c r="E207" i="10" s="1"/>
  <c r="G207" i="10" s="1"/>
  <c r="J127" i="10"/>
  <c r="I127" i="10"/>
  <c r="H127" i="10" s="1"/>
  <c r="N214" i="10"/>
  <c r="P213" i="10"/>
  <c r="F208" i="10" l="1"/>
  <c r="D208" i="10" s="1"/>
  <c r="E208" i="10" s="1"/>
  <c r="G208" i="10" s="1"/>
  <c r="P214" i="10"/>
  <c r="N215" i="10"/>
  <c r="O214" i="10"/>
  <c r="K127" i="10"/>
  <c r="F209" i="10" l="1"/>
  <c r="D209" i="10" s="1"/>
  <c r="E209" i="10" s="1"/>
  <c r="G209" i="10" s="1"/>
  <c r="O215" i="10"/>
  <c r="J128" i="10"/>
  <c r="I128" i="10"/>
  <c r="H128" i="10" s="1"/>
  <c r="P215" i="10"/>
  <c r="N216" i="10"/>
  <c r="F210" i="10" l="1"/>
  <c r="D210" i="10" s="1"/>
  <c r="E210" i="10" s="1"/>
  <c r="G210" i="10" s="1"/>
  <c r="K128" i="10"/>
  <c r="P216" i="10"/>
  <c r="N217" i="10"/>
  <c r="O216" i="10"/>
  <c r="O217" i="10" s="1"/>
  <c r="F211" i="10" l="1"/>
  <c r="D211" i="10" s="1"/>
  <c r="E211" i="10" s="1"/>
  <c r="G211" i="10" s="1"/>
  <c r="J129" i="10"/>
  <c r="I129" i="10"/>
  <c r="H129" i="10" s="1"/>
  <c r="N218" i="10"/>
  <c r="P217" i="10"/>
  <c r="F212" i="10" l="1"/>
  <c r="D212" i="10" s="1"/>
  <c r="E212" i="10" s="1"/>
  <c r="G212" i="10" s="1"/>
  <c r="P218" i="10"/>
  <c r="N219" i="10"/>
  <c r="O218" i="10"/>
  <c r="K129" i="10"/>
  <c r="F213" i="10" l="1"/>
  <c r="D213" i="10" s="1"/>
  <c r="E213" i="10" s="1"/>
  <c r="G213" i="10" s="1"/>
  <c r="J130" i="10"/>
  <c r="I130" i="10"/>
  <c r="H130" i="10" s="1"/>
  <c r="O219" i="10"/>
  <c r="O220" i="10" s="1"/>
  <c r="P219" i="10"/>
  <c r="N220" i="10"/>
  <c r="F214" i="10" l="1"/>
  <c r="D214" i="10" s="1"/>
  <c r="E214" i="10" s="1"/>
  <c r="G214" i="10" s="1"/>
  <c r="P220" i="10"/>
  <c r="N221" i="10"/>
  <c r="O221" i="10" s="1"/>
  <c r="K130" i="10"/>
  <c r="F215" i="10" l="1"/>
  <c r="D215" i="10" s="1"/>
  <c r="E215" i="10" s="1"/>
  <c r="G215" i="10" s="1"/>
  <c r="J131" i="10"/>
  <c r="I131" i="10"/>
  <c r="H131" i="10" s="1"/>
  <c r="N222" i="10"/>
  <c r="P221" i="10"/>
  <c r="F216" i="10" l="1"/>
  <c r="D216" i="10" s="1"/>
  <c r="E216" i="10" s="1"/>
  <c r="G216" i="10" s="1"/>
  <c r="P222" i="10"/>
  <c r="N223" i="10"/>
  <c r="K131" i="10"/>
  <c r="O222" i="10"/>
  <c r="O223" i="10" s="1"/>
  <c r="F217" i="10" l="1"/>
  <c r="D217" i="10" s="1"/>
  <c r="E217" i="10" s="1"/>
  <c r="G217" i="10" s="1"/>
  <c r="J132" i="10"/>
  <c r="I132" i="10"/>
  <c r="H132" i="10" s="1"/>
  <c r="P223" i="10"/>
  <c r="N224" i="10"/>
  <c r="O224" i="10" s="1"/>
  <c r="F218" i="10" l="1"/>
  <c r="D218" i="10" s="1"/>
  <c r="E218" i="10" s="1"/>
  <c r="G218" i="10" s="1"/>
  <c r="P224" i="10"/>
  <c r="N225" i="10"/>
  <c r="K132" i="10"/>
  <c r="F219" i="10" l="1"/>
  <c r="D219" i="10" s="1"/>
  <c r="E219" i="10" s="1"/>
  <c r="G219" i="10" s="1"/>
  <c r="J133" i="10"/>
  <c r="I133" i="10"/>
  <c r="H133" i="10" s="1"/>
  <c r="N226" i="10"/>
  <c r="P225" i="10"/>
  <c r="O225" i="10"/>
  <c r="K133" i="10" l="1"/>
  <c r="I134" i="10" s="1"/>
  <c r="F220" i="10"/>
  <c r="D220" i="10" s="1"/>
  <c r="E220" i="10" s="1"/>
  <c r="G220" i="10" s="1"/>
  <c r="P226" i="10"/>
  <c r="N227" i="10"/>
  <c r="O226" i="10"/>
  <c r="J134" i="10" l="1"/>
  <c r="H134" i="10" s="1"/>
  <c r="F221" i="10"/>
  <c r="D221" i="10" s="1"/>
  <c r="E221" i="10" s="1"/>
  <c r="G221" i="10" s="1"/>
  <c r="P227" i="10"/>
  <c r="N228" i="10"/>
  <c r="O227" i="10"/>
  <c r="K134" i="10"/>
  <c r="F222" i="10" l="1"/>
  <c r="D222" i="10" s="1"/>
  <c r="E222" i="10" s="1"/>
  <c r="G222" i="10" s="1"/>
  <c r="O228" i="10"/>
  <c r="P228" i="10"/>
  <c r="N229" i="10"/>
  <c r="J135" i="10"/>
  <c r="I135" i="10"/>
  <c r="O229" i="10" l="1"/>
  <c r="H135" i="10"/>
  <c r="K135" i="10"/>
  <c r="J136" i="10" s="1"/>
  <c r="F223" i="10"/>
  <c r="D223" i="10" s="1"/>
  <c r="E223" i="10" s="1"/>
  <c r="G223" i="10" s="1"/>
  <c r="N230" i="10"/>
  <c r="P229" i="10"/>
  <c r="I136" i="10" l="1"/>
  <c r="H136" i="10"/>
  <c r="F224" i="10"/>
  <c r="D224" i="10" s="1"/>
  <c r="E224" i="10" s="1"/>
  <c r="G224" i="10" s="1"/>
  <c r="P230" i="10"/>
  <c r="N231" i="10"/>
  <c r="O230" i="10"/>
  <c r="K136" i="10"/>
  <c r="F225" i="10" l="1"/>
  <c r="D225" i="10" s="1"/>
  <c r="E225" i="10" s="1"/>
  <c r="G225" i="10" s="1"/>
  <c r="J137" i="10"/>
  <c r="I137" i="10"/>
  <c r="H137" i="10" s="1"/>
  <c r="O231" i="10"/>
  <c r="P231" i="10"/>
  <c r="N232" i="10"/>
  <c r="F226" i="10" l="1"/>
  <c r="D226" i="10" s="1"/>
  <c r="E226" i="10" s="1"/>
  <c r="G226" i="10" s="1"/>
  <c r="O232" i="10"/>
  <c r="P232" i="10"/>
  <c r="N233" i="10"/>
  <c r="K137" i="10"/>
  <c r="O233" i="10" l="1"/>
  <c r="F227" i="10"/>
  <c r="D227" i="10" s="1"/>
  <c r="E227" i="10" s="1"/>
  <c r="G227" i="10" s="1"/>
  <c r="J138" i="10"/>
  <c r="I138" i="10"/>
  <c r="H138" i="10" s="1"/>
  <c r="N234" i="10"/>
  <c r="P233" i="10"/>
  <c r="F228" i="10" l="1"/>
  <c r="D228" i="10" s="1"/>
  <c r="E228" i="10" s="1"/>
  <c r="G228" i="10" s="1"/>
  <c r="P234" i="10"/>
  <c r="N235" i="10"/>
  <c r="O234" i="10"/>
  <c r="K138" i="10"/>
  <c r="F229" i="10" l="1"/>
  <c r="D229" i="10" s="1"/>
  <c r="E229" i="10" s="1"/>
  <c r="G229" i="10" s="1"/>
  <c r="J139" i="10"/>
  <c r="I139" i="10"/>
  <c r="H139" i="10" s="1"/>
  <c r="O235" i="10"/>
  <c r="P235" i="10"/>
  <c r="N236" i="10"/>
  <c r="F230" i="10" l="1"/>
  <c r="D230" i="10" s="1"/>
  <c r="E230" i="10" s="1"/>
  <c r="G230" i="10" s="1"/>
  <c r="O236" i="10"/>
  <c r="P236" i="10"/>
  <c r="N237" i="10"/>
  <c r="K139" i="10"/>
  <c r="F231" i="10" l="1"/>
  <c r="D231" i="10" s="1"/>
  <c r="E231" i="10" s="1"/>
  <c r="G231" i="10" s="1"/>
  <c r="J140" i="10"/>
  <c r="I140" i="10"/>
  <c r="H140" i="10" s="1"/>
  <c r="O237" i="10"/>
  <c r="N238" i="10"/>
  <c r="P237" i="10"/>
  <c r="O238" i="10" l="1"/>
  <c r="F232" i="10"/>
  <c r="D232" i="10" s="1"/>
  <c r="E232" i="10" s="1"/>
  <c r="G232" i="10" s="1"/>
  <c r="O239" i="10"/>
  <c r="P238" i="10"/>
  <c r="N239" i="10"/>
  <c r="K140" i="10"/>
  <c r="F233" i="10" l="1"/>
  <c r="D233" i="10" s="1"/>
  <c r="E233" i="10" s="1"/>
  <c r="G233" i="10" s="1"/>
  <c r="J141" i="10"/>
  <c r="I141" i="10"/>
  <c r="P239" i="10"/>
  <c r="N240" i="10"/>
  <c r="O240" i="10" s="1"/>
  <c r="H141" i="10" l="1"/>
  <c r="F234" i="10"/>
  <c r="D234" i="10" s="1"/>
  <c r="E234" i="10" s="1"/>
  <c r="G234" i="10" s="1"/>
  <c r="P240" i="10"/>
  <c r="N241" i="10"/>
  <c r="O241" i="10" s="1"/>
  <c r="K141" i="10"/>
  <c r="F235" i="10" l="1"/>
  <c r="D235" i="10" s="1"/>
  <c r="E235" i="10" s="1"/>
  <c r="G235" i="10" s="1"/>
  <c r="J142" i="10"/>
  <c r="I142" i="10"/>
  <c r="H142" i="10" s="1"/>
  <c r="N242" i="10"/>
  <c r="P241" i="10"/>
  <c r="F236" i="10" l="1"/>
  <c r="D236" i="10" s="1"/>
  <c r="E236" i="10" s="1"/>
  <c r="G236" i="10" s="1"/>
  <c r="P242" i="10"/>
  <c r="N243" i="10"/>
  <c r="K142" i="10"/>
  <c r="O242" i="10"/>
  <c r="O243" i="10" s="1"/>
  <c r="F237" i="10" l="1"/>
  <c r="D237" i="10" s="1"/>
  <c r="E237" i="10" s="1"/>
  <c r="G237" i="10" s="1"/>
  <c r="J143" i="10"/>
  <c r="I143" i="10"/>
  <c r="H143" i="10" s="1"/>
  <c r="P243" i="10"/>
  <c r="N244" i="10"/>
  <c r="F238" i="10" l="1"/>
  <c r="D238" i="10" s="1"/>
  <c r="E238" i="10" s="1"/>
  <c r="G238" i="10" s="1"/>
  <c r="N245" i="10"/>
  <c r="P244" i="10"/>
  <c r="K143" i="10"/>
  <c r="O244" i="10"/>
  <c r="O245" i="10" s="1"/>
  <c r="F239" i="10" l="1"/>
  <c r="D239" i="10" s="1"/>
  <c r="E239" i="10" s="1"/>
  <c r="G239" i="10" s="1"/>
  <c r="P245" i="10"/>
  <c r="N246" i="10"/>
  <c r="O246" i="10" s="1"/>
  <c r="J144" i="10"/>
  <c r="I144" i="10"/>
  <c r="K144" i="10" s="1"/>
  <c r="F240" i="10" l="1"/>
  <c r="D240" i="10" s="1"/>
  <c r="E240" i="10" s="1"/>
  <c r="G240" i="10" s="1"/>
  <c r="J145" i="10"/>
  <c r="I145" i="10"/>
  <c r="H145" i="10" s="1"/>
  <c r="N247" i="10"/>
  <c r="P246" i="10"/>
  <c r="H144" i="10"/>
  <c r="F241" i="10" l="1"/>
  <c r="D241" i="10" s="1"/>
  <c r="E241" i="10" s="1"/>
  <c r="G241" i="10" s="1"/>
  <c r="P247" i="10"/>
  <c r="N248" i="10"/>
  <c r="K145" i="10"/>
  <c r="O247" i="10"/>
  <c r="O248" i="10" s="1"/>
  <c r="F242" i="10" l="1"/>
  <c r="D242" i="10" s="1"/>
  <c r="E242" i="10" s="1"/>
  <c r="G242" i="10" s="1"/>
  <c r="J146" i="10"/>
  <c r="I146" i="10"/>
  <c r="K146" i="10" s="1"/>
  <c r="N249" i="10"/>
  <c r="P248" i="10"/>
  <c r="F243" i="10" l="1"/>
  <c r="D243" i="10" s="1"/>
  <c r="E243" i="10" s="1"/>
  <c r="G243" i="10" s="1"/>
  <c r="H146" i="10"/>
  <c r="J147" i="10"/>
  <c r="I147" i="10"/>
  <c r="P249" i="10"/>
  <c r="N250" i="10"/>
  <c r="O249" i="10"/>
  <c r="O250" i="10" s="1"/>
  <c r="H147" i="10" l="1"/>
  <c r="F244" i="10"/>
  <c r="D244" i="10" s="1"/>
  <c r="E244" i="10" s="1"/>
  <c r="G244" i="10" s="1"/>
  <c r="N251" i="10"/>
  <c r="O251" i="10" s="1"/>
  <c r="P250" i="10"/>
  <c r="K147" i="10"/>
  <c r="F245" i="10" l="1"/>
  <c r="D245" i="10" s="1"/>
  <c r="E245" i="10" s="1"/>
  <c r="G245" i="10" s="1"/>
  <c r="J148" i="10"/>
  <c r="I148" i="10"/>
  <c r="H148" i="10" s="1"/>
  <c r="P251" i="10"/>
  <c r="N252" i="10"/>
  <c r="F246" i="10" l="1"/>
  <c r="D246" i="10" s="1"/>
  <c r="E246" i="10" s="1"/>
  <c r="G246" i="10" s="1"/>
  <c r="N253" i="10"/>
  <c r="P252" i="10"/>
  <c r="K148" i="10"/>
  <c r="O252" i="10"/>
  <c r="O253" i="10" s="1"/>
  <c r="F247" i="10" l="1"/>
  <c r="D247" i="10" s="1"/>
  <c r="E247" i="10" s="1"/>
  <c r="G247" i="10" s="1"/>
  <c r="P253" i="10"/>
  <c r="N254" i="10"/>
  <c r="O254" i="10" s="1"/>
  <c r="J149" i="10"/>
  <c r="I149" i="10"/>
  <c r="H149" i="10" l="1"/>
  <c r="F248" i="10"/>
  <c r="D248" i="10" s="1"/>
  <c r="E248" i="10" s="1"/>
  <c r="G248" i="10" s="1"/>
  <c r="K149" i="10"/>
  <c r="N255" i="10"/>
  <c r="P254" i="10"/>
  <c r="F249" i="10" l="1"/>
  <c r="D249" i="10" s="1"/>
  <c r="E249" i="10" s="1"/>
  <c r="G249" i="10" s="1"/>
  <c r="P255" i="10"/>
  <c r="N256" i="10"/>
  <c r="J150" i="10"/>
  <c r="I150" i="10"/>
  <c r="O255" i="10"/>
  <c r="O256" i="10" l="1"/>
  <c r="H150" i="10"/>
  <c r="F250" i="10"/>
  <c r="D250" i="10" s="1"/>
  <c r="E250" i="10" s="1"/>
  <c r="G250" i="10" s="1"/>
  <c r="K150" i="10"/>
  <c r="N257" i="10"/>
  <c r="P256" i="10"/>
  <c r="F251" i="10" l="1"/>
  <c r="D251" i="10" s="1"/>
  <c r="E251" i="10" s="1"/>
  <c r="G251" i="10" s="1"/>
  <c r="J151" i="10"/>
  <c r="I151" i="10"/>
  <c r="K151" i="10" s="1"/>
  <c r="P257" i="10"/>
  <c r="N258" i="10"/>
  <c r="O257" i="10"/>
  <c r="F252" i="10" l="1"/>
  <c r="D252" i="10" s="1"/>
  <c r="E252" i="10" s="1"/>
  <c r="G252" i="10" s="1"/>
  <c r="J152" i="10"/>
  <c r="I152" i="10"/>
  <c r="H152" i="10" s="1"/>
  <c r="P258" i="10"/>
  <c r="N259" i="10"/>
  <c r="O258" i="10"/>
  <c r="H151" i="10"/>
  <c r="O259" i="10" l="1"/>
  <c r="F253" i="10"/>
  <c r="D253" i="10" s="1"/>
  <c r="E253" i="10" s="1"/>
  <c r="G253" i="10" s="1"/>
  <c r="K152" i="10"/>
  <c r="P259" i="10"/>
  <c r="N260" i="10"/>
  <c r="F254" i="10" l="1"/>
  <c r="D254" i="10" s="1"/>
  <c r="E254" i="10" s="1"/>
  <c r="G254" i="10" s="1"/>
  <c r="N261" i="10"/>
  <c r="P260" i="10"/>
  <c r="J153" i="10"/>
  <c r="I153" i="10"/>
  <c r="K153" i="10" s="1"/>
  <c r="O260" i="10"/>
  <c r="O261" i="10" s="1"/>
  <c r="F255" i="10" l="1"/>
  <c r="D255" i="10" s="1"/>
  <c r="E255" i="10" s="1"/>
  <c r="G255" i="10" s="1"/>
  <c r="P261" i="10"/>
  <c r="N262" i="10"/>
  <c r="O262" i="10" s="1"/>
  <c r="J154" i="10"/>
  <c r="I154" i="10"/>
  <c r="H154" i="10" s="1"/>
  <c r="H153" i="10"/>
  <c r="F256" i="10" l="1"/>
  <c r="D256" i="10" s="1"/>
  <c r="E256" i="10" s="1"/>
  <c r="G256" i="10" s="1"/>
  <c r="K154" i="10"/>
  <c r="P262" i="10"/>
  <c r="N263" i="10"/>
  <c r="F257" i="10" l="1"/>
  <c r="D257" i="10" s="1"/>
  <c r="E257" i="10" s="1"/>
  <c r="G257" i="10" s="1"/>
  <c r="P263" i="10"/>
  <c r="N264" i="10"/>
  <c r="O263" i="10"/>
  <c r="J155" i="10"/>
  <c r="I155" i="10"/>
  <c r="K155" i="10" s="1"/>
  <c r="F258" i="10" l="1"/>
  <c r="D258" i="10" s="1"/>
  <c r="E258" i="10" s="1"/>
  <c r="G258" i="10" s="1"/>
  <c r="O264" i="10"/>
  <c r="J156" i="10"/>
  <c r="I156" i="10"/>
  <c r="H156" i="10" s="1"/>
  <c r="H155" i="10"/>
  <c r="N265" i="10"/>
  <c r="P264" i="10"/>
  <c r="F259" i="10" l="1"/>
  <c r="D259" i="10" s="1"/>
  <c r="E259" i="10" s="1"/>
  <c r="G259" i="10" s="1"/>
  <c r="K156" i="10"/>
  <c r="P265" i="10"/>
  <c r="N266" i="10"/>
  <c r="O265" i="10"/>
  <c r="F260" i="10" l="1"/>
  <c r="D260" i="10" s="1"/>
  <c r="E260" i="10" s="1"/>
  <c r="G260" i="10" s="1"/>
  <c r="O266" i="10"/>
  <c r="J157" i="10"/>
  <c r="I157" i="10"/>
  <c r="H157" i="10" s="1"/>
  <c r="P266" i="10"/>
  <c r="N267" i="10"/>
  <c r="O267" i="10" l="1"/>
  <c r="F261" i="10"/>
  <c r="D261" i="10" s="1"/>
  <c r="E261" i="10" s="1"/>
  <c r="G261" i="10" s="1"/>
  <c r="P267" i="10"/>
  <c r="N268" i="10"/>
  <c r="O268" i="10" s="1"/>
  <c r="K157" i="10"/>
  <c r="F262" i="10" l="1"/>
  <c r="D262" i="10" s="1"/>
  <c r="E262" i="10" s="1"/>
  <c r="G262" i="10" s="1"/>
  <c r="J158" i="10"/>
  <c r="I158" i="10"/>
  <c r="N269" i="10"/>
  <c r="P268" i="10"/>
  <c r="H158" i="10" l="1"/>
  <c r="F263" i="10"/>
  <c r="D263" i="10" s="1"/>
  <c r="E263" i="10" s="1"/>
  <c r="G263" i="10" s="1"/>
  <c r="P269" i="10"/>
  <c r="N270" i="10"/>
  <c r="K158" i="10"/>
  <c r="O269" i="10"/>
  <c r="O270" i="10" l="1"/>
  <c r="F264" i="10"/>
  <c r="D264" i="10" s="1"/>
  <c r="E264" i="10" s="1"/>
  <c r="G264" i="10" s="1"/>
  <c r="J159" i="10"/>
  <c r="I159" i="10"/>
  <c r="H159" i="10" s="1"/>
  <c r="P270" i="10"/>
  <c r="N271" i="10"/>
  <c r="O271" i="10" s="1"/>
  <c r="F265" i="10" l="1"/>
  <c r="D265" i="10" s="1"/>
  <c r="E265" i="10" s="1"/>
  <c r="G265" i="10" s="1"/>
  <c r="P271" i="10"/>
  <c r="N272" i="10"/>
  <c r="O272" i="10" s="1"/>
  <c r="K159" i="10"/>
  <c r="F266" i="10" l="1"/>
  <c r="D266" i="10" s="1"/>
  <c r="E266" i="10" s="1"/>
  <c r="G266" i="10" s="1"/>
  <c r="J160" i="10"/>
  <c r="I160" i="10"/>
  <c r="H160" i="10" s="1"/>
  <c r="N273" i="10"/>
  <c r="P272" i="10"/>
  <c r="F267" i="10" l="1"/>
  <c r="D267" i="10" s="1"/>
  <c r="E267" i="10" s="1"/>
  <c r="G267" i="10" s="1"/>
  <c r="P273" i="10"/>
  <c r="N274" i="10"/>
  <c r="O273" i="10"/>
  <c r="K160" i="10"/>
  <c r="F268" i="10" l="1"/>
  <c r="D268" i="10" s="1"/>
  <c r="E268" i="10" s="1"/>
  <c r="G268" i="10" s="1"/>
  <c r="J161" i="10"/>
  <c r="I161" i="10"/>
  <c r="H161" i="10" s="1"/>
  <c r="O274" i="10"/>
  <c r="O275" i="10" s="1"/>
  <c r="P274" i="10"/>
  <c r="N275" i="10"/>
  <c r="F269" i="10" l="1"/>
  <c r="D269" i="10" s="1"/>
  <c r="E269" i="10" s="1"/>
  <c r="G269" i="10" s="1"/>
  <c r="P275" i="10"/>
  <c r="N276" i="10"/>
  <c r="O276" i="10" s="1"/>
  <c r="K161" i="10"/>
  <c r="F270" i="10" l="1"/>
  <c r="D270" i="10" s="1"/>
  <c r="E270" i="10" s="1"/>
  <c r="G270" i="10" s="1"/>
  <c r="J162" i="10"/>
  <c r="I162" i="10"/>
  <c r="H162" i="10" s="1"/>
  <c r="N277" i="10"/>
  <c r="P276" i="10"/>
  <c r="F271" i="10" l="1"/>
  <c r="D271" i="10" s="1"/>
  <c r="E271" i="10" s="1"/>
  <c r="G271" i="10" s="1"/>
  <c r="P277" i="10"/>
  <c r="N278" i="10"/>
  <c r="O277" i="10"/>
  <c r="K162" i="10"/>
  <c r="F272" i="10" l="1"/>
  <c r="D272" i="10" s="1"/>
  <c r="E272" i="10" s="1"/>
  <c r="G272" i="10" s="1"/>
  <c r="J163" i="10"/>
  <c r="I163" i="10"/>
  <c r="H163" i="10" s="1"/>
  <c r="O278" i="10"/>
  <c r="P278" i="10"/>
  <c r="N279" i="10"/>
  <c r="F273" i="10" l="1"/>
  <c r="D273" i="10" s="1"/>
  <c r="E273" i="10" s="1"/>
  <c r="G273" i="10" s="1"/>
  <c r="O279" i="10"/>
  <c r="P279" i="10"/>
  <c r="N280" i="10"/>
  <c r="K163" i="10"/>
  <c r="O280" i="10" l="1"/>
  <c r="F274" i="10"/>
  <c r="D274" i="10" s="1"/>
  <c r="E274" i="10" s="1"/>
  <c r="G274" i="10" s="1"/>
  <c r="J164" i="10"/>
  <c r="I164" i="10"/>
  <c r="H164" i="10" s="1"/>
  <c r="N281" i="10"/>
  <c r="P280" i="10"/>
  <c r="F275" i="10" l="1"/>
  <c r="D275" i="10" s="1"/>
  <c r="E275" i="10" s="1"/>
  <c r="G275" i="10" s="1"/>
  <c r="P281" i="10"/>
  <c r="N282" i="10"/>
  <c r="O281" i="10"/>
  <c r="K164" i="10"/>
  <c r="F276" i="10" l="1"/>
  <c r="D276" i="10" s="1"/>
  <c r="E276" i="10" s="1"/>
  <c r="G276" i="10" s="1"/>
  <c r="J165" i="10"/>
  <c r="I165" i="10"/>
  <c r="H165" i="10" s="1"/>
  <c r="O282" i="10"/>
  <c r="O283" i="10" s="1"/>
  <c r="P282" i="10"/>
  <c r="N283" i="10"/>
  <c r="F277" i="10" l="1"/>
  <c r="D277" i="10" s="1"/>
  <c r="E277" i="10" s="1"/>
  <c r="G277" i="10" s="1"/>
  <c r="P283" i="10"/>
  <c r="N284" i="10"/>
  <c r="O284" i="10" s="1"/>
  <c r="K165" i="10"/>
  <c r="F278" i="10" l="1"/>
  <c r="D278" i="10" s="1"/>
  <c r="E278" i="10" s="1"/>
  <c r="G278" i="10" s="1"/>
  <c r="J166" i="10"/>
  <c r="I166" i="10"/>
  <c r="H166" i="10" s="1"/>
  <c r="N285" i="10"/>
  <c r="P284" i="10"/>
  <c r="F279" i="10" l="1"/>
  <c r="D279" i="10" s="1"/>
  <c r="E279" i="10" s="1"/>
  <c r="G279" i="10" s="1"/>
  <c r="P285" i="10"/>
  <c r="N286" i="10"/>
  <c r="K166" i="10"/>
  <c r="O285" i="10"/>
  <c r="O286" i="10" s="1"/>
  <c r="F280" i="10" l="1"/>
  <c r="D280" i="10" s="1"/>
  <c r="E280" i="10" s="1"/>
  <c r="G280" i="10" s="1"/>
  <c r="J167" i="10"/>
  <c r="I167" i="10"/>
  <c r="H167" i="10" s="1"/>
  <c r="P286" i="10"/>
  <c r="N287" i="10"/>
  <c r="F281" i="10" l="1"/>
  <c r="D281" i="10" s="1"/>
  <c r="E281" i="10" s="1"/>
  <c r="G281" i="10" s="1"/>
  <c r="P287" i="10"/>
  <c r="N288" i="10"/>
  <c r="K167" i="10"/>
  <c r="O287" i="10"/>
  <c r="O288" i="10" s="1"/>
  <c r="F282" i="10" l="1"/>
  <c r="D282" i="10" s="1"/>
  <c r="E282" i="10" s="1"/>
  <c r="G282" i="10" s="1"/>
  <c r="J168" i="10"/>
  <c r="I168" i="10"/>
  <c r="H168" i="10" s="1"/>
  <c r="N289" i="10"/>
  <c r="P288" i="10"/>
  <c r="F283" i="10" l="1"/>
  <c r="D283" i="10" s="1"/>
  <c r="E283" i="10" s="1"/>
  <c r="G283" i="10" s="1"/>
  <c r="K168" i="10"/>
  <c r="P289" i="10"/>
  <c r="N290" i="10"/>
  <c r="O289" i="10"/>
  <c r="O290" i="10" s="1"/>
  <c r="F284" i="10" l="1"/>
  <c r="D284" i="10" s="1"/>
  <c r="E284" i="10" s="1"/>
  <c r="G284" i="10" s="1"/>
  <c r="J169" i="10"/>
  <c r="I169" i="10"/>
  <c r="H169" i="10" s="1"/>
  <c r="P290" i="10"/>
  <c r="N291" i="10"/>
  <c r="K169" i="10" l="1"/>
  <c r="F285" i="10"/>
  <c r="D285" i="10" s="1"/>
  <c r="E285" i="10" s="1"/>
  <c r="G285" i="10" s="1"/>
  <c r="P291" i="10"/>
  <c r="N292" i="10"/>
  <c r="J170" i="10"/>
  <c r="I170" i="10"/>
  <c r="H170" i="10" s="1"/>
  <c r="O291" i="10"/>
  <c r="O292" i="10" l="1"/>
  <c r="F286" i="10"/>
  <c r="D286" i="10" s="1"/>
  <c r="E286" i="10" s="1"/>
  <c r="G286" i="10" s="1"/>
  <c r="K170" i="10"/>
  <c r="N293" i="10"/>
  <c r="P292" i="10"/>
  <c r="F287" i="10" l="1"/>
  <c r="D287" i="10" s="1"/>
  <c r="E287" i="10" s="1"/>
  <c r="G287" i="10" s="1"/>
  <c r="N294" i="10"/>
  <c r="P293" i="10"/>
  <c r="J171" i="10"/>
  <c r="I171" i="10"/>
  <c r="O293" i="10"/>
  <c r="O294" i="10" s="1"/>
  <c r="H171" i="10" l="1"/>
  <c r="F288" i="10"/>
  <c r="D288" i="10" s="1"/>
  <c r="E288" i="10" s="1"/>
  <c r="G288" i="10" s="1"/>
  <c r="K171" i="10"/>
  <c r="P294" i="10"/>
  <c r="N295" i="10"/>
  <c r="F289" i="10" l="1"/>
  <c r="D289" i="10" s="1"/>
  <c r="E289" i="10" s="1"/>
  <c r="G289" i="10" s="1"/>
  <c r="J172" i="10"/>
  <c r="I172" i="10"/>
  <c r="P295" i="10"/>
  <c r="N296" i="10"/>
  <c r="O295" i="10"/>
  <c r="F290" i="10" l="1"/>
  <c r="D290" i="10" s="1"/>
  <c r="E290" i="10" s="1"/>
  <c r="G290" i="10" s="1"/>
  <c r="N297" i="10"/>
  <c r="P296" i="10"/>
  <c r="O296" i="10"/>
  <c r="O297" i="10" s="1"/>
  <c r="H172" i="10"/>
  <c r="K172" i="10"/>
  <c r="F291" i="10" l="1"/>
  <c r="D291" i="10" s="1"/>
  <c r="E291" i="10" s="1"/>
  <c r="G291" i="10" s="1"/>
  <c r="N298" i="10"/>
  <c r="P297" i="10"/>
  <c r="J173" i="10"/>
  <c r="I173" i="10"/>
  <c r="H173" i="10" s="1"/>
  <c r="F292" i="10" l="1"/>
  <c r="D292" i="10" s="1"/>
  <c r="E292" i="10" s="1"/>
  <c r="G292" i="10" s="1"/>
  <c r="P298" i="10"/>
  <c r="N299" i="10"/>
  <c r="K173" i="10"/>
  <c r="O298" i="10"/>
  <c r="O299" i="10" s="1"/>
  <c r="F293" i="10" l="1"/>
  <c r="D293" i="10" s="1"/>
  <c r="E293" i="10" s="1"/>
  <c r="G293" i="10" s="1"/>
  <c r="J174" i="10"/>
  <c r="I174" i="10"/>
  <c r="H174" i="10" s="1"/>
  <c r="P299" i="10"/>
  <c r="N300" i="10"/>
  <c r="O300" i="10" s="1"/>
  <c r="F294" i="10" l="1"/>
  <c r="D294" i="10" s="1"/>
  <c r="E294" i="10" s="1"/>
  <c r="G294" i="10" s="1"/>
  <c r="P300" i="10"/>
  <c r="N301" i="10"/>
  <c r="K174" i="10"/>
  <c r="O301" i="10"/>
  <c r="F295" i="10" l="1"/>
  <c r="D295" i="10" s="1"/>
  <c r="E295" i="10" s="1"/>
  <c r="G295" i="10" s="1"/>
  <c r="J175" i="10"/>
  <c r="I175" i="10"/>
  <c r="N302" i="10"/>
  <c r="P301" i="10"/>
  <c r="F296" i="10" l="1"/>
  <c r="D296" i="10" s="1"/>
  <c r="E296" i="10" s="1"/>
  <c r="G296" i="10" s="1"/>
  <c r="H175" i="10"/>
  <c r="K175" i="10"/>
  <c r="P302" i="10"/>
  <c r="N303" i="10"/>
  <c r="O302" i="10"/>
  <c r="F297" i="10" l="1"/>
  <c r="D297" i="10" s="1"/>
  <c r="E297" i="10" s="1"/>
  <c r="G297" i="10" s="1"/>
  <c r="P303" i="10"/>
  <c r="N304" i="10"/>
  <c r="J176" i="10"/>
  <c r="I176" i="10"/>
  <c r="O303" i="10"/>
  <c r="O304" i="10" l="1"/>
  <c r="H176" i="10"/>
  <c r="F298" i="10"/>
  <c r="D298" i="10" s="1"/>
  <c r="E298" i="10" s="1"/>
  <c r="G298" i="10" s="1"/>
  <c r="K176" i="10"/>
  <c r="P304" i="10"/>
  <c r="N305" i="10"/>
  <c r="F299" i="10" l="1"/>
  <c r="D299" i="10" s="1"/>
  <c r="E299" i="10" s="1"/>
  <c r="G299" i="10" s="1"/>
  <c r="N306" i="10"/>
  <c r="P305" i="10"/>
  <c r="J177" i="10"/>
  <c r="I177" i="10"/>
  <c r="H177" i="10" s="1"/>
  <c r="O305" i="10"/>
  <c r="F300" i="10" l="1"/>
  <c r="D300" i="10" s="1"/>
  <c r="E300" i="10" s="1"/>
  <c r="G300" i="10" s="1"/>
  <c r="P306" i="10"/>
  <c r="N307" i="10"/>
  <c r="K177" i="10"/>
  <c r="O306" i="10"/>
  <c r="O307" i="10" s="1"/>
  <c r="F301" i="10" l="1"/>
  <c r="D301" i="10" s="1"/>
  <c r="E301" i="10" s="1"/>
  <c r="G301" i="10" s="1"/>
  <c r="J178" i="10"/>
  <c r="I178" i="10"/>
  <c r="H178" i="10" s="1"/>
  <c r="P307" i="10"/>
  <c r="N308" i="10"/>
  <c r="O308" i="10" s="1"/>
  <c r="F302" i="10" l="1"/>
  <c r="D302" i="10" s="1"/>
  <c r="E302" i="10" s="1"/>
  <c r="G302" i="10" s="1"/>
  <c r="P308" i="10"/>
  <c r="N309" i="10"/>
  <c r="O309" i="10"/>
  <c r="K178" i="10"/>
  <c r="F303" i="10" l="1"/>
  <c r="D303" i="10" s="1"/>
  <c r="E303" i="10" s="1"/>
  <c r="G303" i="10" s="1"/>
  <c r="J179" i="10"/>
  <c r="I179" i="10"/>
  <c r="H179" i="10" s="1"/>
  <c r="N310" i="10"/>
  <c r="O310" i="10" s="1"/>
  <c r="P309" i="10"/>
  <c r="K179" i="10" l="1"/>
  <c r="J180" i="10" s="1"/>
  <c r="F304" i="10"/>
  <c r="D304" i="10" s="1"/>
  <c r="E304" i="10" s="1"/>
  <c r="G304" i="10" s="1"/>
  <c r="I180" i="10"/>
  <c r="K180" i="10" s="1"/>
  <c r="P310" i="10"/>
  <c r="N311" i="10"/>
  <c r="O311" i="10" s="1"/>
  <c r="F305" i="10" l="1"/>
  <c r="D305" i="10" s="1"/>
  <c r="E305" i="10" s="1"/>
  <c r="G305" i="10" s="1"/>
  <c r="P311" i="10"/>
  <c r="N312" i="10"/>
  <c r="O312" i="10" s="1"/>
  <c r="H180" i="10"/>
  <c r="J181" i="10"/>
  <c r="I181" i="10"/>
  <c r="H181" i="10" l="1"/>
  <c r="F306" i="10"/>
  <c r="D306" i="10" s="1"/>
  <c r="E306" i="10" s="1"/>
  <c r="G306" i="10" s="1"/>
  <c r="P312" i="10"/>
  <c r="N313" i="10"/>
  <c r="K181" i="10"/>
  <c r="F307" i="10" l="1"/>
  <c r="D307" i="10" s="1"/>
  <c r="E307" i="10" s="1"/>
  <c r="G307" i="10" s="1"/>
  <c r="J182" i="10"/>
  <c r="I182" i="10"/>
  <c r="N314" i="10"/>
  <c r="P313" i="10"/>
  <c r="O313" i="10"/>
  <c r="H182" i="10" l="1"/>
  <c r="K182" i="10"/>
  <c r="J183" i="10" s="1"/>
  <c r="F308" i="10"/>
  <c r="D308" i="10" s="1"/>
  <c r="E308" i="10" s="1"/>
  <c r="G308" i="10" s="1"/>
  <c r="I183" i="10"/>
  <c r="P314" i="10"/>
  <c r="N315" i="10"/>
  <c r="O314" i="10"/>
  <c r="H183" i="10" l="1"/>
  <c r="F309" i="10"/>
  <c r="D309" i="10" s="1"/>
  <c r="E309" i="10" s="1"/>
  <c r="G309" i="10" s="1"/>
  <c r="O315" i="10"/>
  <c r="P315" i="10"/>
  <c r="N316" i="10"/>
  <c r="K183" i="10"/>
  <c r="F310" i="10" l="1"/>
  <c r="D310" i="10" s="1"/>
  <c r="E310" i="10" s="1"/>
  <c r="G310" i="10" s="1"/>
  <c r="J184" i="10"/>
  <c r="I184" i="10"/>
  <c r="P316" i="10"/>
  <c r="N317" i="10"/>
  <c r="O316" i="10"/>
  <c r="F311" i="10" l="1"/>
  <c r="D311" i="10" s="1"/>
  <c r="E311" i="10" s="1"/>
  <c r="G311" i="10" s="1"/>
  <c r="N318" i="10"/>
  <c r="P317" i="10"/>
  <c r="O317" i="10"/>
  <c r="O318" i="10" s="1"/>
  <c r="H184" i="10"/>
  <c r="K184" i="10"/>
  <c r="F312" i="10" l="1"/>
  <c r="D312" i="10" s="1"/>
  <c r="E312" i="10" s="1"/>
  <c r="G312" i="10" s="1"/>
  <c r="P318" i="10"/>
  <c r="N319" i="10"/>
  <c r="J185" i="10"/>
  <c r="I185" i="10"/>
  <c r="H185" i="10" s="1"/>
  <c r="F313" i="10" l="1"/>
  <c r="D313" i="10" s="1"/>
  <c r="E313" i="10" s="1"/>
  <c r="G313" i="10" s="1"/>
  <c r="P319" i="10"/>
  <c r="N320" i="10"/>
  <c r="K185" i="10"/>
  <c r="O319" i="10"/>
  <c r="O320" i="10" s="1"/>
  <c r="F314" i="10" l="1"/>
  <c r="D314" i="10" s="1"/>
  <c r="E314" i="10" s="1"/>
  <c r="G314" i="10" s="1"/>
  <c r="J186" i="10"/>
  <c r="I186" i="10"/>
  <c r="H186" i="10" s="1"/>
  <c r="P320" i="10"/>
  <c r="N321" i="10"/>
  <c r="O321" i="10" s="1"/>
  <c r="F315" i="10" l="1"/>
  <c r="D315" i="10" s="1"/>
  <c r="E315" i="10" s="1"/>
  <c r="G315" i="10" s="1"/>
  <c r="N322" i="10"/>
  <c r="O322" i="10" s="1"/>
  <c r="P321" i="10"/>
  <c r="K186" i="10"/>
  <c r="F316" i="10" l="1"/>
  <c r="D316" i="10" s="1"/>
  <c r="E316" i="10" s="1"/>
  <c r="G316" i="10" s="1"/>
  <c r="J187" i="10"/>
  <c r="I187" i="10"/>
  <c r="K187" i="10" s="1"/>
  <c r="P322" i="10"/>
  <c r="N323" i="10"/>
  <c r="O323" i="10" s="1"/>
  <c r="F317" i="10" l="1"/>
  <c r="D317" i="10" s="1"/>
  <c r="E317" i="10" s="1"/>
  <c r="G317" i="10" s="1"/>
  <c r="J188" i="10"/>
  <c r="I188" i="10"/>
  <c r="H188" i="10" s="1"/>
  <c r="P323" i="10"/>
  <c r="N324" i="10"/>
  <c r="H187" i="10"/>
  <c r="F318" i="10" l="1"/>
  <c r="D318" i="10" s="1"/>
  <c r="E318" i="10" s="1"/>
  <c r="G318" i="10" s="1"/>
  <c r="K188" i="10"/>
  <c r="P324" i="10"/>
  <c r="N325" i="10"/>
  <c r="O324" i="10"/>
  <c r="O325" i="10" s="1"/>
  <c r="F319" i="10" l="1"/>
  <c r="D319" i="10" s="1"/>
  <c r="E319" i="10" s="1"/>
  <c r="G319" i="10" s="1"/>
  <c r="J189" i="10"/>
  <c r="I189" i="10"/>
  <c r="H189" i="10" s="1"/>
  <c r="N326" i="10"/>
  <c r="O326" i="10" s="1"/>
  <c r="P325" i="10"/>
  <c r="F320" i="10" l="1"/>
  <c r="D320" i="10" s="1"/>
  <c r="E320" i="10" s="1"/>
  <c r="G320" i="10" s="1"/>
  <c r="P326" i="10"/>
  <c r="N327" i="10"/>
  <c r="O327" i="10" s="1"/>
  <c r="K189" i="10"/>
  <c r="F321" i="10" l="1"/>
  <c r="D321" i="10" s="1"/>
  <c r="E321" i="10" s="1"/>
  <c r="G321" i="10" s="1"/>
  <c r="J190" i="10"/>
  <c r="I190" i="10"/>
  <c r="H190" i="10" s="1"/>
  <c r="P327" i="10"/>
  <c r="N328" i="10"/>
  <c r="F322" i="10" l="1"/>
  <c r="D322" i="10" s="1"/>
  <c r="E322" i="10" s="1"/>
  <c r="G322" i="10" s="1"/>
  <c r="P328" i="10"/>
  <c r="N329" i="10"/>
  <c r="K190" i="10"/>
  <c r="O328" i="10"/>
  <c r="O329" i="10" s="1"/>
  <c r="F323" i="10" l="1"/>
  <c r="D323" i="10" s="1"/>
  <c r="E323" i="10" s="1"/>
  <c r="G323" i="10" s="1"/>
  <c r="J191" i="10"/>
  <c r="I191" i="10"/>
  <c r="H191" i="10" s="1"/>
  <c r="N330" i="10"/>
  <c r="P329" i="10"/>
  <c r="F324" i="10" l="1"/>
  <c r="D324" i="10" s="1"/>
  <c r="E324" i="10" s="1"/>
  <c r="G324" i="10" s="1"/>
  <c r="K191" i="10"/>
  <c r="P330" i="10"/>
  <c r="N331" i="10"/>
  <c r="O330" i="10"/>
  <c r="F325" i="10" l="1"/>
  <c r="D325" i="10" s="1"/>
  <c r="E325" i="10" s="1"/>
  <c r="G325" i="10" s="1"/>
  <c r="O331" i="10"/>
  <c r="N332" i="10"/>
  <c r="P331" i="10"/>
  <c r="J192" i="10"/>
  <c r="I192" i="10"/>
  <c r="O332" i="10" l="1"/>
  <c r="F326" i="10"/>
  <c r="D326" i="10" s="1"/>
  <c r="E326" i="10" s="1"/>
  <c r="G326" i="10" s="1"/>
  <c r="H192" i="10"/>
  <c r="K192" i="10"/>
  <c r="P332" i="10"/>
  <c r="N333" i="10"/>
  <c r="O333" i="10" s="1"/>
  <c r="F327" i="10" l="1"/>
  <c r="D327" i="10" s="1"/>
  <c r="E327" i="10" s="1"/>
  <c r="G327" i="10" s="1"/>
  <c r="J193" i="10"/>
  <c r="I193" i="10"/>
  <c r="H193" i="10" s="1"/>
  <c r="P333" i="10"/>
  <c r="N334" i="10"/>
  <c r="F328" i="10" l="1"/>
  <c r="D328" i="10" s="1"/>
  <c r="E328" i="10" s="1"/>
  <c r="G328" i="10" s="1"/>
  <c r="N335" i="10"/>
  <c r="P334" i="10"/>
  <c r="K193" i="10"/>
  <c r="O334" i="10"/>
  <c r="O335" i="10" s="1"/>
  <c r="F329" i="10" l="1"/>
  <c r="D329" i="10" s="1"/>
  <c r="E329" i="10" s="1"/>
  <c r="G329" i="10" s="1"/>
  <c r="N336" i="10"/>
  <c r="O336" i="10" s="1"/>
  <c r="P335" i="10"/>
  <c r="K194" i="10"/>
  <c r="J194" i="10"/>
  <c r="I194" i="10"/>
  <c r="F330" i="10" l="1"/>
  <c r="D330" i="10" s="1"/>
  <c r="E330" i="10" s="1"/>
  <c r="G330" i="10" s="1"/>
  <c r="J195" i="10"/>
  <c r="I195" i="10"/>
  <c r="H195" i="10" s="1"/>
  <c r="H194" i="10"/>
  <c r="N337" i="10"/>
  <c r="O337" i="10" s="1"/>
  <c r="P336" i="10"/>
  <c r="F331" i="10" l="1"/>
  <c r="D331" i="10" s="1"/>
  <c r="E331" i="10" s="1"/>
  <c r="G331" i="10" s="1"/>
  <c r="P337" i="10"/>
  <c r="N338" i="10"/>
  <c r="K195" i="10"/>
  <c r="F332" i="10" l="1"/>
  <c r="D332" i="10" s="1"/>
  <c r="E332" i="10" s="1"/>
  <c r="G332" i="10" s="1"/>
  <c r="N339" i="10"/>
  <c r="P338" i="10"/>
  <c r="J196" i="10"/>
  <c r="I196" i="10"/>
  <c r="H196" i="10" s="1"/>
  <c r="O338" i="10"/>
  <c r="O339" i="10" s="1"/>
  <c r="F333" i="10" l="1"/>
  <c r="D333" i="10" s="1"/>
  <c r="E333" i="10" s="1"/>
  <c r="G333" i="10" s="1"/>
  <c r="N340" i="10"/>
  <c r="P339" i="10"/>
  <c r="K196" i="10"/>
  <c r="F334" i="10" l="1"/>
  <c r="D334" i="10" s="1"/>
  <c r="E334" i="10" s="1"/>
  <c r="G334" i="10" s="1"/>
  <c r="N341" i="10"/>
  <c r="P340" i="10"/>
  <c r="O340" i="10"/>
  <c r="O341" i="10" s="1"/>
  <c r="J197" i="10"/>
  <c r="I197" i="10"/>
  <c r="H197" i="10" l="1"/>
  <c r="F335" i="10"/>
  <c r="D335" i="10" s="1"/>
  <c r="E335" i="10" s="1"/>
  <c r="G335" i="10" s="1"/>
  <c r="P341" i="10"/>
  <c r="N342" i="10"/>
  <c r="O342" i="10" s="1"/>
  <c r="K197" i="10"/>
  <c r="F336" i="10" l="1"/>
  <c r="D336" i="10" s="1"/>
  <c r="E336" i="10" s="1"/>
  <c r="G336" i="10" s="1"/>
  <c r="J198" i="10"/>
  <c r="I198" i="10"/>
  <c r="H198" i="10" s="1"/>
  <c r="N343" i="10"/>
  <c r="P342" i="10"/>
  <c r="F337" i="10" l="1"/>
  <c r="D337" i="10" s="1"/>
  <c r="E337" i="10" s="1"/>
  <c r="G337" i="10" s="1"/>
  <c r="K198" i="10"/>
  <c r="N344" i="10"/>
  <c r="P343" i="10"/>
  <c r="O343" i="10"/>
  <c r="O344" i="10" s="1"/>
  <c r="F338" i="10" l="1"/>
  <c r="D338" i="10" s="1"/>
  <c r="E338" i="10" s="1"/>
  <c r="G338" i="10" s="1"/>
  <c r="N345" i="10"/>
  <c r="O345" i="10" s="1"/>
  <c r="P344" i="10"/>
  <c r="J199" i="10"/>
  <c r="I199" i="10"/>
  <c r="H199" i="10" s="1"/>
  <c r="F339" i="10" l="1"/>
  <c r="D339" i="10" s="1"/>
  <c r="E339" i="10" s="1"/>
  <c r="G339" i="10" s="1"/>
  <c r="K199" i="10"/>
  <c r="P345" i="10"/>
  <c r="N346" i="10"/>
  <c r="F340" i="10" l="1"/>
  <c r="D340" i="10" s="1"/>
  <c r="E340" i="10" s="1"/>
  <c r="G340" i="10" s="1"/>
  <c r="N347" i="10"/>
  <c r="P346" i="10"/>
  <c r="J200" i="10"/>
  <c r="K200" i="10"/>
  <c r="I200" i="10"/>
  <c r="O346" i="10"/>
  <c r="O347" i="10" s="1"/>
  <c r="F341" i="10" l="1"/>
  <c r="D341" i="10" s="1"/>
  <c r="E341" i="10" s="1"/>
  <c r="G341" i="10" s="1"/>
  <c r="J201" i="10"/>
  <c r="I201" i="10"/>
  <c r="K201" i="10" s="1"/>
  <c r="N348" i="10"/>
  <c r="P347" i="10"/>
  <c r="H200" i="10"/>
  <c r="F342" i="10" l="1"/>
  <c r="D342" i="10" s="1"/>
  <c r="E342" i="10" s="1"/>
  <c r="G342" i="10" s="1"/>
  <c r="J202" i="10"/>
  <c r="I202" i="10"/>
  <c r="H202" i="10" s="1"/>
  <c r="N349" i="10"/>
  <c r="P348" i="10"/>
  <c r="H201" i="10"/>
  <c r="O348" i="10"/>
  <c r="O349" i="10" l="1"/>
  <c r="F343" i="10"/>
  <c r="D343" i="10" s="1"/>
  <c r="E343" i="10" s="1"/>
  <c r="G343" i="10" s="1"/>
  <c r="P349" i="10"/>
  <c r="N350" i="10"/>
  <c r="O350" i="10" s="1"/>
  <c r="K202" i="10"/>
  <c r="F344" i="10" l="1"/>
  <c r="D344" i="10" s="1"/>
  <c r="E344" i="10" s="1"/>
  <c r="G344" i="10" s="1"/>
  <c r="J203" i="10"/>
  <c r="I203" i="10"/>
  <c r="H203" i="10" s="1"/>
  <c r="N351" i="10"/>
  <c r="O351" i="10" s="1"/>
  <c r="P350" i="10"/>
  <c r="F345" i="10" l="1"/>
  <c r="D345" i="10" s="1"/>
  <c r="E345" i="10" s="1"/>
  <c r="G345" i="10" s="1"/>
  <c r="P351" i="10"/>
  <c r="N352" i="10"/>
  <c r="O352" i="10" s="1"/>
  <c r="K203" i="10"/>
  <c r="F346" i="10" l="1"/>
  <c r="D346" i="10" s="1"/>
  <c r="E346" i="10" s="1"/>
  <c r="G346" i="10" s="1"/>
  <c r="J204" i="10"/>
  <c r="I204" i="10"/>
  <c r="H204" i="10" s="1"/>
  <c r="P352" i="10"/>
  <c r="N353" i="10"/>
  <c r="F347" i="10" l="1"/>
  <c r="D347" i="10" s="1"/>
  <c r="E347" i="10" s="1"/>
  <c r="G347" i="10" s="1"/>
  <c r="K204" i="10"/>
  <c r="P353" i="10"/>
  <c r="N354" i="10"/>
  <c r="O353" i="10"/>
  <c r="O354" i="10" l="1"/>
  <c r="F348" i="10"/>
  <c r="D348" i="10" s="1"/>
  <c r="E348" i="10" s="1"/>
  <c r="G348" i="10" s="1"/>
  <c r="J205" i="10"/>
  <c r="I205" i="10"/>
  <c r="H205" i="10" s="1"/>
  <c r="N355" i="10"/>
  <c r="O355" i="10" s="1"/>
  <c r="P354" i="10"/>
  <c r="F349" i="10" l="1"/>
  <c r="D349" i="10" s="1"/>
  <c r="E349" i="10" s="1"/>
  <c r="G349" i="10" s="1"/>
  <c r="P355" i="10"/>
  <c r="N356" i="10"/>
  <c r="K205" i="10"/>
  <c r="F350" i="10" l="1"/>
  <c r="D350" i="10" s="1"/>
  <c r="E350" i="10" s="1"/>
  <c r="G350" i="10" s="1"/>
  <c r="J206" i="10"/>
  <c r="I206" i="10"/>
  <c r="H206" i="10" s="1"/>
  <c r="P356" i="10"/>
  <c r="N357" i="10"/>
  <c r="O356" i="10"/>
  <c r="K206" i="10" l="1"/>
  <c r="F351" i="10"/>
  <c r="D351" i="10" s="1"/>
  <c r="E351" i="10" s="1"/>
  <c r="G351" i="10" s="1"/>
  <c r="P357" i="10"/>
  <c r="N358" i="10"/>
  <c r="J207" i="10"/>
  <c r="I207" i="10"/>
  <c r="K207" i="10" s="1"/>
  <c r="O357" i="10"/>
  <c r="O358" i="10" s="1"/>
  <c r="F352" i="10" l="1"/>
  <c r="D352" i="10" s="1"/>
  <c r="E352" i="10" s="1"/>
  <c r="G352" i="10" s="1"/>
  <c r="J208" i="10"/>
  <c r="I208" i="10"/>
  <c r="H207" i="10"/>
  <c r="P358" i="10"/>
  <c r="N359" i="10"/>
  <c r="O359" i="10" s="1"/>
  <c r="F353" i="10" l="1"/>
  <c r="D353" i="10" s="1"/>
  <c r="E353" i="10" s="1"/>
  <c r="G353" i="10" s="1"/>
  <c r="N360" i="10"/>
  <c r="P359" i="10"/>
  <c r="H208" i="10"/>
  <c r="K208" i="10"/>
  <c r="F354" i="10" l="1"/>
  <c r="D354" i="10" s="1"/>
  <c r="E354" i="10" s="1"/>
  <c r="G354" i="10" s="1"/>
  <c r="J209" i="10"/>
  <c r="I209" i="10"/>
  <c r="N361" i="10"/>
  <c r="P360" i="10"/>
  <c r="O360" i="10"/>
  <c r="H209" i="10" l="1"/>
  <c r="F355" i="10"/>
  <c r="D355" i="10" s="1"/>
  <c r="E355" i="10" s="1"/>
  <c r="G355" i="10" s="1"/>
  <c r="P361" i="10"/>
  <c r="N362" i="10"/>
  <c r="O361" i="10"/>
  <c r="K209" i="10"/>
  <c r="O362" i="10" l="1"/>
  <c r="F356" i="10"/>
  <c r="D356" i="10" s="1"/>
  <c r="E356" i="10" s="1"/>
  <c r="G356" i="10" s="1"/>
  <c r="J210" i="10"/>
  <c r="I210" i="10"/>
  <c r="P362" i="10"/>
  <c r="N363" i="10"/>
  <c r="O363" i="10" s="1"/>
  <c r="H210" i="10" l="1"/>
  <c r="K210" i="10"/>
  <c r="I211" i="10" s="1"/>
  <c r="F357" i="10"/>
  <c r="D357" i="10" s="1"/>
  <c r="E357" i="10" s="1"/>
  <c r="G357" i="10" s="1"/>
  <c r="N364" i="10"/>
  <c r="O364" i="10" s="1"/>
  <c r="P363" i="10"/>
  <c r="J211" i="10" l="1"/>
  <c r="H211" i="10" s="1"/>
  <c r="F358" i="10"/>
  <c r="D358" i="10" s="1"/>
  <c r="E358" i="10" s="1"/>
  <c r="G358" i="10" s="1"/>
  <c r="O365" i="10"/>
  <c r="P364" i="10"/>
  <c r="N365" i="10"/>
  <c r="K211" i="10"/>
  <c r="F359" i="10" l="1"/>
  <c r="D359" i="10" s="1"/>
  <c r="E359" i="10" s="1"/>
  <c r="G359" i="10" s="1"/>
  <c r="J212" i="10"/>
  <c r="I212" i="10"/>
  <c r="O366" i="10"/>
  <c r="P365" i="10"/>
  <c r="N366" i="10"/>
  <c r="F360" i="10" l="1"/>
  <c r="D360" i="10" s="1"/>
  <c r="E360" i="10" s="1"/>
  <c r="G360" i="10" s="1"/>
  <c r="H212" i="10"/>
  <c r="P366" i="10"/>
  <c r="N367" i="10"/>
  <c r="K212" i="10"/>
  <c r="F361" i="10" l="1"/>
  <c r="D361" i="10" s="1"/>
  <c r="E361" i="10" s="1"/>
  <c r="G361" i="10" s="1"/>
  <c r="J213" i="10"/>
  <c r="I213" i="10"/>
  <c r="N368" i="10"/>
  <c r="P367" i="10"/>
  <c r="O367" i="10"/>
  <c r="H213" i="10" l="1"/>
  <c r="K213" i="10"/>
  <c r="J214" i="10" s="1"/>
  <c r="F362" i="10"/>
  <c r="D362" i="10" s="1"/>
  <c r="E362" i="10" s="1"/>
  <c r="G362" i="10" s="1"/>
  <c r="I214" i="10"/>
  <c r="N369" i="10"/>
  <c r="P368" i="10"/>
  <c r="O368" i="10"/>
  <c r="K214" i="10" l="1"/>
  <c r="F363" i="10"/>
  <c r="D363" i="10" s="1"/>
  <c r="E363" i="10" s="1"/>
  <c r="G363" i="10" s="1"/>
  <c r="P369" i="10"/>
  <c r="N370" i="10"/>
  <c r="J215" i="10"/>
  <c r="I215" i="10"/>
  <c r="H215" i="10" s="1"/>
  <c r="O369" i="10"/>
  <c r="O370" i="10" s="1"/>
  <c r="H214" i="10"/>
  <c r="F364" i="10" l="1"/>
  <c r="D364" i="10" s="1"/>
  <c r="E364" i="10" s="1"/>
  <c r="G364" i="10" s="1"/>
  <c r="K215" i="10"/>
  <c r="P370" i="10"/>
  <c r="N371" i="10"/>
  <c r="F365" i="10" l="1"/>
  <c r="D365" i="10" s="1"/>
  <c r="E365" i="10" s="1"/>
  <c r="G365" i="10" s="1"/>
  <c r="N372" i="10"/>
  <c r="P371" i="10"/>
  <c r="O371" i="10"/>
  <c r="J216" i="10"/>
  <c r="I216" i="10"/>
  <c r="H216" i="10" l="1"/>
  <c r="F366" i="10"/>
  <c r="D366" i="10" s="1"/>
  <c r="E366" i="10" s="1"/>
  <c r="G366" i="10" s="1"/>
  <c r="O372" i="10"/>
  <c r="O373" i="10" s="1"/>
  <c r="P372" i="10"/>
  <c r="N373" i="10"/>
  <c r="K216" i="10"/>
  <c r="F367" i="10" l="1"/>
  <c r="D367" i="10" s="1"/>
  <c r="E367" i="10" s="1"/>
  <c r="G367" i="10" s="1"/>
  <c r="J217" i="10"/>
  <c r="I217" i="10"/>
  <c r="H217" i="10" s="1"/>
  <c r="P373" i="10"/>
  <c r="N374" i="10"/>
  <c r="O374" i="10" s="1"/>
  <c r="F368" i="10" l="1"/>
  <c r="D368" i="10" s="1"/>
  <c r="E368" i="10" s="1"/>
  <c r="G368" i="10" s="1"/>
  <c r="P374" i="10"/>
  <c r="N375" i="10"/>
  <c r="K217" i="10"/>
  <c r="F369" i="10" l="1"/>
  <c r="D369" i="10" s="1"/>
  <c r="E369" i="10" s="1"/>
  <c r="G369" i="10" s="1"/>
  <c r="J218" i="10"/>
  <c r="I218" i="10"/>
  <c r="H218" i="10" s="1"/>
  <c r="N376" i="10"/>
  <c r="P375" i="10"/>
  <c r="O375" i="10"/>
  <c r="F370" i="10" l="1"/>
  <c r="D370" i="10" s="1"/>
  <c r="E370" i="10" s="1"/>
  <c r="G370" i="10" s="1"/>
  <c r="N377" i="10"/>
  <c r="P376" i="10"/>
  <c r="O376" i="10"/>
  <c r="K218" i="10"/>
  <c r="F371" i="10" l="1"/>
  <c r="D371" i="10" s="1"/>
  <c r="E371" i="10" s="1"/>
  <c r="G371" i="10" s="1"/>
  <c r="P377" i="10"/>
  <c r="N378" i="10"/>
  <c r="O377" i="10"/>
  <c r="O378" i="10" s="1"/>
  <c r="J219" i="10"/>
  <c r="I219" i="10"/>
  <c r="K219" i="10" s="1"/>
  <c r="F372" i="10" l="1"/>
  <c r="D372" i="10" s="1"/>
  <c r="E372" i="10" s="1"/>
  <c r="G372" i="10" s="1"/>
  <c r="J220" i="10"/>
  <c r="I220" i="10"/>
  <c r="O379" i="10"/>
  <c r="H219" i="10"/>
  <c r="P378" i="10"/>
  <c r="N379" i="10"/>
  <c r="F373" i="10" l="1"/>
  <c r="D373" i="10" s="1"/>
  <c r="E373" i="10" s="1"/>
  <c r="G373" i="10" s="1"/>
  <c r="N380" i="10"/>
  <c r="O380" i="10" s="1"/>
  <c r="P379" i="10"/>
  <c r="H220" i="10"/>
  <c r="K220" i="10"/>
  <c r="F374" i="10" l="1"/>
  <c r="D374" i="10" s="1"/>
  <c r="E374" i="10" s="1"/>
  <c r="G374" i="10" s="1"/>
  <c r="J221" i="10"/>
  <c r="I221" i="10"/>
  <c r="P380" i="10"/>
  <c r="N381" i="10"/>
  <c r="H221" i="10" l="1"/>
  <c r="F375" i="10"/>
  <c r="D375" i="10" s="1"/>
  <c r="E375" i="10" s="1"/>
  <c r="G375" i="10" s="1"/>
  <c r="P381" i="10"/>
  <c r="N382" i="10"/>
  <c r="K221" i="10"/>
  <c r="O381" i="10"/>
  <c r="O382" i="10" l="1"/>
  <c r="F376" i="10"/>
  <c r="D376" i="10" s="1"/>
  <c r="E376" i="10" s="1"/>
  <c r="G376" i="10" s="1"/>
  <c r="J222" i="10"/>
  <c r="I222" i="10"/>
  <c r="P382" i="10"/>
  <c r="N383" i="10"/>
  <c r="O383" i="10" s="1"/>
  <c r="H222" i="10" l="1"/>
  <c r="F377" i="10"/>
  <c r="D377" i="10" s="1"/>
  <c r="E377" i="10" s="1"/>
  <c r="G377" i="10" s="1"/>
  <c r="N384" i="10"/>
  <c r="O384" i="10" s="1"/>
  <c r="P383" i="10"/>
  <c r="K222" i="10"/>
  <c r="F378" i="10" l="1"/>
  <c r="D378" i="10" s="1"/>
  <c r="E378" i="10" s="1"/>
  <c r="G378" i="10" s="1"/>
  <c r="J223" i="10"/>
  <c r="I223" i="10"/>
  <c r="N385" i="10"/>
  <c r="O385" i="10" s="1"/>
  <c r="P384" i="10"/>
  <c r="H223" i="10" l="1"/>
  <c r="F379" i="10"/>
  <c r="D379" i="10" s="1"/>
  <c r="E379" i="10" s="1"/>
  <c r="G379" i="10" s="1"/>
  <c r="P385" i="10"/>
  <c r="N386" i="10"/>
  <c r="K223" i="10"/>
  <c r="F380" i="10" l="1"/>
  <c r="D380" i="10" s="1"/>
  <c r="E380" i="10" s="1"/>
  <c r="G380" i="10" s="1"/>
  <c r="P386" i="10"/>
  <c r="N387" i="10"/>
  <c r="J224" i="10"/>
  <c r="I224" i="10"/>
  <c r="H224" i="10" s="1"/>
  <c r="O386" i="10"/>
  <c r="F381" i="10" l="1"/>
  <c r="D381" i="10" s="1"/>
  <c r="E381" i="10" s="1"/>
  <c r="G381" i="10" s="1"/>
  <c r="O387" i="10"/>
  <c r="K224" i="10"/>
  <c r="N388" i="10"/>
  <c r="P387" i="10"/>
  <c r="F382" i="10" l="1"/>
  <c r="D382" i="10" s="1"/>
  <c r="E382" i="10" s="1"/>
  <c r="G382" i="10" s="1"/>
  <c r="P388" i="10"/>
  <c r="N389" i="10"/>
  <c r="J225" i="10"/>
  <c r="I225" i="10"/>
  <c r="H225" i="10" s="1"/>
  <c r="O388" i="10"/>
  <c r="O389" i="10" l="1"/>
  <c r="K225" i="10"/>
  <c r="I226" i="10" s="1"/>
  <c r="F383" i="10"/>
  <c r="D383" i="10" s="1"/>
  <c r="E383" i="10" s="1"/>
  <c r="G383" i="10" s="1"/>
  <c r="J226" i="10"/>
  <c r="P389" i="10"/>
  <c r="N390" i="10"/>
  <c r="O390" i="10" s="1"/>
  <c r="H226" i="10" l="1"/>
  <c r="F384" i="10"/>
  <c r="D384" i="10" s="1"/>
  <c r="E384" i="10" s="1"/>
  <c r="G384" i="10" s="1"/>
  <c r="K226" i="10"/>
  <c r="P390" i="10"/>
  <c r="N391" i="10"/>
  <c r="F385" i="10" l="1"/>
  <c r="D385" i="10" s="1"/>
  <c r="E385" i="10" s="1"/>
  <c r="G385" i="10" s="1"/>
  <c r="N392" i="10"/>
  <c r="P391" i="10"/>
  <c r="J227" i="10"/>
  <c r="I227" i="10"/>
  <c r="K227" i="10" s="1"/>
  <c r="O391" i="10"/>
  <c r="O392" i="10" s="1"/>
  <c r="H227" i="10" l="1"/>
  <c r="F386" i="10"/>
  <c r="D386" i="10" s="1"/>
  <c r="E386" i="10" s="1"/>
  <c r="G386" i="10" s="1"/>
  <c r="N393" i="10"/>
  <c r="P392" i="10"/>
  <c r="J228" i="10"/>
  <c r="I228" i="10"/>
  <c r="K228" i="10" s="1"/>
  <c r="O393" i="10"/>
  <c r="H228" i="10" l="1"/>
  <c r="F387" i="10"/>
  <c r="D387" i="10" s="1"/>
  <c r="E387" i="10" s="1"/>
  <c r="G387" i="10" s="1"/>
  <c r="P393" i="10"/>
  <c r="N394" i="10"/>
  <c r="J229" i="10"/>
  <c r="I229" i="10"/>
  <c r="H229" i="10" s="1"/>
  <c r="K229" i="10" l="1"/>
  <c r="F388" i="10"/>
  <c r="D388" i="10" s="1"/>
  <c r="E388" i="10" s="1"/>
  <c r="G388" i="10" s="1"/>
  <c r="P394" i="10"/>
  <c r="N395" i="10"/>
  <c r="O394" i="10"/>
  <c r="J230" i="10"/>
  <c r="I230" i="10"/>
  <c r="H230" i="10" s="1"/>
  <c r="F389" i="10" l="1"/>
  <c r="D389" i="10" s="1"/>
  <c r="E389" i="10" s="1"/>
  <c r="G389" i="10" s="1"/>
  <c r="N396" i="10"/>
  <c r="P395" i="10"/>
  <c r="K230" i="10"/>
  <c r="O395" i="10"/>
  <c r="O396" i="10" s="1"/>
  <c r="F390" i="10" l="1"/>
  <c r="D390" i="10" s="1"/>
  <c r="E390" i="10" s="1"/>
  <c r="G390" i="10" s="1"/>
  <c r="J231" i="10"/>
  <c r="I231" i="10"/>
  <c r="P396" i="10"/>
  <c r="N397" i="10"/>
  <c r="O397" i="10" s="1"/>
  <c r="H231" i="10" l="1"/>
  <c r="F391" i="10"/>
  <c r="D391" i="10" s="1"/>
  <c r="E391" i="10" s="1"/>
  <c r="G391" i="10" s="1"/>
  <c r="P397" i="10"/>
  <c r="N398" i="10"/>
  <c r="K231" i="10"/>
  <c r="F392" i="10" l="1"/>
  <c r="D392" i="10" s="1"/>
  <c r="E392" i="10" s="1"/>
  <c r="G392" i="10" s="1"/>
  <c r="P398" i="10"/>
  <c r="N399" i="10"/>
  <c r="J232" i="10"/>
  <c r="I232" i="10"/>
  <c r="H232" i="10" s="1"/>
  <c r="O398" i="10"/>
  <c r="F393" i="10" l="1"/>
  <c r="D393" i="10" s="1"/>
  <c r="E393" i="10" s="1"/>
  <c r="G393" i="10" s="1"/>
  <c r="K232" i="10"/>
  <c r="O399" i="10"/>
  <c r="N400" i="10"/>
  <c r="P399" i="10"/>
  <c r="F394" i="10" l="1"/>
  <c r="D394" i="10" s="1"/>
  <c r="E394" i="10" s="1"/>
  <c r="G394" i="10" s="1"/>
  <c r="N401" i="10"/>
  <c r="P400" i="10"/>
  <c r="O400" i="10"/>
  <c r="O401" i="10" s="1"/>
  <c r="J233" i="10"/>
  <c r="I233" i="10"/>
  <c r="H233" i="10" l="1"/>
  <c r="F395" i="10"/>
  <c r="D395" i="10" s="1"/>
  <c r="E395" i="10" s="1"/>
  <c r="G395" i="10" s="1"/>
  <c r="K233" i="10"/>
  <c r="P401" i="10"/>
  <c r="N402" i="10"/>
  <c r="F396" i="10" l="1"/>
  <c r="D396" i="10" s="1"/>
  <c r="E396" i="10" s="1"/>
  <c r="G396" i="10" s="1"/>
  <c r="P402" i="10"/>
  <c r="N403" i="10"/>
  <c r="J234" i="10"/>
  <c r="I234" i="10"/>
  <c r="O402" i="10"/>
  <c r="H234" i="10" l="1"/>
  <c r="F397" i="10"/>
  <c r="D397" i="10" s="1"/>
  <c r="E397" i="10" s="1"/>
  <c r="G397" i="10" s="1"/>
  <c r="O403" i="10"/>
  <c r="K234" i="10"/>
  <c r="N404" i="10"/>
  <c r="P403" i="10"/>
  <c r="F398" i="10" l="1"/>
  <c r="D398" i="10" s="1"/>
  <c r="E398" i="10" s="1"/>
  <c r="G398" i="10" s="1"/>
  <c r="P404" i="10"/>
  <c r="N405" i="10"/>
  <c r="J235" i="10"/>
  <c r="I235" i="10"/>
  <c r="H235" i="10" s="1"/>
  <c r="O404" i="10"/>
  <c r="O405" i="10" l="1"/>
  <c r="F399" i="10"/>
  <c r="D399" i="10" s="1"/>
  <c r="E399" i="10" s="1"/>
  <c r="G399" i="10" s="1"/>
  <c r="K235" i="10"/>
  <c r="P405" i="10"/>
  <c r="N406" i="10"/>
  <c r="F400" i="10" l="1"/>
  <c r="D400" i="10" s="1"/>
  <c r="E400" i="10" s="1"/>
  <c r="G400" i="10" s="1"/>
  <c r="J236" i="10"/>
  <c r="I236" i="10"/>
  <c r="K236" i="10" s="1"/>
  <c r="P406" i="10"/>
  <c r="N407" i="10"/>
  <c r="O406" i="10"/>
  <c r="F401" i="10" l="1"/>
  <c r="D401" i="10" s="1"/>
  <c r="E401" i="10" s="1"/>
  <c r="G401" i="10" s="1"/>
  <c r="N408" i="10"/>
  <c r="P407" i="10"/>
  <c r="O407" i="10"/>
  <c r="O408" i="10" s="1"/>
  <c r="H236" i="10"/>
  <c r="J237" i="10"/>
  <c r="I237" i="10"/>
  <c r="H237" i="10" s="1"/>
  <c r="F402" i="10" l="1"/>
  <c r="D402" i="10" s="1"/>
  <c r="E402" i="10" s="1"/>
  <c r="G402" i="10" s="1"/>
  <c r="N409" i="10"/>
  <c r="P408" i="10"/>
  <c r="K237" i="10"/>
  <c r="F403" i="10" l="1"/>
  <c r="D403" i="10" s="1"/>
  <c r="E403" i="10" s="1"/>
  <c r="G403" i="10" s="1"/>
  <c r="P409" i="10"/>
  <c r="N410" i="10"/>
  <c r="J238" i="10"/>
  <c r="I238" i="10"/>
  <c r="H238" i="10" s="1"/>
  <c r="O409" i="10"/>
  <c r="O410" i="10" s="1"/>
  <c r="F404" i="10" l="1"/>
  <c r="D404" i="10" s="1"/>
  <c r="E404" i="10" s="1"/>
  <c r="G404" i="10" s="1"/>
  <c r="K238" i="10"/>
  <c r="P410" i="10"/>
  <c r="N411" i="10"/>
  <c r="F405" i="10" l="1"/>
  <c r="D405" i="10" s="1"/>
  <c r="E405" i="10" s="1"/>
  <c r="G405" i="10" s="1"/>
  <c r="N412" i="10"/>
  <c r="P411" i="10"/>
  <c r="O411" i="10"/>
  <c r="O412" i="10" s="1"/>
  <c r="J239" i="10"/>
  <c r="I239" i="10"/>
  <c r="H239" i="10" l="1"/>
  <c r="K239" i="10"/>
  <c r="F406" i="10"/>
  <c r="D406" i="10" s="1"/>
  <c r="E406" i="10" s="1"/>
  <c r="G406" i="10" s="1"/>
  <c r="J240" i="10"/>
  <c r="N413" i="10"/>
  <c r="P412" i="10"/>
  <c r="I240" i="10" l="1"/>
  <c r="K240" i="10" s="1"/>
  <c r="F407" i="10"/>
  <c r="D407" i="10" s="1"/>
  <c r="E407" i="10" s="1"/>
  <c r="G407" i="10" s="1"/>
  <c r="P413" i="10"/>
  <c r="N414" i="10"/>
  <c r="O413" i="10"/>
  <c r="O414" i="10" l="1"/>
  <c r="I241" i="10"/>
  <c r="H241" i="10" s="1"/>
  <c r="J241" i="10"/>
  <c r="H240" i="10"/>
  <c r="F408" i="10"/>
  <c r="D408" i="10" s="1"/>
  <c r="E408" i="10" s="1"/>
  <c r="G408" i="10" s="1"/>
  <c r="K241" i="10"/>
  <c r="O415" i="10"/>
  <c r="P414" i="10"/>
  <c r="N415" i="10"/>
  <c r="F409" i="10" l="1"/>
  <c r="D409" i="10" s="1"/>
  <c r="E409" i="10" s="1"/>
  <c r="G409" i="10" s="1"/>
  <c r="J242" i="10"/>
  <c r="I242" i="10"/>
  <c r="H242" i="10" s="1"/>
  <c r="N416" i="10"/>
  <c r="P415" i="10"/>
  <c r="F410" i="10" l="1"/>
  <c r="D410" i="10" s="1"/>
  <c r="E410" i="10" s="1"/>
  <c r="G410" i="10" s="1"/>
  <c r="P416" i="10"/>
  <c r="N417" i="10"/>
  <c r="K242" i="10"/>
  <c r="O416" i="10"/>
  <c r="F411" i="10" l="1"/>
  <c r="D411" i="10" s="1"/>
  <c r="E411" i="10" s="1"/>
  <c r="G411" i="10" s="1"/>
  <c r="O417" i="10"/>
  <c r="J243" i="10"/>
  <c r="I243" i="10"/>
  <c r="P417" i="10"/>
  <c r="N418" i="10"/>
  <c r="F412" i="10" l="1"/>
  <c r="D412" i="10" s="1"/>
  <c r="E412" i="10" s="1"/>
  <c r="G412" i="10" s="1"/>
  <c r="H243" i="10"/>
  <c r="P418" i="10"/>
  <c r="N419" i="10"/>
  <c r="K243" i="10"/>
  <c r="O418" i="10"/>
  <c r="O419" i="10" l="1"/>
  <c r="F413" i="10"/>
  <c r="D413" i="10" s="1"/>
  <c r="E413" i="10" s="1"/>
  <c r="G413" i="10" s="1"/>
  <c r="J244" i="10"/>
  <c r="I244" i="10"/>
  <c r="H244" i="10" s="1"/>
  <c r="N420" i="10"/>
  <c r="P419" i="10"/>
  <c r="F414" i="10" l="1"/>
  <c r="D414" i="10" s="1"/>
  <c r="E414" i="10" s="1"/>
  <c r="G414" i="10" s="1"/>
  <c r="P420" i="10"/>
  <c r="N421" i="10"/>
  <c r="O420" i="10"/>
  <c r="K244" i="10"/>
  <c r="F415" i="10" l="1"/>
  <c r="D415" i="10" s="1"/>
  <c r="E415" i="10" s="1"/>
  <c r="G415" i="10" s="1"/>
  <c r="J245" i="10"/>
  <c r="I245" i="10"/>
  <c r="H245" i="10" s="1"/>
  <c r="O421" i="10"/>
  <c r="O422" i="10" s="1"/>
  <c r="P421" i="10"/>
  <c r="N422" i="10"/>
  <c r="F416" i="10" l="1"/>
  <c r="D416" i="10" s="1"/>
  <c r="E416" i="10" s="1"/>
  <c r="G416" i="10" s="1"/>
  <c r="P422" i="10"/>
  <c r="N423" i="10"/>
  <c r="O423" i="10" s="1"/>
  <c r="K245" i="10"/>
  <c r="F417" i="10" l="1"/>
  <c r="D417" i="10" s="1"/>
  <c r="E417" i="10" s="1"/>
  <c r="G417" i="10" s="1"/>
  <c r="J246" i="10"/>
  <c r="I246" i="10"/>
  <c r="H246" i="10" s="1"/>
  <c r="N424" i="10"/>
  <c r="P423" i="10"/>
  <c r="F418" i="10" l="1"/>
  <c r="D418" i="10" s="1"/>
  <c r="E418" i="10" s="1"/>
  <c r="G418" i="10" s="1"/>
  <c r="P424" i="10"/>
  <c r="N425" i="10"/>
  <c r="O424" i="10"/>
  <c r="K246" i="10"/>
  <c r="F419" i="10" l="1"/>
  <c r="D419" i="10" s="1"/>
  <c r="E419" i="10" s="1"/>
  <c r="G419" i="10" s="1"/>
  <c r="J247" i="10"/>
  <c r="I247" i="10"/>
  <c r="O425" i="10"/>
  <c r="O426" i="10" s="1"/>
  <c r="P425" i="10"/>
  <c r="N426" i="10"/>
  <c r="F420" i="10" l="1"/>
  <c r="D420" i="10" s="1"/>
  <c r="E420" i="10" s="1"/>
  <c r="G420" i="10" s="1"/>
  <c r="H247" i="10"/>
  <c r="P426" i="10"/>
  <c r="N427" i="10"/>
  <c r="K247" i="10"/>
  <c r="F421" i="10" l="1"/>
  <c r="D421" i="10" s="1"/>
  <c r="E421" i="10" s="1"/>
  <c r="G421" i="10" s="1"/>
  <c r="N428" i="10"/>
  <c r="P427" i="10"/>
  <c r="O427" i="10"/>
  <c r="J248" i="10"/>
  <c r="I248" i="10"/>
  <c r="H248" i="10" l="1"/>
  <c r="K248" i="10"/>
  <c r="I249" i="10" s="1"/>
  <c r="F422" i="10"/>
  <c r="D422" i="10" s="1"/>
  <c r="E422" i="10" s="1"/>
  <c r="G422" i="10" s="1"/>
  <c r="P428" i="10"/>
  <c r="N429" i="10"/>
  <c r="O428" i="10"/>
  <c r="J249" i="10" l="1"/>
  <c r="H249" i="10" s="1"/>
  <c r="F423" i="10"/>
  <c r="D423" i="10" s="1"/>
  <c r="E423" i="10" s="1"/>
  <c r="G423" i="10" s="1"/>
  <c r="P429" i="10"/>
  <c r="N430" i="10"/>
  <c r="O429" i="10"/>
  <c r="K249" i="10"/>
  <c r="O430" i="10" l="1"/>
  <c r="F424" i="10"/>
  <c r="D424" i="10" s="1"/>
  <c r="E424" i="10" s="1"/>
  <c r="G424" i="10" s="1"/>
  <c r="J250" i="10"/>
  <c r="I250" i="10"/>
  <c r="H250" i="10" s="1"/>
  <c r="P430" i="10"/>
  <c r="N431" i="10"/>
  <c r="F425" i="10" l="1"/>
  <c r="D425" i="10" s="1"/>
  <c r="E425" i="10" s="1"/>
  <c r="G425" i="10" s="1"/>
  <c r="N432" i="10"/>
  <c r="P431" i="10"/>
  <c r="K250" i="10"/>
  <c r="O431" i="10"/>
  <c r="O432" i="10" s="1"/>
  <c r="F426" i="10" l="1"/>
  <c r="D426" i="10" s="1"/>
  <c r="E426" i="10" s="1"/>
  <c r="G426" i="10" s="1"/>
  <c r="P432" i="10"/>
  <c r="N433" i="10"/>
  <c r="J251" i="10"/>
  <c r="I251" i="10"/>
  <c r="H251" i="10" s="1"/>
  <c r="F427" i="10" l="1"/>
  <c r="D427" i="10" s="1"/>
  <c r="E427" i="10" s="1"/>
  <c r="G427" i="10" s="1"/>
  <c r="P433" i="10"/>
  <c r="N434" i="10"/>
  <c r="K251" i="10"/>
  <c r="O433" i="10"/>
  <c r="O434" i="10" s="1"/>
  <c r="F428" i="10" l="1"/>
  <c r="D428" i="10" s="1"/>
  <c r="E428" i="10" s="1"/>
  <c r="G428" i="10" s="1"/>
  <c r="J252" i="10"/>
  <c r="I252" i="10"/>
  <c r="H252" i="10" s="1"/>
  <c r="P434" i="10"/>
  <c r="N435" i="10"/>
  <c r="O435" i="10" s="1"/>
  <c r="F429" i="10" l="1"/>
  <c r="D429" i="10" s="1"/>
  <c r="E429" i="10" s="1"/>
  <c r="G429" i="10" s="1"/>
  <c r="N436" i="10"/>
  <c r="P435" i="10"/>
  <c r="K252" i="10"/>
  <c r="F430" i="10" l="1"/>
  <c r="D430" i="10" s="1"/>
  <c r="E430" i="10" s="1"/>
  <c r="G430" i="10" s="1"/>
  <c r="J253" i="10"/>
  <c r="I253" i="10"/>
  <c r="K253" i="10" s="1"/>
  <c r="P436" i="10"/>
  <c r="N437" i="10"/>
  <c r="O436" i="10"/>
  <c r="O437" i="10" l="1"/>
  <c r="F431" i="10"/>
  <c r="D431" i="10" s="1"/>
  <c r="E431" i="10" s="1"/>
  <c r="G431" i="10" s="1"/>
  <c r="H253" i="10"/>
  <c r="P437" i="10"/>
  <c r="N438" i="10"/>
  <c r="J254" i="10"/>
  <c r="I254" i="10"/>
  <c r="H254" i="10" l="1"/>
  <c r="F432" i="10"/>
  <c r="D432" i="10" s="1"/>
  <c r="E432" i="10" s="1"/>
  <c r="G432" i="10" s="1"/>
  <c r="P438" i="10"/>
  <c r="N439" i="10"/>
  <c r="K254" i="10"/>
  <c r="O438" i="10"/>
  <c r="O439" i="10" s="1"/>
  <c r="F433" i="10" l="1"/>
  <c r="D433" i="10" s="1"/>
  <c r="E433" i="10" s="1"/>
  <c r="G433" i="10" s="1"/>
  <c r="J255" i="10"/>
  <c r="I255" i="10"/>
  <c r="H255" i="10" s="1"/>
  <c r="N440" i="10"/>
  <c r="P439" i="10"/>
  <c r="F434" i="10" l="1"/>
  <c r="D434" i="10" s="1"/>
  <c r="E434" i="10" s="1"/>
  <c r="G434" i="10" s="1"/>
  <c r="K255" i="10"/>
  <c r="P440" i="10"/>
  <c r="N441" i="10"/>
  <c r="O440" i="10"/>
  <c r="O441" i="10" s="1"/>
  <c r="F435" i="10" l="1"/>
  <c r="D435" i="10" s="1"/>
  <c r="E435" i="10" s="1"/>
  <c r="G435" i="10" s="1"/>
  <c r="J256" i="10"/>
  <c r="I256" i="10"/>
  <c r="H256" i="10" s="1"/>
  <c r="P441" i="10"/>
  <c r="N442" i="10"/>
  <c r="O442" i="10" s="1"/>
  <c r="K256" i="10" l="1"/>
  <c r="I257" i="10" s="1"/>
  <c r="F436" i="10"/>
  <c r="D436" i="10" s="1"/>
  <c r="E436" i="10" s="1"/>
  <c r="G436" i="10" s="1"/>
  <c r="P442" i="10"/>
  <c r="N443" i="10"/>
  <c r="J257" i="10" l="1"/>
  <c r="H257" i="10" s="1"/>
  <c r="F437" i="10"/>
  <c r="D437" i="10" s="1"/>
  <c r="E437" i="10" s="1"/>
  <c r="G437" i="10" s="1"/>
  <c r="K257" i="10"/>
  <c r="N444" i="10"/>
  <c r="P443" i="10"/>
  <c r="O443" i="10"/>
  <c r="O444" i="10" s="1"/>
  <c r="F438" i="10" l="1"/>
  <c r="D438" i="10" s="1"/>
  <c r="E438" i="10" s="1"/>
  <c r="G438" i="10" s="1"/>
  <c r="J258" i="10"/>
  <c r="I258" i="10"/>
  <c r="H258" i="10" s="1"/>
  <c r="P444" i="10"/>
  <c r="N445" i="10"/>
  <c r="O445" i="10" s="1"/>
  <c r="K258" i="10" l="1"/>
  <c r="F439" i="10"/>
  <c r="D439" i="10" s="1"/>
  <c r="E439" i="10" s="1"/>
  <c r="G439" i="10" s="1"/>
  <c r="P445" i="10"/>
  <c r="N446" i="10"/>
  <c r="O446" i="10" s="1"/>
  <c r="J259" i="10"/>
  <c r="I259" i="10"/>
  <c r="H259" i="10" s="1"/>
  <c r="K259" i="10" l="1"/>
  <c r="F440" i="10"/>
  <c r="D440" i="10" s="1"/>
  <c r="E440" i="10" s="1"/>
  <c r="G440" i="10" s="1"/>
  <c r="P446" i="10"/>
  <c r="N447" i="10"/>
  <c r="J260" i="10"/>
  <c r="I260" i="10"/>
  <c r="H260" i="10" s="1"/>
  <c r="K260" i="10" l="1"/>
  <c r="F441" i="10"/>
  <c r="D441" i="10" s="1"/>
  <c r="E441" i="10" s="1"/>
  <c r="G441" i="10" s="1"/>
  <c r="N448" i="10"/>
  <c r="P447" i="10"/>
  <c r="J261" i="10"/>
  <c r="I261" i="10"/>
  <c r="O447" i="10"/>
  <c r="O448" i="10" s="1"/>
  <c r="F442" i="10" l="1"/>
  <c r="D442" i="10" s="1"/>
  <c r="E442" i="10" s="1"/>
  <c r="G442" i="10" s="1"/>
  <c r="H261" i="10"/>
  <c r="P448" i="10"/>
  <c r="N449" i="10"/>
  <c r="O449" i="10" s="1"/>
  <c r="K261" i="10"/>
  <c r="F443" i="10" l="1"/>
  <c r="D443" i="10" s="1"/>
  <c r="E443" i="10" s="1"/>
  <c r="G443" i="10" s="1"/>
  <c r="J262" i="10"/>
  <c r="I262" i="10"/>
  <c r="P449" i="10"/>
  <c r="N450" i="10"/>
  <c r="O450" i="10" s="1"/>
  <c r="H262" i="10" l="1"/>
  <c r="F444" i="10"/>
  <c r="D444" i="10" s="1"/>
  <c r="E444" i="10" s="1"/>
  <c r="G444" i="10" s="1"/>
  <c r="P450" i="10"/>
  <c r="N451" i="10"/>
  <c r="O451" i="10" s="1"/>
  <c r="K262" i="10"/>
  <c r="F445" i="10" l="1"/>
  <c r="D445" i="10" s="1"/>
  <c r="E445" i="10" s="1"/>
  <c r="G445" i="10" s="1"/>
  <c r="J263" i="10"/>
  <c r="I263" i="10"/>
  <c r="H263" i="10" s="1"/>
  <c r="N452" i="10"/>
  <c r="P451" i="10"/>
  <c r="F446" i="10" l="1"/>
  <c r="D446" i="10" s="1"/>
  <c r="E446" i="10" s="1"/>
  <c r="G446" i="10" s="1"/>
  <c r="P452" i="10"/>
  <c r="N453" i="10"/>
  <c r="K263" i="10"/>
  <c r="O452" i="10"/>
  <c r="O453" i="10" s="1"/>
  <c r="F447" i="10" l="1"/>
  <c r="D447" i="10" s="1"/>
  <c r="E447" i="10" s="1"/>
  <c r="G447" i="10" s="1"/>
  <c r="J264" i="10"/>
  <c r="I264" i="10"/>
  <c r="O454" i="10"/>
  <c r="P453" i="10"/>
  <c r="N454" i="10"/>
  <c r="H264" i="10" l="1"/>
  <c r="K264" i="10"/>
  <c r="J265" i="10" s="1"/>
  <c r="F448" i="10"/>
  <c r="D448" i="10" s="1"/>
  <c r="E448" i="10" s="1"/>
  <c r="G448" i="10" s="1"/>
  <c r="P454" i="10"/>
  <c r="N455" i="10"/>
  <c r="I265" i="10"/>
  <c r="H265" i="10" l="1"/>
  <c r="F449" i="10"/>
  <c r="D449" i="10" s="1"/>
  <c r="E449" i="10" s="1"/>
  <c r="G449" i="10" s="1"/>
  <c r="N456" i="10"/>
  <c r="P455" i="10"/>
  <c r="K265" i="10"/>
  <c r="O455" i="10"/>
  <c r="O456" i="10" l="1"/>
  <c r="F450" i="10"/>
  <c r="D450" i="10" s="1"/>
  <c r="E450" i="10" s="1"/>
  <c r="G450" i="10" s="1"/>
  <c r="O457" i="10"/>
  <c r="P456" i="10"/>
  <c r="N457" i="10"/>
  <c r="J266" i="10"/>
  <c r="I266" i="10"/>
  <c r="H266" i="10" l="1"/>
  <c r="F451" i="10"/>
  <c r="D451" i="10" s="1"/>
  <c r="E451" i="10" s="1"/>
  <c r="G451" i="10" s="1"/>
  <c r="K266" i="10"/>
  <c r="P457" i="10"/>
  <c r="N458" i="10"/>
  <c r="F452" i="10" l="1"/>
  <c r="D452" i="10" s="1"/>
  <c r="E452" i="10" s="1"/>
  <c r="G452" i="10" s="1"/>
  <c r="P458" i="10"/>
  <c r="N459" i="10"/>
  <c r="O458" i="10"/>
  <c r="O459" i="10" s="1"/>
  <c r="J267" i="10"/>
  <c r="I267" i="10"/>
  <c r="H267" i="10" l="1"/>
  <c r="F453" i="10"/>
  <c r="D453" i="10" s="1"/>
  <c r="E453" i="10" s="1"/>
  <c r="G453" i="10" s="1"/>
  <c r="K267" i="10"/>
  <c r="N460" i="10"/>
  <c r="P459" i="10"/>
  <c r="F454" i="10" l="1"/>
  <c r="D454" i="10" s="1"/>
  <c r="E454" i="10" s="1"/>
  <c r="G454" i="10" s="1"/>
  <c r="P460" i="10"/>
  <c r="N461" i="10"/>
  <c r="J268" i="10"/>
  <c r="I268" i="10"/>
  <c r="O460" i="10"/>
  <c r="O461" i="10" s="1"/>
  <c r="H268" i="10" l="1"/>
  <c r="F455" i="10"/>
  <c r="D455" i="10" s="1"/>
  <c r="E455" i="10" s="1"/>
  <c r="G455" i="10" s="1"/>
  <c r="K268" i="10"/>
  <c r="O462" i="10"/>
  <c r="P461" i="10"/>
  <c r="N462" i="10"/>
  <c r="F456" i="10" l="1"/>
  <c r="D456" i="10" s="1"/>
  <c r="E456" i="10" s="1"/>
  <c r="G456" i="10" s="1"/>
  <c r="J269" i="10"/>
  <c r="I269" i="10"/>
  <c r="H269" i="10" s="1"/>
  <c r="O463" i="10"/>
  <c r="P462" i="10"/>
  <c r="N463" i="10"/>
  <c r="K269" i="10" l="1"/>
  <c r="I270" i="10" s="1"/>
  <c r="F457" i="10"/>
  <c r="D457" i="10" s="1"/>
  <c r="E457" i="10" s="1"/>
  <c r="G457" i="10" s="1"/>
  <c r="J270" i="10"/>
  <c r="O464" i="10"/>
  <c r="N464" i="10"/>
  <c r="P463" i="10"/>
  <c r="H270" i="10" l="1"/>
  <c r="F458" i="10"/>
  <c r="D458" i="10" s="1"/>
  <c r="E458" i="10" s="1"/>
  <c r="G458" i="10" s="1"/>
  <c r="P464" i="10"/>
  <c r="N465" i="10"/>
  <c r="O465" i="10" s="1"/>
  <c r="K270" i="10"/>
  <c r="F459" i="10" l="1"/>
  <c r="D459" i="10" s="1"/>
  <c r="E459" i="10" s="1"/>
  <c r="G459" i="10" s="1"/>
  <c r="J271" i="10"/>
  <c r="I271" i="10"/>
  <c r="H271" i="10" s="1"/>
  <c r="N466" i="10"/>
  <c r="P465" i="10"/>
  <c r="F460" i="10" l="1"/>
  <c r="D460" i="10" s="1"/>
  <c r="E460" i="10" s="1"/>
  <c r="G460" i="10" s="1"/>
  <c r="N467" i="10"/>
  <c r="P466" i="10"/>
  <c r="K271" i="10"/>
  <c r="O466" i="10"/>
  <c r="O467" i="10" s="1"/>
  <c r="F461" i="10" l="1"/>
  <c r="D461" i="10" s="1"/>
  <c r="E461" i="10" s="1"/>
  <c r="G461" i="10" s="1"/>
  <c r="N468" i="10"/>
  <c r="O468" i="10" s="1"/>
  <c r="P467" i="10"/>
  <c r="J272" i="10"/>
  <c r="I272" i="10"/>
  <c r="K272" i="10" s="1"/>
  <c r="F462" i="10" l="1"/>
  <c r="D462" i="10" s="1"/>
  <c r="E462" i="10" s="1"/>
  <c r="G462" i="10" s="1"/>
  <c r="J273" i="10"/>
  <c r="I273" i="10"/>
  <c r="H272" i="10"/>
  <c r="P468" i="10"/>
  <c r="N469" i="10"/>
  <c r="O469" i="10" s="1"/>
  <c r="H273" i="10" l="1"/>
  <c r="F463" i="10"/>
  <c r="D463" i="10" s="1"/>
  <c r="E463" i="10" s="1"/>
  <c r="G463" i="10" s="1"/>
  <c r="N470" i="10"/>
  <c r="P469" i="10"/>
  <c r="K273" i="10"/>
  <c r="F464" i="10" l="1"/>
  <c r="D464" i="10" s="1"/>
  <c r="E464" i="10" s="1"/>
  <c r="G464" i="10" s="1"/>
  <c r="J274" i="10"/>
  <c r="I274" i="10"/>
  <c r="H274" i="10" s="1"/>
  <c r="N471" i="10"/>
  <c r="P470" i="10"/>
  <c r="O470" i="10"/>
  <c r="O471" i="10" l="1"/>
  <c r="F465" i="10"/>
  <c r="D465" i="10" s="1"/>
  <c r="E465" i="10" s="1"/>
  <c r="G465" i="10" s="1"/>
  <c r="N472" i="10"/>
  <c r="O472" i="10" s="1"/>
  <c r="P471" i="10"/>
  <c r="K274" i="10"/>
  <c r="F466" i="10" l="1"/>
  <c r="D466" i="10" s="1"/>
  <c r="E466" i="10" s="1"/>
  <c r="G466" i="10" s="1"/>
  <c r="J275" i="10"/>
  <c r="I275" i="10"/>
  <c r="H275" i="10" s="1"/>
  <c r="P472" i="10"/>
  <c r="N473" i="10"/>
  <c r="F467" i="10" l="1"/>
  <c r="D467" i="10" s="1"/>
  <c r="E467" i="10" s="1"/>
  <c r="G467" i="10" s="1"/>
  <c r="N474" i="10"/>
  <c r="P473" i="10"/>
  <c r="K275" i="10"/>
  <c r="O473" i="10"/>
  <c r="O474" i="10" s="1"/>
  <c r="F468" i="10" l="1"/>
  <c r="D468" i="10" s="1"/>
  <c r="E468" i="10" s="1"/>
  <c r="G468" i="10" s="1"/>
  <c r="N475" i="10"/>
  <c r="O475" i="10" s="1"/>
  <c r="P474" i="10"/>
  <c r="J276" i="10"/>
  <c r="I276" i="10"/>
  <c r="H276" i="10" s="1"/>
  <c r="F469" i="10" l="1"/>
  <c r="D469" i="10" s="1"/>
  <c r="E469" i="10" s="1"/>
  <c r="G469" i="10" s="1"/>
  <c r="K276" i="10"/>
  <c r="N476" i="10"/>
  <c r="P475" i="10"/>
  <c r="F470" i="10" l="1"/>
  <c r="D470" i="10" s="1"/>
  <c r="E470" i="10" s="1"/>
  <c r="G470" i="10" s="1"/>
  <c r="P476" i="10"/>
  <c r="N477" i="10"/>
  <c r="J277" i="10"/>
  <c r="I277" i="10"/>
  <c r="K277" i="10" s="1"/>
  <c r="O476" i="10"/>
  <c r="O477" i="10" s="1"/>
  <c r="F471" i="10" l="1"/>
  <c r="D471" i="10" s="1"/>
  <c r="E471" i="10" s="1"/>
  <c r="G471" i="10" s="1"/>
  <c r="J278" i="10"/>
  <c r="I278" i="10"/>
  <c r="H278" i="10" s="1"/>
  <c r="N478" i="10"/>
  <c r="P477" i="10"/>
  <c r="H277" i="10"/>
  <c r="F472" i="10" l="1"/>
  <c r="D472" i="10" s="1"/>
  <c r="E472" i="10" s="1"/>
  <c r="G472" i="10" s="1"/>
  <c r="N479" i="10"/>
  <c r="P478" i="10"/>
  <c r="K278" i="10"/>
  <c r="O478" i="10"/>
  <c r="O479" i="10" s="1"/>
  <c r="F473" i="10" l="1"/>
  <c r="D473" i="10" s="1"/>
  <c r="E473" i="10" s="1"/>
  <c r="G473" i="10" s="1"/>
  <c r="N480" i="10"/>
  <c r="P479" i="10"/>
  <c r="J279" i="10"/>
  <c r="I279" i="10"/>
  <c r="H279" i="10" s="1"/>
  <c r="F474" i="10" l="1"/>
  <c r="D474" i="10" s="1"/>
  <c r="E474" i="10" s="1"/>
  <c r="G474" i="10" s="1"/>
  <c r="P480" i="10"/>
  <c r="N481" i="10"/>
  <c r="K279" i="10"/>
  <c r="O480" i="10"/>
  <c r="O481" i="10" s="1"/>
  <c r="F475" i="10" l="1"/>
  <c r="D475" i="10" s="1"/>
  <c r="E475" i="10" s="1"/>
  <c r="G475" i="10" s="1"/>
  <c r="J280" i="10"/>
  <c r="I280" i="10"/>
  <c r="H280" i="10" s="1"/>
  <c r="N482" i="10"/>
  <c r="P481" i="10"/>
  <c r="F476" i="10" l="1"/>
  <c r="D476" i="10" s="1"/>
  <c r="E476" i="10" s="1"/>
  <c r="G476" i="10" s="1"/>
  <c r="K280" i="10"/>
  <c r="P482" i="10"/>
  <c r="N483" i="10"/>
  <c r="O482" i="10"/>
  <c r="O483" i="10" s="1"/>
  <c r="F477" i="10" l="1"/>
  <c r="D477" i="10" s="1"/>
  <c r="E477" i="10" s="1"/>
  <c r="G477" i="10" s="1"/>
  <c r="P483" i="10"/>
  <c r="N484" i="10"/>
  <c r="O484" i="10" s="1"/>
  <c r="J281" i="10"/>
  <c r="I281" i="10"/>
  <c r="H281" i="10" s="1"/>
  <c r="F478" i="10" l="1"/>
  <c r="D478" i="10" s="1"/>
  <c r="E478" i="10" s="1"/>
  <c r="G478" i="10" s="1"/>
  <c r="K281" i="10"/>
  <c r="P484" i="10"/>
  <c r="N485" i="10"/>
  <c r="F479" i="10" l="1"/>
  <c r="D479" i="10" s="1"/>
  <c r="E479" i="10" s="1"/>
  <c r="G479" i="10" s="1"/>
  <c r="N486" i="10"/>
  <c r="P485" i="10"/>
  <c r="J282" i="10"/>
  <c r="I282" i="10"/>
  <c r="K282" i="10" s="1"/>
  <c r="O485" i="10"/>
  <c r="O486" i="10" s="1"/>
  <c r="F480" i="10" l="1"/>
  <c r="D480" i="10" s="1"/>
  <c r="E480" i="10" s="1"/>
  <c r="G480" i="10" s="1"/>
  <c r="J283" i="10"/>
  <c r="I283" i="10"/>
  <c r="K283" i="10" s="1"/>
  <c r="H282" i="10"/>
  <c r="P486" i="10"/>
  <c r="N487" i="10"/>
  <c r="O487" i="10" s="1"/>
  <c r="F481" i="10" l="1"/>
  <c r="D481" i="10" s="1"/>
  <c r="E481" i="10" s="1"/>
  <c r="G481" i="10" s="1"/>
  <c r="P487" i="10"/>
  <c r="N488" i="10"/>
  <c r="H283" i="10"/>
  <c r="J284" i="10"/>
  <c r="I284" i="10"/>
  <c r="F482" i="10" l="1"/>
  <c r="D482" i="10" s="1"/>
  <c r="E482" i="10" s="1"/>
  <c r="G482" i="10" s="1"/>
  <c r="H284" i="10"/>
  <c r="P488" i="10"/>
  <c r="N489" i="10"/>
  <c r="K284" i="10"/>
  <c r="O488" i="10"/>
  <c r="F483" i="10" l="1"/>
  <c r="D483" i="10" s="1"/>
  <c r="E483" i="10" s="1"/>
  <c r="G483" i="10" s="1"/>
  <c r="J285" i="10"/>
  <c r="I285" i="10"/>
  <c r="N490" i="10"/>
  <c r="P489" i="10"/>
  <c r="O489" i="10"/>
  <c r="H285" i="10" l="1"/>
  <c r="K285" i="10"/>
  <c r="I286" i="10" s="1"/>
  <c r="F484" i="10"/>
  <c r="D484" i="10" s="1"/>
  <c r="E484" i="10" s="1"/>
  <c r="G484" i="10" s="1"/>
  <c r="J286" i="10"/>
  <c r="P490" i="10"/>
  <c r="N491" i="10"/>
  <c r="O490" i="10"/>
  <c r="H286" i="10" l="1"/>
  <c r="K286" i="10"/>
  <c r="I287" i="10" s="1"/>
  <c r="K287" i="10" s="1"/>
  <c r="F485" i="10"/>
  <c r="D485" i="10" s="1"/>
  <c r="E485" i="10" s="1"/>
  <c r="G485" i="10" s="1"/>
  <c r="P491" i="10"/>
  <c r="N492" i="10"/>
  <c r="O491" i="10"/>
  <c r="J287" i="10"/>
  <c r="F486" i="10" l="1"/>
  <c r="D486" i="10" s="1"/>
  <c r="E486" i="10" s="1"/>
  <c r="G486" i="10" s="1"/>
  <c r="J288" i="10"/>
  <c r="I288" i="10"/>
  <c r="H288" i="10" s="1"/>
  <c r="O492" i="10"/>
  <c r="H287" i="10"/>
  <c r="P492" i="10"/>
  <c r="N493" i="10"/>
  <c r="F487" i="10" l="1"/>
  <c r="D487" i="10" s="1"/>
  <c r="E487" i="10" s="1"/>
  <c r="G487" i="10" s="1"/>
  <c r="O493" i="10"/>
  <c r="N494" i="10"/>
  <c r="P493" i="10"/>
  <c r="K288" i="10"/>
  <c r="O494" i="10" l="1"/>
  <c r="F488" i="10"/>
  <c r="D488" i="10" s="1"/>
  <c r="E488" i="10" s="1"/>
  <c r="G488" i="10" s="1"/>
  <c r="J289" i="10"/>
  <c r="I289" i="10"/>
  <c r="H289" i="10" s="1"/>
  <c r="P494" i="10"/>
  <c r="N495" i="10"/>
  <c r="O495" i="10" s="1"/>
  <c r="F489" i="10" l="1"/>
  <c r="D489" i="10" s="1"/>
  <c r="E489" i="10" s="1"/>
  <c r="G489" i="10" s="1"/>
  <c r="K289" i="10"/>
  <c r="P495" i="10"/>
  <c r="N496" i="10"/>
  <c r="F490" i="10" l="1"/>
  <c r="D490" i="10" s="1"/>
  <c r="E490" i="10" s="1"/>
  <c r="G490" i="10" s="1"/>
  <c r="P496" i="10"/>
  <c r="N497" i="10"/>
  <c r="J290" i="10"/>
  <c r="I290" i="10"/>
  <c r="K290" i="10" s="1"/>
  <c r="O496" i="10"/>
  <c r="O497" i="10" l="1"/>
  <c r="F491" i="10"/>
  <c r="D491" i="10" s="1"/>
  <c r="E491" i="10" s="1"/>
  <c r="G491" i="10" s="1"/>
  <c r="J291" i="10"/>
  <c r="I291" i="10"/>
  <c r="H291" i="10" s="1"/>
  <c r="H290" i="10"/>
  <c r="N498" i="10"/>
  <c r="O498" i="10" s="1"/>
  <c r="P497" i="10"/>
  <c r="F492" i="10" l="1"/>
  <c r="D492" i="10" s="1"/>
  <c r="E492" i="10" s="1"/>
  <c r="G492" i="10" s="1"/>
  <c r="P498" i="10"/>
  <c r="N499" i="10"/>
  <c r="O499" i="10" s="1"/>
  <c r="K291" i="10"/>
  <c r="F493" i="10" l="1"/>
  <c r="D493" i="10" s="1"/>
  <c r="E493" i="10" s="1"/>
  <c r="G493" i="10" s="1"/>
  <c r="J292" i="10"/>
  <c r="I292" i="10"/>
  <c r="P499" i="10"/>
  <c r="N500" i="10"/>
  <c r="H292" i="10" l="1"/>
  <c r="F494" i="10"/>
  <c r="D494" i="10" s="1"/>
  <c r="E494" i="10" s="1"/>
  <c r="G494" i="10" s="1"/>
  <c r="P500" i="10"/>
  <c r="N501" i="10"/>
  <c r="K292" i="10"/>
  <c r="O500" i="10"/>
  <c r="F495" i="10" l="1"/>
  <c r="D495" i="10" s="1"/>
  <c r="E495" i="10" s="1"/>
  <c r="G495" i="10" s="1"/>
  <c r="J293" i="10"/>
  <c r="I293" i="10"/>
  <c r="H293" i="10" s="1"/>
  <c r="O501" i="10"/>
  <c r="N502" i="10"/>
  <c r="P501" i="10"/>
  <c r="O502" i="10" l="1"/>
  <c r="F496" i="10"/>
  <c r="D496" i="10" s="1"/>
  <c r="E496" i="10" s="1"/>
  <c r="G496" i="10" s="1"/>
  <c r="P502" i="10"/>
  <c r="N503" i="10"/>
  <c r="O503" i="10" s="1"/>
  <c r="K293" i="10"/>
  <c r="F497" i="10" l="1"/>
  <c r="D497" i="10" s="1"/>
  <c r="E497" i="10" s="1"/>
  <c r="G497" i="10" s="1"/>
  <c r="J294" i="10"/>
  <c r="I294" i="10"/>
  <c r="H294" i="10" s="1"/>
  <c r="P503" i="10"/>
  <c r="N504" i="10"/>
  <c r="F498" i="10" l="1"/>
  <c r="D498" i="10" s="1"/>
  <c r="E498" i="10" s="1"/>
  <c r="G498" i="10" s="1"/>
  <c r="P504" i="10"/>
  <c r="N505" i="10"/>
  <c r="K294" i="10"/>
  <c r="O504" i="10"/>
  <c r="O505" i="10" s="1"/>
  <c r="F499" i="10" l="1"/>
  <c r="D499" i="10" s="1"/>
  <c r="E499" i="10" s="1"/>
  <c r="G499" i="10" s="1"/>
  <c r="J295" i="10"/>
  <c r="I295" i="10"/>
  <c r="H295" i="10" s="1"/>
  <c r="N506" i="10"/>
  <c r="P505" i="10"/>
  <c r="F500" i="10" l="1"/>
  <c r="D500" i="10" s="1"/>
  <c r="E500" i="10" s="1"/>
  <c r="G500" i="10" s="1"/>
  <c r="K295" i="10"/>
  <c r="P506" i="10"/>
  <c r="N507" i="10"/>
  <c r="O506" i="10"/>
  <c r="O507" i="10" s="1"/>
  <c r="F501" i="10" l="1"/>
  <c r="D501" i="10" s="1"/>
  <c r="E501" i="10" s="1"/>
  <c r="G501" i="10" s="1"/>
  <c r="J296" i="10"/>
  <c r="I296" i="10"/>
  <c r="H296" i="10" s="1"/>
  <c r="P507" i="10"/>
  <c r="N508" i="10"/>
  <c r="O508" i="10" s="1"/>
  <c r="F502" i="10" l="1"/>
  <c r="D502" i="10" s="1"/>
  <c r="E502" i="10" s="1"/>
  <c r="G502" i="10" s="1"/>
  <c r="P508" i="10"/>
  <c r="N509" i="10"/>
  <c r="K296" i="10"/>
  <c r="F503" i="10" l="1"/>
  <c r="D503" i="10" s="1"/>
  <c r="E503" i="10" s="1"/>
  <c r="G503" i="10" s="1"/>
  <c r="J297" i="10"/>
  <c r="I297" i="10"/>
  <c r="H297" i="10" s="1"/>
  <c r="N510" i="10"/>
  <c r="P509" i="10"/>
  <c r="O509" i="10"/>
  <c r="O510" i="10" l="1"/>
  <c r="F504" i="10"/>
  <c r="D504" i="10" s="1"/>
  <c r="E504" i="10" s="1"/>
  <c r="G504" i="10" s="1"/>
  <c r="P510" i="10"/>
  <c r="N511" i="10"/>
  <c r="O511" i="10" s="1"/>
  <c r="K297" i="10"/>
  <c r="F505" i="10" l="1"/>
  <c r="D505" i="10" s="1"/>
  <c r="E505" i="10" s="1"/>
  <c r="G505" i="10" s="1"/>
  <c r="J298" i="10"/>
  <c r="I298" i="10"/>
  <c r="H298" i="10" s="1"/>
  <c r="P511" i="10"/>
  <c r="N512" i="10"/>
  <c r="F506" i="10" l="1"/>
  <c r="D506" i="10" s="1"/>
  <c r="E506" i="10" s="1"/>
  <c r="G506" i="10" s="1"/>
  <c r="P512" i="10"/>
  <c r="N513" i="10"/>
  <c r="K298" i="10"/>
  <c r="O512" i="10"/>
  <c r="O513" i="10" l="1"/>
  <c r="F507" i="10"/>
  <c r="D507" i="10" s="1"/>
  <c r="E507" i="10" s="1"/>
  <c r="G507" i="10" s="1"/>
  <c r="J299" i="10"/>
  <c r="I299" i="10"/>
  <c r="H299" i="10" s="1"/>
  <c r="N514" i="10"/>
  <c r="P513" i="10"/>
  <c r="K299" i="10" l="1"/>
  <c r="F508" i="10"/>
  <c r="D508" i="10" s="1"/>
  <c r="E508" i="10" s="1"/>
  <c r="G508" i="10" s="1"/>
  <c r="J300" i="10"/>
  <c r="I300" i="10"/>
  <c r="K300" i="10" s="1"/>
  <c r="P514" i="10"/>
  <c r="N515" i="10"/>
  <c r="O514" i="10"/>
  <c r="F509" i="10" l="1"/>
  <c r="D509" i="10" s="1"/>
  <c r="E509" i="10" s="1"/>
  <c r="G509" i="10" s="1"/>
  <c r="J301" i="10"/>
  <c r="I301" i="10"/>
  <c r="H301" i="10" s="1"/>
  <c r="O515" i="10"/>
  <c r="H300" i="10"/>
  <c r="P515" i="10"/>
  <c r="N516" i="10"/>
  <c r="F510" i="10" l="1"/>
  <c r="D510" i="10" s="1"/>
  <c r="E510" i="10" s="1"/>
  <c r="G510" i="10" s="1"/>
  <c r="P516" i="10"/>
  <c r="N517" i="10"/>
  <c r="O516" i="10"/>
  <c r="O517" i="10" s="1"/>
  <c r="K301" i="10"/>
  <c r="F511" i="10" l="1"/>
  <c r="D511" i="10" s="1"/>
  <c r="E511" i="10" s="1"/>
  <c r="G511" i="10" s="1"/>
  <c r="J302" i="10"/>
  <c r="I302" i="10"/>
  <c r="H302" i="10" s="1"/>
  <c r="N518" i="10"/>
  <c r="O518" i="10" s="1"/>
  <c r="P517" i="10"/>
  <c r="F512" i="10" l="1"/>
  <c r="D512" i="10" s="1"/>
  <c r="E512" i="10" s="1"/>
  <c r="G512" i="10" s="1"/>
  <c r="P518" i="10"/>
  <c r="N519" i="10"/>
  <c r="O519" i="10" s="1"/>
  <c r="K302" i="10"/>
  <c r="F513" i="10" l="1"/>
  <c r="D513" i="10" s="1"/>
  <c r="E513" i="10" s="1"/>
  <c r="G513" i="10" s="1"/>
  <c r="J303" i="10"/>
  <c r="I303" i="10"/>
  <c r="P519" i="10"/>
  <c r="N520" i="10"/>
  <c r="H303" i="10" l="1"/>
  <c r="F514" i="10"/>
  <c r="D514" i="10" s="1"/>
  <c r="E514" i="10" s="1"/>
  <c r="G514" i="10" s="1"/>
  <c r="P520" i="10"/>
  <c r="N521" i="10"/>
  <c r="K303" i="10"/>
  <c r="O520" i="10"/>
  <c r="O521" i="10" l="1"/>
  <c r="F515" i="10"/>
  <c r="D515" i="10" s="1"/>
  <c r="E515" i="10" s="1"/>
  <c r="G515" i="10" s="1"/>
  <c r="J304" i="10"/>
  <c r="I304" i="10"/>
  <c r="P521" i="10"/>
  <c r="N522" i="10"/>
  <c r="O522" i="10" s="1"/>
  <c r="H304" i="10" l="1"/>
  <c r="F516" i="10"/>
  <c r="D516" i="10" s="1"/>
  <c r="E516" i="10" s="1"/>
  <c r="G516" i="10" s="1"/>
  <c r="K304" i="10"/>
  <c r="P522" i="10"/>
  <c r="N523" i="10"/>
  <c r="F517" i="10" l="1"/>
  <c r="D517" i="10" s="1"/>
  <c r="E517" i="10" s="1"/>
  <c r="G517" i="10" s="1"/>
  <c r="P523" i="10"/>
  <c r="N524" i="10"/>
  <c r="O523" i="10"/>
  <c r="J305" i="10"/>
  <c r="I305" i="10"/>
  <c r="K305" i="10" s="1"/>
  <c r="F518" i="10" l="1"/>
  <c r="D518" i="10" s="1"/>
  <c r="E518" i="10" s="1"/>
  <c r="G518" i="10" s="1"/>
  <c r="J306" i="10"/>
  <c r="I306" i="10"/>
  <c r="H305" i="10"/>
  <c r="O524" i="10"/>
  <c r="P524" i="10"/>
  <c r="N525" i="10"/>
  <c r="H306" i="10" l="1"/>
  <c r="F519" i="10"/>
  <c r="D519" i="10" s="1"/>
  <c r="E519" i="10" s="1"/>
  <c r="G519" i="10" s="1"/>
  <c r="K306" i="10"/>
  <c r="P525" i="10"/>
  <c r="N526" i="10"/>
  <c r="O525" i="10"/>
  <c r="O526" i="10" s="1"/>
  <c r="F520" i="10" l="1"/>
  <c r="D520" i="10" s="1"/>
  <c r="E520" i="10" s="1"/>
  <c r="G520" i="10" s="1"/>
  <c r="P526" i="10"/>
  <c r="N527" i="10"/>
  <c r="O527" i="10" s="1"/>
  <c r="J307" i="10"/>
  <c r="I307" i="10"/>
  <c r="H307" i="10" s="1"/>
  <c r="F521" i="10" l="1"/>
  <c r="D521" i="10" s="1"/>
  <c r="E521" i="10" s="1"/>
  <c r="G521" i="10" s="1"/>
  <c r="K307" i="10"/>
  <c r="P527" i="10"/>
  <c r="N528" i="10"/>
  <c r="F522" i="10" l="1"/>
  <c r="D522" i="10" s="1"/>
  <c r="E522" i="10" s="1"/>
  <c r="G522" i="10" s="1"/>
  <c r="P528" i="10"/>
  <c r="N529" i="10"/>
  <c r="J308" i="10"/>
  <c r="I308" i="10"/>
  <c r="K308" i="10" s="1"/>
  <c r="O528" i="10"/>
  <c r="O529" i="10" l="1"/>
  <c r="F523" i="10"/>
  <c r="D523" i="10" s="1"/>
  <c r="E523" i="10" s="1"/>
  <c r="G523" i="10" s="1"/>
  <c r="J309" i="10"/>
  <c r="I309" i="10"/>
  <c r="H308" i="10"/>
  <c r="P529" i="10"/>
  <c r="N530" i="10"/>
  <c r="O530" i="10" s="1"/>
  <c r="H309" i="10" l="1"/>
  <c r="K309" i="10"/>
  <c r="J310" i="10" s="1"/>
  <c r="F524" i="10"/>
  <c r="D524" i="10" s="1"/>
  <c r="E524" i="10" s="1"/>
  <c r="G524" i="10" s="1"/>
  <c r="I310" i="10"/>
  <c r="P530" i="10"/>
  <c r="N531" i="10"/>
  <c r="H310" i="10" l="1"/>
  <c r="F525" i="10"/>
  <c r="D525" i="10" s="1"/>
  <c r="E525" i="10" s="1"/>
  <c r="G525" i="10" s="1"/>
  <c r="P531" i="10"/>
  <c r="N532" i="10"/>
  <c r="K310" i="10"/>
  <c r="O531" i="10"/>
  <c r="O532" i="10" l="1"/>
  <c r="F526" i="10"/>
  <c r="D526" i="10" s="1"/>
  <c r="E526" i="10" s="1"/>
  <c r="G526" i="10" s="1"/>
  <c r="J311" i="10"/>
  <c r="I311" i="10"/>
  <c r="P532" i="10"/>
  <c r="N533" i="10"/>
  <c r="O533" i="10" s="1"/>
  <c r="H311" i="10" l="1"/>
  <c r="F527" i="10"/>
  <c r="D527" i="10" s="1"/>
  <c r="E527" i="10" s="1"/>
  <c r="G527" i="10" s="1"/>
  <c r="P533" i="10"/>
  <c r="N534" i="10"/>
  <c r="K311" i="10"/>
  <c r="F528" i="10" l="1"/>
  <c r="D528" i="10" s="1"/>
  <c r="E528" i="10" s="1"/>
  <c r="G528" i="10" s="1"/>
  <c r="J312" i="10"/>
  <c r="I312" i="10"/>
  <c r="P534" i="10"/>
  <c r="N535" i="10"/>
  <c r="O534" i="10"/>
  <c r="F529" i="10" l="1"/>
  <c r="D529" i="10" s="1"/>
  <c r="E529" i="10" s="1"/>
  <c r="G529" i="10" s="1"/>
  <c r="P535" i="10"/>
  <c r="N536" i="10"/>
  <c r="O535" i="10"/>
  <c r="O536" i="10" s="1"/>
  <c r="H312" i="10"/>
  <c r="K312" i="10"/>
  <c r="F530" i="10" l="1"/>
  <c r="D530" i="10" s="1"/>
  <c r="E530" i="10" s="1"/>
  <c r="G530" i="10" s="1"/>
  <c r="J313" i="10"/>
  <c r="I313" i="10"/>
  <c r="P536" i="10"/>
  <c r="N537" i="10"/>
  <c r="F531" i="10" l="1"/>
  <c r="D531" i="10" s="1"/>
  <c r="E531" i="10" s="1"/>
  <c r="G531" i="10" s="1"/>
  <c r="H313" i="10"/>
  <c r="P537" i="10"/>
  <c r="N538" i="10"/>
  <c r="K313" i="10"/>
  <c r="O537" i="10"/>
  <c r="F532" i="10" l="1"/>
  <c r="D532" i="10" s="1"/>
  <c r="E532" i="10" s="1"/>
  <c r="G532" i="10" s="1"/>
  <c r="J314" i="10"/>
  <c r="I314" i="10"/>
  <c r="P538" i="10"/>
  <c r="N539" i="10"/>
  <c r="O538" i="10"/>
  <c r="H314" i="10" l="1"/>
  <c r="K314" i="10"/>
  <c r="J315" i="10" s="1"/>
  <c r="F533" i="10"/>
  <c r="D533" i="10" s="1"/>
  <c r="E533" i="10" s="1"/>
  <c r="G533" i="10" s="1"/>
  <c r="P539" i="10"/>
  <c r="N540" i="10"/>
  <c r="I315" i="10"/>
  <c r="O539" i="10"/>
  <c r="O540" i="10" s="1"/>
  <c r="H315" i="10" l="1"/>
  <c r="F534" i="10"/>
  <c r="D534" i="10" s="1"/>
  <c r="E534" i="10" s="1"/>
  <c r="G534" i="10" s="1"/>
  <c r="K315" i="10"/>
  <c r="N541" i="10"/>
  <c r="P540" i="10"/>
  <c r="F535" i="10" l="1"/>
  <c r="D535" i="10" s="1"/>
  <c r="E535" i="10" s="1"/>
  <c r="G535" i="10" s="1"/>
  <c r="P541" i="10"/>
  <c r="N542" i="10"/>
  <c r="J316" i="10"/>
  <c r="I316" i="10"/>
  <c r="K316" i="10" s="1"/>
  <c r="O541" i="10"/>
  <c r="O542" i="10" s="1"/>
  <c r="F536" i="10" l="1"/>
  <c r="D536" i="10" s="1"/>
  <c r="E536" i="10" s="1"/>
  <c r="G536" i="10" s="1"/>
  <c r="J317" i="10"/>
  <c r="I317" i="10"/>
  <c r="P542" i="10"/>
  <c r="N543" i="10"/>
  <c r="O543" i="10" s="1"/>
  <c r="H316" i="10"/>
  <c r="H317" i="10" l="1"/>
  <c r="F537" i="10"/>
  <c r="D537" i="10" s="1"/>
  <c r="E537" i="10" s="1"/>
  <c r="G537" i="10" s="1"/>
  <c r="K317" i="10"/>
  <c r="P543" i="10"/>
  <c r="N544" i="10"/>
  <c r="F538" i="10" l="1"/>
  <c r="D538" i="10" s="1"/>
  <c r="E538" i="10" s="1"/>
  <c r="G538" i="10" s="1"/>
  <c r="N545" i="10"/>
  <c r="P544" i="10"/>
  <c r="O544" i="10"/>
  <c r="O545" i="10" s="1"/>
  <c r="J318" i="10"/>
  <c r="I318" i="10"/>
  <c r="H318" i="10" l="1"/>
  <c r="F539" i="10"/>
  <c r="D539" i="10" s="1"/>
  <c r="E539" i="10" s="1"/>
  <c r="G539" i="10" s="1"/>
  <c r="K318" i="10"/>
  <c r="N546" i="10"/>
  <c r="O546" i="10" s="1"/>
  <c r="P545" i="10"/>
  <c r="F540" i="10" l="1"/>
  <c r="D540" i="10" s="1"/>
  <c r="E540" i="10" s="1"/>
  <c r="G540" i="10" s="1"/>
  <c r="J319" i="10"/>
  <c r="I319" i="10"/>
  <c r="P546" i="10"/>
  <c r="N547" i="10"/>
  <c r="O547" i="10" s="1"/>
  <c r="H319" i="10" l="1"/>
  <c r="F541" i="10"/>
  <c r="D541" i="10" s="1"/>
  <c r="E541" i="10" s="1"/>
  <c r="G541" i="10" s="1"/>
  <c r="K319" i="10"/>
  <c r="P547" i="10"/>
  <c r="N548" i="10"/>
  <c r="F542" i="10" l="1"/>
  <c r="D542" i="10" s="1"/>
  <c r="E542" i="10" s="1"/>
  <c r="G542" i="10" s="1"/>
  <c r="N549" i="10"/>
  <c r="P548" i="10"/>
  <c r="J320" i="10"/>
  <c r="I320" i="10"/>
  <c r="K320" i="10" s="1"/>
  <c r="O548" i="10"/>
  <c r="O549" i="10" s="1"/>
  <c r="F543" i="10" l="1"/>
  <c r="D543" i="10" s="1"/>
  <c r="E543" i="10" s="1"/>
  <c r="G543" i="10" s="1"/>
  <c r="J321" i="10"/>
  <c r="I321" i="10"/>
  <c r="H320" i="10"/>
  <c r="P549" i="10"/>
  <c r="N550" i="10"/>
  <c r="H321" i="10" l="1"/>
  <c r="F544" i="10"/>
  <c r="D544" i="10" s="1"/>
  <c r="E544" i="10" s="1"/>
  <c r="G544" i="10" s="1"/>
  <c r="K321" i="10"/>
  <c r="P550" i="10"/>
  <c r="N551" i="10"/>
  <c r="O550" i="10"/>
  <c r="O551" i="10" s="1"/>
  <c r="F545" i="10" l="1"/>
  <c r="D545" i="10" s="1"/>
  <c r="E545" i="10" s="1"/>
  <c r="G545" i="10" s="1"/>
  <c r="J322" i="10"/>
  <c r="I322" i="10"/>
  <c r="H322" i="10" s="1"/>
  <c r="O552" i="10"/>
  <c r="P551" i="10"/>
  <c r="N552" i="10"/>
  <c r="F546" i="10" l="1"/>
  <c r="D546" i="10" s="1"/>
  <c r="E546" i="10" s="1"/>
  <c r="G546" i="10" s="1"/>
  <c r="K322" i="10"/>
  <c r="N553" i="10"/>
  <c r="P552" i="10"/>
  <c r="F547" i="10" l="1"/>
  <c r="D547" i="10" s="1"/>
  <c r="E547" i="10" s="1"/>
  <c r="G547" i="10" s="1"/>
  <c r="N554" i="10"/>
  <c r="P553" i="10"/>
  <c r="O553" i="10"/>
  <c r="O554" i="10" s="1"/>
  <c r="J323" i="10"/>
  <c r="I323" i="10"/>
  <c r="H323" i="10" l="1"/>
  <c r="F548" i="10"/>
  <c r="D548" i="10" s="1"/>
  <c r="E548" i="10" s="1"/>
  <c r="G548" i="10" s="1"/>
  <c r="K323" i="10"/>
  <c r="P554" i="10"/>
  <c r="N555" i="10"/>
  <c r="F549" i="10" l="1"/>
  <c r="D549" i="10" s="1"/>
  <c r="E549" i="10" s="1"/>
  <c r="G549" i="10" s="1"/>
  <c r="J324" i="10"/>
  <c r="I324" i="10"/>
  <c r="P555" i="10"/>
  <c r="N556" i="10"/>
  <c r="O555" i="10"/>
  <c r="F550" i="10" l="1"/>
  <c r="D550" i="10" s="1"/>
  <c r="E550" i="10" s="1"/>
  <c r="G550" i="10" s="1"/>
  <c r="N557" i="10"/>
  <c r="P556" i="10"/>
  <c r="O556" i="10"/>
  <c r="O557" i="10" s="1"/>
  <c r="H324" i="10"/>
  <c r="K324" i="10"/>
  <c r="F551" i="10" l="1"/>
  <c r="D551" i="10" s="1"/>
  <c r="E551" i="10" s="1"/>
  <c r="G551" i="10" s="1"/>
  <c r="P557" i="10"/>
  <c r="N558" i="10"/>
  <c r="O558" i="10"/>
  <c r="J325" i="10"/>
  <c r="I325" i="10"/>
  <c r="K325" i="10" s="1"/>
  <c r="F552" i="10" l="1"/>
  <c r="D552" i="10" s="1"/>
  <c r="E552" i="10" s="1"/>
  <c r="G552" i="10" s="1"/>
  <c r="J326" i="10"/>
  <c r="I326" i="10"/>
  <c r="H325" i="10"/>
  <c r="P558" i="10"/>
  <c r="N559" i="10"/>
  <c r="H326" i="10" l="1"/>
  <c r="F553" i="10"/>
  <c r="D553" i="10" s="1"/>
  <c r="E553" i="10" s="1"/>
  <c r="G553" i="10" s="1"/>
  <c r="P559" i="10"/>
  <c r="N560" i="10"/>
  <c r="O559" i="10"/>
  <c r="K326" i="10"/>
  <c r="O560" i="10" l="1"/>
  <c r="F554" i="10"/>
  <c r="D554" i="10" s="1"/>
  <c r="E554" i="10" s="1"/>
  <c r="G554" i="10" s="1"/>
  <c r="J327" i="10"/>
  <c r="I327" i="10"/>
  <c r="H327" i="10" s="1"/>
  <c r="N561" i="10"/>
  <c r="O561" i="10" s="1"/>
  <c r="P560" i="10"/>
  <c r="F555" i="10" l="1"/>
  <c r="D555" i="10" s="1"/>
  <c r="E555" i="10" s="1"/>
  <c r="G555" i="10" s="1"/>
  <c r="N562" i="10"/>
  <c r="O562" i="10" s="1"/>
  <c r="P561" i="10"/>
  <c r="K327" i="10"/>
  <c r="F556" i="10" l="1"/>
  <c r="D556" i="10" s="1"/>
  <c r="E556" i="10" s="1"/>
  <c r="G556" i="10" s="1"/>
  <c r="J328" i="10"/>
  <c r="I328" i="10"/>
  <c r="H328" i="10" s="1"/>
  <c r="O563" i="10"/>
  <c r="P562" i="10"/>
  <c r="N563" i="10"/>
  <c r="F557" i="10" l="1"/>
  <c r="D557" i="10" s="1"/>
  <c r="E557" i="10" s="1"/>
  <c r="G557" i="10" s="1"/>
  <c r="P563" i="10"/>
  <c r="N564" i="10"/>
  <c r="O564" i="10" s="1"/>
  <c r="K328" i="10"/>
  <c r="F558" i="10" l="1"/>
  <c r="D558" i="10" s="1"/>
  <c r="E558" i="10" s="1"/>
  <c r="G558" i="10" s="1"/>
  <c r="J329" i="10"/>
  <c r="I329" i="10"/>
  <c r="H329" i="10" s="1"/>
  <c r="N565" i="10"/>
  <c r="O565" i="10" s="1"/>
  <c r="P564" i="10"/>
  <c r="F559" i="10" l="1"/>
  <c r="D559" i="10" s="1"/>
  <c r="E559" i="10" s="1"/>
  <c r="G559" i="10" s="1"/>
  <c r="P565" i="10"/>
  <c r="N566" i="10"/>
  <c r="O566" i="10" s="1"/>
  <c r="K329" i="10"/>
  <c r="F560" i="10" l="1"/>
  <c r="D560" i="10" s="1"/>
  <c r="E560" i="10" s="1"/>
  <c r="G560" i="10" s="1"/>
  <c r="J330" i="10"/>
  <c r="I330" i="10"/>
  <c r="H330" i="10" s="1"/>
  <c r="P566" i="10"/>
  <c r="N567" i="10"/>
  <c r="F561" i="10" l="1"/>
  <c r="D561" i="10" s="1"/>
  <c r="E561" i="10" s="1"/>
  <c r="G561" i="10" s="1"/>
  <c r="P567" i="10"/>
  <c r="N568" i="10"/>
  <c r="K330" i="10"/>
  <c r="O567" i="10"/>
  <c r="O568" i="10" s="1"/>
  <c r="F562" i="10" l="1"/>
  <c r="D562" i="10" s="1"/>
  <c r="E562" i="10" s="1"/>
  <c r="G562" i="10" s="1"/>
  <c r="J331" i="10"/>
  <c r="I331" i="10"/>
  <c r="H331" i="10" s="1"/>
  <c r="N569" i="10"/>
  <c r="P568" i="10"/>
  <c r="F563" i="10" l="1"/>
  <c r="D563" i="10" s="1"/>
  <c r="E563" i="10" s="1"/>
  <c r="G563" i="10" s="1"/>
  <c r="N570" i="10"/>
  <c r="P569" i="10"/>
  <c r="O569" i="10"/>
  <c r="K331" i="10"/>
  <c r="F564" i="10" l="1"/>
  <c r="D564" i="10" s="1"/>
  <c r="E564" i="10" s="1"/>
  <c r="G564" i="10" s="1"/>
  <c r="J332" i="10"/>
  <c r="I332" i="10"/>
  <c r="P570" i="10"/>
  <c r="N571" i="10"/>
  <c r="O570" i="10"/>
  <c r="F565" i="10" l="1"/>
  <c r="D565" i="10" s="1"/>
  <c r="E565" i="10" s="1"/>
  <c r="G565" i="10" s="1"/>
  <c r="P571" i="10"/>
  <c r="N572" i="10"/>
  <c r="H332" i="10"/>
  <c r="O571" i="10"/>
  <c r="O572" i="10" s="1"/>
  <c r="K332" i="10"/>
  <c r="F566" i="10" l="1"/>
  <c r="D566" i="10" s="1"/>
  <c r="E566" i="10" s="1"/>
  <c r="G566" i="10" s="1"/>
  <c r="J333" i="10"/>
  <c r="I333" i="10"/>
  <c r="N573" i="10"/>
  <c r="O573" i="10" s="1"/>
  <c r="P572" i="10"/>
  <c r="H333" i="10" l="1"/>
  <c r="F567" i="10"/>
  <c r="D567" i="10" s="1"/>
  <c r="E567" i="10" s="1"/>
  <c r="G567" i="10" s="1"/>
  <c r="K333" i="10"/>
  <c r="P573" i="10"/>
  <c r="N574" i="10"/>
  <c r="F568" i="10" l="1"/>
  <c r="D568" i="10" s="1"/>
  <c r="E568" i="10" s="1"/>
  <c r="G568" i="10" s="1"/>
  <c r="P574" i="10"/>
  <c r="N575" i="10"/>
  <c r="O574" i="10"/>
  <c r="O575" i="10" s="1"/>
  <c r="J334" i="10"/>
  <c r="I334" i="10"/>
  <c r="H334" i="10" l="1"/>
  <c r="F569" i="10"/>
  <c r="D569" i="10" s="1"/>
  <c r="E569" i="10" s="1"/>
  <c r="G569" i="10" s="1"/>
  <c r="K334" i="10"/>
  <c r="N576" i="10"/>
  <c r="P575" i="10"/>
  <c r="F570" i="10" l="1"/>
  <c r="D570" i="10" s="1"/>
  <c r="E570" i="10" s="1"/>
  <c r="G570" i="10" s="1"/>
  <c r="J335" i="10"/>
  <c r="I335" i="10"/>
  <c r="K335" i="10" s="1"/>
  <c r="N577" i="10"/>
  <c r="P576" i="10"/>
  <c r="O576" i="10"/>
  <c r="O577" i="10" l="1"/>
  <c r="F571" i="10"/>
  <c r="D571" i="10" s="1"/>
  <c r="E571" i="10" s="1"/>
  <c r="G571" i="10" s="1"/>
  <c r="N578" i="10"/>
  <c r="O578" i="10" s="1"/>
  <c r="P577" i="10"/>
  <c r="H335" i="10"/>
  <c r="J336" i="10"/>
  <c r="I336" i="10"/>
  <c r="F572" i="10" l="1"/>
  <c r="D572" i="10" s="1"/>
  <c r="E572" i="10" s="1"/>
  <c r="G572" i="10" s="1"/>
  <c r="P578" i="10"/>
  <c r="N579" i="10"/>
  <c r="H336" i="10"/>
  <c r="O579" i="10"/>
  <c r="K336" i="10"/>
  <c r="F573" i="10" l="1"/>
  <c r="D573" i="10" s="1"/>
  <c r="E573" i="10" s="1"/>
  <c r="G573" i="10" s="1"/>
  <c r="J337" i="10"/>
  <c r="I337" i="10"/>
  <c r="H337" i="10" s="1"/>
  <c r="O580" i="10"/>
  <c r="P579" i="10"/>
  <c r="N580" i="10"/>
  <c r="F574" i="10" l="1"/>
  <c r="D574" i="10" s="1"/>
  <c r="E574" i="10" s="1"/>
  <c r="G574" i="10" s="1"/>
  <c r="P580" i="10"/>
  <c r="N581" i="10"/>
  <c r="O581" i="10" s="1"/>
  <c r="K337" i="10"/>
  <c r="F575" i="10" l="1"/>
  <c r="D575" i="10" s="1"/>
  <c r="E575" i="10" s="1"/>
  <c r="G575" i="10" s="1"/>
  <c r="J338" i="10"/>
  <c r="I338" i="10"/>
  <c r="H338" i="10" s="1"/>
  <c r="P581" i="10"/>
  <c r="N582" i="10"/>
  <c r="O582" i="10" s="1"/>
  <c r="K338" i="10" l="1"/>
  <c r="J339" i="10" s="1"/>
  <c r="F576" i="10"/>
  <c r="D576" i="10" s="1"/>
  <c r="E576" i="10" s="1"/>
  <c r="G576" i="10" s="1"/>
  <c r="I339" i="10"/>
  <c r="P582" i="10"/>
  <c r="N583" i="10"/>
  <c r="H339" i="10" l="1"/>
  <c r="F577" i="10"/>
  <c r="D577" i="10" s="1"/>
  <c r="E577" i="10" s="1"/>
  <c r="G577" i="10" s="1"/>
  <c r="K339" i="10"/>
  <c r="P583" i="10"/>
  <c r="N584" i="10"/>
  <c r="O583" i="10"/>
  <c r="O584" i="10" s="1"/>
  <c r="F578" i="10" l="1"/>
  <c r="D578" i="10" s="1"/>
  <c r="E578" i="10" s="1"/>
  <c r="G578" i="10" s="1"/>
  <c r="J340" i="10"/>
  <c r="I340" i="10"/>
  <c r="P584" i="10"/>
  <c r="N585" i="10"/>
  <c r="O585" i="10" s="1"/>
  <c r="H340" i="10" l="1"/>
  <c r="F579" i="10"/>
  <c r="D579" i="10" s="1"/>
  <c r="E579" i="10" s="1"/>
  <c r="G579" i="10" s="1"/>
  <c r="P585" i="10"/>
  <c r="N586" i="10"/>
  <c r="K340" i="10"/>
  <c r="F580" i="10" l="1"/>
  <c r="D580" i="10" s="1"/>
  <c r="E580" i="10" s="1"/>
  <c r="G580" i="10" s="1"/>
  <c r="P586" i="10"/>
  <c r="N587" i="10"/>
  <c r="J341" i="10"/>
  <c r="I341" i="10"/>
  <c r="O586" i="10"/>
  <c r="O587" i="10" s="1"/>
  <c r="H341" i="10" l="1"/>
  <c r="F581" i="10"/>
  <c r="D581" i="10" s="1"/>
  <c r="E581" i="10" s="1"/>
  <c r="G581" i="10" s="1"/>
  <c r="K341" i="10"/>
  <c r="P587" i="10"/>
  <c r="N588" i="10"/>
  <c r="F582" i="10" l="1"/>
  <c r="D582" i="10" s="1"/>
  <c r="E582" i="10" s="1"/>
  <c r="G582" i="10" s="1"/>
  <c r="P588" i="10"/>
  <c r="N589" i="10"/>
  <c r="J342" i="10"/>
  <c r="I342" i="10"/>
  <c r="K342" i="10" s="1"/>
  <c r="O588" i="10"/>
  <c r="O589" i="10" s="1"/>
  <c r="H342" i="10" l="1"/>
  <c r="F583" i="10"/>
  <c r="D583" i="10" s="1"/>
  <c r="E583" i="10" s="1"/>
  <c r="G583" i="10" s="1"/>
  <c r="J343" i="10"/>
  <c r="I343" i="10"/>
  <c r="P589" i="10"/>
  <c r="N590" i="10"/>
  <c r="O590" i="10" s="1"/>
  <c r="F584" i="10" l="1"/>
  <c r="D584" i="10" s="1"/>
  <c r="E584" i="10" s="1"/>
  <c r="G584" i="10" s="1"/>
  <c r="H343" i="10"/>
  <c r="P590" i="10"/>
  <c r="N591" i="10"/>
  <c r="O591" i="10" s="1"/>
  <c r="K343" i="10"/>
  <c r="F585" i="10" l="1"/>
  <c r="D585" i="10" s="1"/>
  <c r="E585" i="10" s="1"/>
  <c r="G585" i="10" s="1"/>
  <c r="J344" i="10"/>
  <c r="I344" i="10"/>
  <c r="P591" i="10"/>
  <c r="N592" i="10"/>
  <c r="H344" i="10" l="1"/>
  <c r="F586" i="10"/>
  <c r="D586" i="10" s="1"/>
  <c r="E586" i="10" s="1"/>
  <c r="G586" i="10" s="1"/>
  <c r="P592" i="10"/>
  <c r="N593" i="10"/>
  <c r="K344" i="10"/>
  <c r="O592" i="10"/>
  <c r="O593" i="10" l="1"/>
  <c r="F587" i="10"/>
  <c r="D587" i="10" s="1"/>
  <c r="E587" i="10" s="1"/>
  <c r="G587" i="10" s="1"/>
  <c r="J345" i="10"/>
  <c r="I345" i="10"/>
  <c r="P593" i="10"/>
  <c r="N594" i="10"/>
  <c r="O594" i="10" s="1"/>
  <c r="H345" i="10" l="1"/>
  <c r="F588" i="10"/>
  <c r="D588" i="10" s="1"/>
  <c r="E588" i="10" s="1"/>
  <c r="G588" i="10" s="1"/>
  <c r="K345" i="10"/>
  <c r="P594" i="10"/>
  <c r="N595" i="10"/>
  <c r="F589" i="10" l="1"/>
  <c r="D589" i="10" s="1"/>
  <c r="E589" i="10" s="1"/>
  <c r="G589" i="10" s="1"/>
  <c r="P595" i="10"/>
  <c r="N596" i="10"/>
  <c r="J346" i="10"/>
  <c r="I346" i="10"/>
  <c r="H346" i="10" s="1"/>
  <c r="O595" i="10"/>
  <c r="F590" i="10" l="1"/>
  <c r="D590" i="10" s="1"/>
  <c r="E590" i="10" s="1"/>
  <c r="G590" i="10" s="1"/>
  <c r="K346" i="10"/>
  <c r="O596" i="10"/>
  <c r="P596" i="10"/>
  <c r="N597" i="10"/>
  <c r="F591" i="10" l="1"/>
  <c r="D591" i="10" s="1"/>
  <c r="E591" i="10" s="1"/>
  <c r="G591" i="10" s="1"/>
  <c r="P597" i="10"/>
  <c r="N598" i="10"/>
  <c r="O597" i="10"/>
  <c r="J347" i="10"/>
  <c r="I347" i="10"/>
  <c r="K347" i="10" s="1"/>
  <c r="F592" i="10" l="1"/>
  <c r="D592" i="10" s="1"/>
  <c r="E592" i="10" s="1"/>
  <c r="G592" i="10" s="1"/>
  <c r="J348" i="10"/>
  <c r="I348" i="10"/>
  <c r="K348" i="10" s="1"/>
  <c r="O598" i="10"/>
  <c r="H347" i="10"/>
  <c r="P598" i="10"/>
  <c r="N599" i="10"/>
  <c r="F593" i="10" l="1"/>
  <c r="D593" i="10" s="1"/>
  <c r="E593" i="10" s="1"/>
  <c r="G593" i="10" s="1"/>
  <c r="O599" i="10"/>
  <c r="J349" i="10"/>
  <c r="I349" i="10"/>
  <c r="H348" i="10"/>
  <c r="P599" i="10"/>
  <c r="N600" i="10"/>
  <c r="F594" i="10" l="1"/>
  <c r="D594" i="10" s="1"/>
  <c r="E594" i="10" s="1"/>
  <c r="G594" i="10" s="1"/>
  <c r="O600" i="10"/>
  <c r="P600" i="10"/>
  <c r="N601" i="10"/>
  <c r="H349" i="10"/>
  <c r="K349" i="10"/>
  <c r="O601" i="10" l="1"/>
  <c r="F595" i="10"/>
  <c r="D595" i="10" s="1"/>
  <c r="E595" i="10" s="1"/>
  <c r="G595" i="10" s="1"/>
  <c r="J350" i="10"/>
  <c r="I350" i="10"/>
  <c r="P601" i="10"/>
  <c r="N602" i="10"/>
  <c r="O602" i="10" s="1"/>
  <c r="H350" i="10" l="1"/>
  <c r="F596" i="10"/>
  <c r="D596" i="10" s="1"/>
  <c r="E596" i="10" s="1"/>
  <c r="G596" i="10" s="1"/>
  <c r="K350" i="10"/>
  <c r="P602" i="10"/>
  <c r="N603" i="10"/>
  <c r="F597" i="10" l="1"/>
  <c r="D597" i="10" s="1"/>
  <c r="E597" i="10" s="1"/>
  <c r="G597" i="10" s="1"/>
  <c r="P603" i="10"/>
  <c r="N604" i="10"/>
  <c r="J351" i="10"/>
  <c r="I351" i="10"/>
  <c r="H351" i="10" s="1"/>
  <c r="O603" i="10"/>
  <c r="O604" i="10" l="1"/>
  <c r="F598" i="10"/>
  <c r="D598" i="10" s="1"/>
  <c r="E598" i="10" s="1"/>
  <c r="G598" i="10" s="1"/>
  <c r="K351" i="10"/>
  <c r="P604" i="10"/>
  <c r="N605" i="10"/>
  <c r="F599" i="10" l="1"/>
  <c r="D599" i="10" s="1"/>
  <c r="E599" i="10" s="1"/>
  <c r="G599" i="10" s="1"/>
  <c r="J352" i="10"/>
  <c r="I352" i="10"/>
  <c r="K352" i="10" s="1"/>
  <c r="P605" i="10"/>
  <c r="N606" i="10"/>
  <c r="O605" i="10"/>
  <c r="F600" i="10" l="1"/>
  <c r="D600" i="10" s="1"/>
  <c r="E600" i="10" s="1"/>
  <c r="G600" i="10" s="1"/>
  <c r="P606" i="10"/>
  <c r="N607" i="10"/>
  <c r="P607" i="10" s="1"/>
  <c r="J353" i="10"/>
  <c r="I353" i="10"/>
  <c r="O606" i="10"/>
  <c r="H352" i="10"/>
  <c r="H353" i="10" l="1"/>
  <c r="F601" i="10"/>
  <c r="D601" i="10" s="1"/>
  <c r="E601" i="10" s="1"/>
  <c r="G601" i="10" s="1"/>
  <c r="K353" i="10"/>
  <c r="O607" i="10"/>
  <c r="F602" i="10" l="1"/>
  <c r="D602" i="10" s="1"/>
  <c r="E602" i="10" s="1"/>
  <c r="G602" i="10" s="1"/>
  <c r="J354" i="10"/>
  <c r="I354" i="10"/>
  <c r="K354" i="10" s="1"/>
  <c r="F603" i="10" l="1"/>
  <c r="D603" i="10" s="1"/>
  <c r="E603" i="10" s="1"/>
  <c r="G603" i="10" s="1"/>
  <c r="J355" i="10"/>
  <c r="I355" i="10"/>
  <c r="K355" i="10" s="1"/>
  <c r="H354" i="10"/>
  <c r="J356" i="10" l="1"/>
  <c r="I356" i="10"/>
  <c r="F604" i="10"/>
  <c r="D604" i="10" s="1"/>
  <c r="E604" i="10" s="1"/>
  <c r="G604" i="10" s="1"/>
  <c r="H355" i="10"/>
  <c r="H356" i="10" l="1"/>
  <c r="F605" i="10"/>
  <c r="D605" i="10" s="1"/>
  <c r="E605" i="10" s="1"/>
  <c r="G605" i="10" s="1"/>
  <c r="K356" i="10"/>
  <c r="F606" i="10" l="1"/>
  <c r="D606" i="10" s="1"/>
  <c r="E606" i="10" s="1"/>
  <c r="G606" i="10" s="1"/>
  <c r="J357" i="10"/>
  <c r="I357" i="10"/>
  <c r="K357" i="10" s="1"/>
  <c r="F607" i="10" l="1"/>
  <c r="D607" i="10" s="1"/>
  <c r="E607" i="10" s="1"/>
  <c r="J358" i="10"/>
  <c r="I358" i="10"/>
  <c r="K358" i="10" s="1"/>
  <c r="H357" i="10"/>
  <c r="E7" i="10" l="1"/>
  <c r="D7" i="10" s="1"/>
  <c r="G607" i="10"/>
  <c r="F608" i="10" s="1"/>
  <c r="F7" i="10" s="1"/>
  <c r="J359" i="10"/>
  <c r="I359" i="10"/>
  <c r="H358" i="10"/>
  <c r="H359" i="10" l="1"/>
  <c r="K359" i="10"/>
  <c r="J360" i="10" l="1"/>
  <c r="I360" i="10"/>
  <c r="H360" i="10" s="1"/>
  <c r="K360" i="10" l="1"/>
  <c r="J361" i="10" l="1"/>
  <c r="I361" i="10"/>
  <c r="H361" i="10" l="1"/>
  <c r="K361" i="10"/>
  <c r="J362" i="10" l="1"/>
  <c r="I362" i="10"/>
  <c r="H362" i="10" l="1"/>
  <c r="K362" i="10"/>
  <c r="J363" i="10" l="1"/>
  <c r="I363" i="10"/>
  <c r="H363" i="10" l="1"/>
  <c r="K363" i="10"/>
  <c r="J364" i="10" l="1"/>
  <c r="I364" i="10"/>
  <c r="H364" i="10" l="1"/>
  <c r="K364" i="10"/>
  <c r="J365" i="10" l="1"/>
  <c r="I365" i="10"/>
  <c r="H365" i="10" s="1"/>
  <c r="K365" i="10" l="1"/>
  <c r="J366" i="10" l="1"/>
  <c r="I366" i="10"/>
  <c r="H366" i="10" l="1"/>
  <c r="K366" i="10"/>
  <c r="J367" i="10" l="1"/>
  <c r="I367" i="10"/>
  <c r="H367" i="10" l="1"/>
  <c r="K367" i="10"/>
  <c r="J368" i="10" l="1"/>
  <c r="I368" i="10"/>
  <c r="H368" i="10" l="1"/>
  <c r="K368" i="10"/>
  <c r="J369" i="10" l="1"/>
  <c r="I369" i="10"/>
  <c r="H369" i="10" l="1"/>
  <c r="K369" i="10"/>
  <c r="J370" i="10" l="1"/>
  <c r="I370" i="10"/>
  <c r="H370" i="10" l="1"/>
  <c r="K370" i="10"/>
  <c r="J371" i="10" l="1"/>
  <c r="I371" i="10"/>
  <c r="H371" i="10" l="1"/>
  <c r="K371" i="10"/>
  <c r="J372" i="10" l="1"/>
  <c r="I372" i="10"/>
  <c r="H372" i="10" l="1"/>
  <c r="K372" i="10"/>
  <c r="J373" i="10" l="1"/>
  <c r="I373" i="10"/>
  <c r="H373" i="10" l="1"/>
  <c r="K373" i="10"/>
  <c r="J374" i="10" l="1"/>
  <c r="I374" i="10"/>
  <c r="H374" i="10" l="1"/>
  <c r="K374" i="10"/>
  <c r="J375" i="10" l="1"/>
  <c r="I375" i="10"/>
  <c r="H375" i="10" l="1"/>
  <c r="K375" i="10"/>
  <c r="J376" i="10" l="1"/>
  <c r="I376" i="10"/>
  <c r="H376" i="10" l="1"/>
  <c r="K376" i="10"/>
  <c r="J377" i="10" l="1"/>
  <c r="I377" i="10"/>
  <c r="H377" i="10" l="1"/>
  <c r="K377" i="10"/>
  <c r="J378" i="10" l="1"/>
  <c r="I378" i="10"/>
  <c r="H378" i="10" l="1"/>
  <c r="K378" i="10"/>
  <c r="J379" i="10" l="1"/>
  <c r="I379" i="10"/>
  <c r="H379" i="10" l="1"/>
  <c r="K379" i="10"/>
  <c r="J380" i="10" l="1"/>
  <c r="I380" i="10"/>
  <c r="H380" i="10" l="1"/>
  <c r="K380" i="10"/>
  <c r="J381" i="10" l="1"/>
  <c r="I381" i="10"/>
  <c r="H381" i="10" l="1"/>
  <c r="K381" i="10"/>
  <c r="J382" i="10" l="1"/>
  <c r="I382" i="10"/>
  <c r="H382" i="10" l="1"/>
  <c r="K382" i="10"/>
  <c r="J383" i="10" l="1"/>
  <c r="I383" i="10"/>
  <c r="H383" i="10" s="1"/>
  <c r="K383" i="10" l="1"/>
  <c r="J384" i="10" l="1"/>
  <c r="I384" i="10"/>
  <c r="H384" i="10" l="1"/>
  <c r="K384" i="10"/>
  <c r="J385" i="10" l="1"/>
  <c r="I385" i="10"/>
  <c r="H385" i="10" l="1"/>
  <c r="K385" i="10"/>
  <c r="J386" i="10" l="1"/>
  <c r="I386" i="10"/>
  <c r="H386" i="10" l="1"/>
  <c r="K386" i="10"/>
  <c r="J387" i="10" l="1"/>
  <c r="I387" i="10"/>
  <c r="H387" i="10" l="1"/>
  <c r="K387" i="10"/>
  <c r="J388" i="10" l="1"/>
  <c r="I388" i="10"/>
  <c r="H388" i="10" l="1"/>
  <c r="K388" i="10"/>
  <c r="J389" i="10" l="1"/>
  <c r="I389" i="10"/>
  <c r="H389" i="10" l="1"/>
  <c r="K389" i="10"/>
  <c r="J390" i="10" l="1"/>
  <c r="I390" i="10"/>
  <c r="H390" i="10" l="1"/>
  <c r="K390" i="10"/>
  <c r="J391" i="10" l="1"/>
  <c r="I391" i="10"/>
  <c r="H391" i="10" l="1"/>
  <c r="K391" i="10"/>
  <c r="J392" i="10" l="1"/>
  <c r="I392" i="10"/>
  <c r="H392" i="10" l="1"/>
  <c r="K392" i="10"/>
  <c r="J393" i="10" l="1"/>
  <c r="I393" i="10"/>
  <c r="H393" i="10" l="1"/>
  <c r="K393" i="10"/>
  <c r="J394" i="10" l="1"/>
  <c r="I394" i="10"/>
  <c r="H394" i="10" s="1"/>
  <c r="K394" i="10" l="1"/>
  <c r="J395" i="10" l="1"/>
  <c r="I395" i="10"/>
  <c r="H395" i="10" s="1"/>
  <c r="K395" i="10" l="1"/>
  <c r="J396" i="10" l="1"/>
  <c r="I396" i="10"/>
  <c r="H396" i="10" l="1"/>
  <c r="K396" i="10"/>
  <c r="J397" i="10" l="1"/>
  <c r="I397" i="10"/>
  <c r="H397" i="10" l="1"/>
  <c r="K397" i="10"/>
  <c r="J398" i="10" l="1"/>
  <c r="I398" i="10"/>
  <c r="H398" i="10" l="1"/>
  <c r="K398" i="10"/>
  <c r="J399" i="10" l="1"/>
  <c r="I399" i="10"/>
  <c r="H399" i="10" l="1"/>
  <c r="K399" i="10"/>
  <c r="J400" i="10" l="1"/>
  <c r="I400" i="10"/>
  <c r="H400" i="10" l="1"/>
  <c r="K400" i="10"/>
  <c r="J401" i="10" l="1"/>
  <c r="I401" i="10"/>
  <c r="H401" i="10" l="1"/>
  <c r="K401" i="10"/>
  <c r="J402" i="10" l="1"/>
  <c r="I402" i="10"/>
  <c r="H402" i="10" l="1"/>
  <c r="K402" i="10"/>
  <c r="J403" i="10" l="1"/>
  <c r="I403" i="10"/>
  <c r="H403" i="10" l="1"/>
  <c r="K403" i="10"/>
  <c r="J404" i="10" l="1"/>
  <c r="I404" i="10"/>
  <c r="H404" i="10" l="1"/>
  <c r="K404" i="10"/>
  <c r="J405" i="10" l="1"/>
  <c r="I405" i="10"/>
  <c r="H405" i="10" l="1"/>
  <c r="K405" i="10"/>
  <c r="J406" i="10" l="1"/>
  <c r="I406" i="10"/>
  <c r="H406" i="10" l="1"/>
  <c r="K406" i="10"/>
  <c r="J407" i="10" l="1"/>
  <c r="I407" i="10"/>
  <c r="H407" i="10" l="1"/>
  <c r="K407" i="10"/>
  <c r="J408" i="10" l="1"/>
  <c r="I408" i="10"/>
  <c r="H408" i="10" l="1"/>
  <c r="K408" i="10"/>
  <c r="J409" i="10" l="1"/>
  <c r="I409" i="10"/>
  <c r="H409" i="10" l="1"/>
  <c r="K409" i="10"/>
  <c r="J410" i="10" l="1"/>
  <c r="I410" i="10"/>
  <c r="H410" i="10" l="1"/>
  <c r="K410" i="10"/>
  <c r="J411" i="10" l="1"/>
  <c r="I411" i="10"/>
  <c r="H411" i="10" l="1"/>
  <c r="K411" i="10"/>
  <c r="J412" i="10" l="1"/>
  <c r="I412" i="10"/>
  <c r="H412" i="10" l="1"/>
  <c r="K412" i="10"/>
  <c r="J413" i="10" l="1"/>
  <c r="I413" i="10"/>
  <c r="H413" i="10" l="1"/>
  <c r="K413" i="10"/>
  <c r="J414" i="10" l="1"/>
  <c r="I414" i="10"/>
  <c r="H414" i="10" l="1"/>
  <c r="K414" i="10"/>
  <c r="J415" i="10" l="1"/>
  <c r="I415" i="10"/>
  <c r="H415" i="10" l="1"/>
  <c r="K415" i="10"/>
  <c r="J416" i="10" l="1"/>
  <c r="I416" i="10"/>
  <c r="H416" i="10" l="1"/>
  <c r="K416" i="10"/>
  <c r="J417" i="10" l="1"/>
  <c r="I417" i="10"/>
  <c r="H417" i="10" l="1"/>
  <c r="K417" i="10"/>
  <c r="J418" i="10" l="1"/>
  <c r="I418" i="10"/>
  <c r="H418" i="10" l="1"/>
  <c r="K418" i="10"/>
  <c r="J419" i="10" l="1"/>
  <c r="I419" i="10"/>
  <c r="H419" i="10" l="1"/>
  <c r="K419" i="10"/>
  <c r="J420" i="10" l="1"/>
  <c r="I420" i="10"/>
  <c r="H420" i="10" l="1"/>
  <c r="K420" i="10"/>
  <c r="J421" i="10" l="1"/>
  <c r="I421" i="10"/>
  <c r="H421" i="10" l="1"/>
  <c r="K421" i="10"/>
  <c r="J422" i="10" l="1"/>
  <c r="I422" i="10"/>
  <c r="H422" i="10" l="1"/>
  <c r="K422" i="10"/>
  <c r="J423" i="10" l="1"/>
  <c r="I423" i="10"/>
  <c r="H423" i="10" l="1"/>
  <c r="K423" i="10"/>
  <c r="J424" i="10" l="1"/>
  <c r="I424" i="10"/>
  <c r="H424" i="10" l="1"/>
  <c r="K424" i="10"/>
  <c r="J425" i="10" l="1"/>
  <c r="I425" i="10"/>
  <c r="H425" i="10" l="1"/>
  <c r="K425" i="10"/>
  <c r="J426" i="10" l="1"/>
  <c r="I426" i="10"/>
  <c r="H426" i="10" l="1"/>
  <c r="K426" i="10"/>
  <c r="J427" i="10" l="1"/>
  <c r="I427" i="10"/>
  <c r="H427" i="10" l="1"/>
  <c r="K427" i="10"/>
  <c r="J428" i="10" l="1"/>
  <c r="I428" i="10"/>
  <c r="H428" i="10" l="1"/>
  <c r="K428" i="10"/>
  <c r="J429" i="10" l="1"/>
  <c r="I429" i="10"/>
  <c r="H429" i="10" l="1"/>
  <c r="K429" i="10"/>
  <c r="J430" i="10" l="1"/>
  <c r="I430" i="10"/>
  <c r="H430" i="10" s="1"/>
  <c r="K430" i="10" l="1"/>
  <c r="J431" i="10" l="1"/>
  <c r="I431" i="10"/>
  <c r="H431" i="10" l="1"/>
  <c r="K431" i="10"/>
  <c r="J432" i="10" l="1"/>
  <c r="I432" i="10"/>
  <c r="H432" i="10" l="1"/>
  <c r="K432" i="10"/>
  <c r="J433" i="10" l="1"/>
  <c r="I433" i="10"/>
  <c r="H433" i="10" l="1"/>
  <c r="K433" i="10"/>
  <c r="J434" i="10" l="1"/>
  <c r="I434" i="10"/>
  <c r="H434" i="10" l="1"/>
  <c r="K434" i="10"/>
  <c r="J435" i="10" l="1"/>
  <c r="I435" i="10"/>
  <c r="H435" i="10" l="1"/>
  <c r="K435" i="10"/>
  <c r="J436" i="10" l="1"/>
  <c r="I436" i="10"/>
  <c r="H436" i="10" l="1"/>
  <c r="K436" i="10"/>
  <c r="J437" i="10" l="1"/>
  <c r="I437" i="10"/>
  <c r="H437" i="10" l="1"/>
  <c r="K437" i="10"/>
  <c r="J438" i="10" l="1"/>
  <c r="I438" i="10"/>
  <c r="H438" i="10" l="1"/>
  <c r="K438" i="10"/>
  <c r="J439" i="10" l="1"/>
  <c r="I439" i="10"/>
  <c r="H439" i="10" s="1"/>
  <c r="K439" i="10" l="1"/>
  <c r="J440" i="10" l="1"/>
  <c r="I440" i="10"/>
  <c r="H440" i="10" l="1"/>
  <c r="K440" i="10"/>
  <c r="J441" i="10" l="1"/>
  <c r="I441" i="10"/>
  <c r="H441" i="10" l="1"/>
  <c r="K441" i="10"/>
  <c r="J442" i="10" l="1"/>
  <c r="I442" i="10"/>
  <c r="H442" i="10" l="1"/>
  <c r="K442" i="10"/>
  <c r="J443" i="10" l="1"/>
  <c r="I443" i="10"/>
  <c r="H443" i="10" s="1"/>
  <c r="K443" i="10" l="1"/>
  <c r="J444" i="10" l="1"/>
  <c r="I444" i="10"/>
  <c r="H444" i="10" l="1"/>
  <c r="K444" i="10"/>
  <c r="J445" i="10" l="1"/>
  <c r="I445" i="10"/>
  <c r="H445" i="10" l="1"/>
  <c r="K445" i="10"/>
  <c r="J446" i="10" l="1"/>
  <c r="I446" i="10"/>
  <c r="H446" i="10" l="1"/>
  <c r="K446" i="10"/>
  <c r="J447" i="10" l="1"/>
  <c r="I447" i="10"/>
  <c r="H447" i="10" l="1"/>
  <c r="K447" i="10"/>
  <c r="J448" i="10" l="1"/>
  <c r="I448" i="10"/>
  <c r="H448" i="10" l="1"/>
  <c r="K448" i="10"/>
  <c r="J449" i="10" l="1"/>
  <c r="I449" i="10"/>
  <c r="H449" i="10" l="1"/>
  <c r="K449" i="10"/>
  <c r="J450" i="10" l="1"/>
  <c r="I450" i="10"/>
  <c r="H450" i="10" l="1"/>
  <c r="K450" i="10"/>
  <c r="J451" i="10" l="1"/>
  <c r="I451" i="10"/>
  <c r="H451" i="10" l="1"/>
  <c r="K451" i="10"/>
  <c r="J452" i="10" l="1"/>
  <c r="I452" i="10"/>
  <c r="H452" i="10" l="1"/>
  <c r="K452" i="10"/>
  <c r="J453" i="10" l="1"/>
  <c r="I453" i="10"/>
  <c r="H453" i="10" l="1"/>
  <c r="K453" i="10"/>
  <c r="J454" i="10" l="1"/>
  <c r="I454" i="10"/>
  <c r="H454" i="10" l="1"/>
  <c r="K454" i="10"/>
  <c r="J455" i="10" l="1"/>
  <c r="I455" i="10"/>
  <c r="H455" i="10" l="1"/>
  <c r="K455" i="10"/>
  <c r="J456" i="10" l="1"/>
  <c r="I456" i="10"/>
  <c r="H456" i="10" l="1"/>
  <c r="K456" i="10"/>
  <c r="J457" i="10" l="1"/>
  <c r="I457" i="10"/>
  <c r="H457" i="10" l="1"/>
  <c r="K457" i="10"/>
  <c r="J458" i="10" l="1"/>
  <c r="I458" i="10"/>
  <c r="H458" i="10" l="1"/>
  <c r="K458" i="10"/>
  <c r="J459" i="10" l="1"/>
  <c r="I459" i="10"/>
  <c r="H459" i="10" l="1"/>
  <c r="K459" i="10"/>
  <c r="J460" i="10" l="1"/>
  <c r="I460" i="10"/>
  <c r="H460" i="10" l="1"/>
  <c r="K460" i="10"/>
  <c r="J461" i="10" l="1"/>
  <c r="I461" i="10"/>
  <c r="H461" i="10" l="1"/>
  <c r="K461" i="10"/>
  <c r="J462" i="10" l="1"/>
  <c r="I462" i="10"/>
  <c r="H462" i="10" l="1"/>
  <c r="K462" i="10"/>
  <c r="J463" i="10" l="1"/>
  <c r="I463" i="10"/>
  <c r="H463" i="10" l="1"/>
  <c r="K463" i="10"/>
  <c r="J464" i="10" l="1"/>
  <c r="I464" i="10"/>
  <c r="H464" i="10" l="1"/>
  <c r="K464" i="10"/>
  <c r="J465" i="10" l="1"/>
  <c r="I465" i="10"/>
  <c r="H465" i="10" l="1"/>
  <c r="K465" i="10"/>
  <c r="J466" i="10" l="1"/>
  <c r="I466" i="10"/>
  <c r="H466" i="10" s="1"/>
  <c r="K466" i="10" l="1"/>
  <c r="J467" i="10" l="1"/>
  <c r="I467" i="10"/>
  <c r="H467" i="10" l="1"/>
  <c r="K467" i="10"/>
  <c r="J468" i="10" l="1"/>
  <c r="I468" i="10"/>
  <c r="H468" i="10" l="1"/>
  <c r="K468" i="10"/>
  <c r="J469" i="10" l="1"/>
  <c r="I469" i="10"/>
  <c r="H469" i="10" l="1"/>
  <c r="K469" i="10"/>
  <c r="J470" i="10" l="1"/>
  <c r="I470" i="10"/>
  <c r="H470" i="10" l="1"/>
  <c r="K470" i="10"/>
  <c r="J471" i="10" l="1"/>
  <c r="I471" i="10"/>
  <c r="H471" i="10" l="1"/>
  <c r="K471" i="10"/>
  <c r="J472" i="10" l="1"/>
  <c r="I472" i="10"/>
  <c r="H472" i="10" l="1"/>
  <c r="K472" i="10"/>
  <c r="J473" i="10" l="1"/>
  <c r="I473" i="10"/>
  <c r="H473" i="10" l="1"/>
  <c r="K473" i="10"/>
  <c r="J474" i="10" l="1"/>
  <c r="I474" i="10"/>
  <c r="H474" i="10" l="1"/>
  <c r="K474" i="10"/>
  <c r="J475" i="10" l="1"/>
  <c r="I475" i="10"/>
  <c r="H475" i="10" l="1"/>
  <c r="K475" i="10"/>
  <c r="J476" i="10" l="1"/>
  <c r="I476" i="10"/>
  <c r="H476" i="10" l="1"/>
  <c r="K476" i="10"/>
  <c r="J477" i="10" l="1"/>
  <c r="I477" i="10"/>
  <c r="H477" i="10" l="1"/>
  <c r="K477" i="10"/>
  <c r="J478" i="10" l="1"/>
  <c r="I478" i="10"/>
  <c r="H478" i="10" l="1"/>
  <c r="K478" i="10"/>
  <c r="J479" i="10" l="1"/>
  <c r="I479" i="10"/>
  <c r="H479" i="10" l="1"/>
  <c r="K479" i="10"/>
  <c r="J480" i="10" l="1"/>
  <c r="I480" i="10"/>
  <c r="H480" i="10" l="1"/>
  <c r="K480" i="10"/>
  <c r="J481" i="10" l="1"/>
  <c r="I481" i="10"/>
  <c r="H481" i="10" l="1"/>
  <c r="K481" i="10"/>
  <c r="J482" i="10" l="1"/>
  <c r="I482" i="10"/>
  <c r="H482" i="10" l="1"/>
  <c r="K482" i="10"/>
  <c r="J483" i="10" l="1"/>
  <c r="I483" i="10"/>
  <c r="H483" i="10" l="1"/>
  <c r="K483" i="10"/>
  <c r="J484" i="10" l="1"/>
  <c r="I484" i="10"/>
  <c r="H484" i="10" l="1"/>
  <c r="K484" i="10"/>
  <c r="J485" i="10" l="1"/>
  <c r="I485" i="10"/>
  <c r="H485" i="10" l="1"/>
  <c r="K485" i="10"/>
  <c r="J486" i="10" l="1"/>
  <c r="I486" i="10"/>
  <c r="H486" i="10" l="1"/>
  <c r="K486" i="10"/>
  <c r="J487" i="10" l="1"/>
  <c r="I487" i="10"/>
  <c r="H487" i="10" l="1"/>
  <c r="K487" i="10"/>
  <c r="J488" i="10" l="1"/>
  <c r="I488" i="10"/>
  <c r="H488" i="10" l="1"/>
  <c r="K488" i="10"/>
  <c r="J489" i="10" l="1"/>
  <c r="I489" i="10"/>
  <c r="H489" i="10" l="1"/>
  <c r="K489" i="10"/>
  <c r="J490" i="10" l="1"/>
  <c r="I490" i="10"/>
  <c r="H490" i="10" l="1"/>
  <c r="K490" i="10"/>
  <c r="J491" i="10" l="1"/>
  <c r="I491" i="10"/>
  <c r="H491" i="10" l="1"/>
  <c r="K491" i="10"/>
  <c r="J492" i="10" l="1"/>
  <c r="I492" i="10"/>
  <c r="H492" i="10" l="1"/>
  <c r="K492" i="10"/>
  <c r="J493" i="10" l="1"/>
  <c r="I493" i="10"/>
  <c r="H493" i="10" l="1"/>
  <c r="K493" i="10"/>
  <c r="J494" i="10" l="1"/>
  <c r="I494" i="10"/>
  <c r="H494" i="10" l="1"/>
  <c r="K494" i="10"/>
  <c r="J495" i="10" l="1"/>
  <c r="I495" i="10"/>
  <c r="H495" i="10" l="1"/>
  <c r="K495" i="10"/>
  <c r="J496" i="10" l="1"/>
  <c r="I496" i="10"/>
  <c r="H496" i="10" l="1"/>
  <c r="K496" i="10"/>
  <c r="J497" i="10" l="1"/>
  <c r="I497" i="10"/>
  <c r="H497" i="10" l="1"/>
  <c r="K497" i="10"/>
  <c r="J498" i="10" l="1"/>
  <c r="I498" i="10"/>
  <c r="H498" i="10" l="1"/>
  <c r="K498" i="10"/>
  <c r="J499" i="10" l="1"/>
  <c r="I499" i="10"/>
  <c r="H499" i="10" l="1"/>
  <c r="K499" i="10"/>
  <c r="J500" i="10" l="1"/>
  <c r="I500" i="10"/>
  <c r="H500" i="10" s="1"/>
  <c r="K500" i="10" l="1"/>
  <c r="J501" i="10" l="1"/>
  <c r="I501" i="10"/>
  <c r="H501" i="10" s="1"/>
  <c r="K501" i="10" l="1"/>
  <c r="J502" i="10" l="1"/>
  <c r="I502" i="10"/>
  <c r="H502" i="10" s="1"/>
  <c r="K502" i="10" l="1"/>
  <c r="J503" i="10" l="1"/>
  <c r="I503" i="10"/>
  <c r="H503" i="10" s="1"/>
  <c r="K503" i="10" l="1"/>
  <c r="J504" i="10" l="1"/>
  <c r="I504" i="10"/>
  <c r="H504" i="10" s="1"/>
  <c r="K504" i="10" l="1"/>
  <c r="J505" i="10" l="1"/>
  <c r="I505" i="10"/>
  <c r="H505" i="10" s="1"/>
  <c r="K505" i="10" l="1"/>
  <c r="J506" i="10" l="1"/>
  <c r="I506" i="10"/>
  <c r="H506" i="10" s="1"/>
  <c r="K506" i="10" l="1"/>
  <c r="J507" i="10" l="1"/>
  <c r="I507" i="10"/>
  <c r="H507" i="10" s="1"/>
  <c r="K507" i="10" l="1"/>
  <c r="J508" i="10" l="1"/>
  <c r="I508" i="10"/>
  <c r="H508" i="10" s="1"/>
  <c r="K508" i="10" l="1"/>
  <c r="J509" i="10" l="1"/>
  <c r="I509" i="10"/>
  <c r="H509" i="10" s="1"/>
  <c r="K509" i="10" l="1"/>
  <c r="J510" i="10" l="1"/>
  <c r="I510" i="10"/>
  <c r="H510" i="10" s="1"/>
  <c r="K510" i="10" l="1"/>
  <c r="J511" i="10" l="1"/>
  <c r="I511" i="10"/>
  <c r="H511" i="10" s="1"/>
  <c r="K511" i="10" l="1"/>
  <c r="J512" i="10" l="1"/>
  <c r="I512" i="10"/>
  <c r="H512" i="10" s="1"/>
  <c r="K512" i="10" l="1"/>
  <c r="J513" i="10" l="1"/>
  <c r="I513" i="10"/>
  <c r="H513" i="10" l="1"/>
  <c r="K513" i="10"/>
  <c r="J514" i="10" l="1"/>
  <c r="I514" i="10"/>
  <c r="H514" i="10" s="1"/>
  <c r="K514" i="10" l="1"/>
  <c r="J515" i="10" l="1"/>
  <c r="I515" i="10"/>
  <c r="H515" i="10" s="1"/>
  <c r="K515" i="10" l="1"/>
  <c r="J516" i="10" l="1"/>
  <c r="I516" i="10"/>
  <c r="H516" i="10" s="1"/>
  <c r="K516" i="10" l="1"/>
  <c r="J517" i="10" l="1"/>
  <c r="I517" i="10"/>
  <c r="H517" i="10" s="1"/>
  <c r="K517" i="10" l="1"/>
  <c r="J518" i="10" l="1"/>
  <c r="I518" i="10"/>
  <c r="H518" i="10" s="1"/>
  <c r="K518" i="10" l="1"/>
  <c r="J519" i="10" l="1"/>
  <c r="I519" i="10"/>
  <c r="H519" i="10" s="1"/>
  <c r="K519" i="10" l="1"/>
  <c r="J520" i="10" l="1"/>
  <c r="I520" i="10"/>
  <c r="H520" i="10" s="1"/>
  <c r="K520" i="10" l="1"/>
  <c r="J521" i="10" l="1"/>
  <c r="I521" i="10"/>
  <c r="H521" i="10" l="1"/>
  <c r="K521" i="10"/>
  <c r="J522" i="10" l="1"/>
  <c r="I522" i="10"/>
  <c r="H522" i="10" s="1"/>
  <c r="K522" i="10" l="1"/>
  <c r="J523" i="10" l="1"/>
  <c r="I523" i="10"/>
  <c r="H523" i="10" s="1"/>
  <c r="K523" i="10" l="1"/>
  <c r="J524" i="10" l="1"/>
  <c r="I524" i="10"/>
  <c r="H524" i="10" l="1"/>
  <c r="K524" i="10"/>
  <c r="J525" i="10" l="1"/>
  <c r="I525" i="10"/>
  <c r="H525" i="10" l="1"/>
  <c r="K525" i="10"/>
  <c r="J526" i="10" l="1"/>
  <c r="I526" i="10"/>
  <c r="H526" i="10" l="1"/>
  <c r="K526" i="10"/>
  <c r="J527" i="10" l="1"/>
  <c r="I527" i="10"/>
  <c r="H527" i="10" l="1"/>
  <c r="K527" i="10"/>
  <c r="J528" i="10" l="1"/>
  <c r="I528" i="10"/>
  <c r="H528" i="10" l="1"/>
  <c r="K528" i="10"/>
  <c r="J529" i="10" l="1"/>
  <c r="I529" i="10"/>
  <c r="H529" i="10" s="1"/>
  <c r="K529" i="10" l="1"/>
  <c r="J530" i="10" l="1"/>
  <c r="I530" i="10"/>
  <c r="H530" i="10" l="1"/>
  <c r="K530" i="10"/>
  <c r="J531" i="10" l="1"/>
  <c r="I531" i="10"/>
  <c r="H531" i="10" l="1"/>
  <c r="K531" i="10"/>
  <c r="J532" i="10" l="1"/>
  <c r="I532" i="10"/>
  <c r="H532" i="10" l="1"/>
  <c r="K532" i="10"/>
  <c r="J533" i="10" l="1"/>
  <c r="I533" i="10"/>
  <c r="H533" i="10" l="1"/>
  <c r="K533" i="10"/>
  <c r="J534" i="10" l="1"/>
  <c r="I534" i="10"/>
  <c r="H534" i="10" l="1"/>
  <c r="K534" i="10"/>
  <c r="J535" i="10" l="1"/>
  <c r="I535" i="10"/>
  <c r="H535" i="10" l="1"/>
  <c r="K535" i="10"/>
  <c r="J536" i="10" l="1"/>
  <c r="I536" i="10"/>
  <c r="H536" i="10" s="1"/>
  <c r="K536" i="10" l="1"/>
  <c r="J537" i="10" l="1"/>
  <c r="I537" i="10"/>
  <c r="H537" i="10" l="1"/>
  <c r="K537" i="10"/>
  <c r="J538" i="10" l="1"/>
  <c r="I538" i="10"/>
  <c r="H538" i="10" s="1"/>
  <c r="K538" i="10" l="1"/>
  <c r="J539" i="10" l="1"/>
  <c r="I539" i="10"/>
  <c r="H539" i="10" l="1"/>
  <c r="K539" i="10"/>
  <c r="J540" i="10" l="1"/>
  <c r="I540" i="10"/>
  <c r="H540" i="10" l="1"/>
  <c r="K540" i="10"/>
  <c r="J541" i="10" l="1"/>
  <c r="I541" i="10"/>
  <c r="H541" i="10" l="1"/>
  <c r="K541" i="10"/>
  <c r="J542" i="10" l="1"/>
  <c r="I542" i="10"/>
  <c r="H542" i="10" l="1"/>
  <c r="K542" i="10"/>
  <c r="J543" i="10" l="1"/>
  <c r="I543" i="10"/>
  <c r="H543" i="10" l="1"/>
  <c r="K543" i="10"/>
  <c r="J544" i="10" l="1"/>
  <c r="I544" i="10"/>
  <c r="H544" i="10" l="1"/>
  <c r="K544" i="10"/>
  <c r="J545" i="10" l="1"/>
  <c r="I545" i="10"/>
  <c r="H545" i="10" l="1"/>
  <c r="K545" i="10"/>
  <c r="J546" i="10" l="1"/>
  <c r="I546" i="10"/>
  <c r="H546" i="10" l="1"/>
  <c r="K546" i="10"/>
  <c r="J547" i="10" l="1"/>
  <c r="I547" i="10"/>
  <c r="H547" i="10" l="1"/>
  <c r="K547" i="10"/>
  <c r="J548" i="10" l="1"/>
  <c r="I548" i="10"/>
  <c r="H548" i="10" l="1"/>
  <c r="K548" i="10"/>
  <c r="J549" i="10" l="1"/>
  <c r="I549" i="10"/>
  <c r="H549" i="10" l="1"/>
  <c r="K549" i="10"/>
  <c r="J550" i="10" l="1"/>
  <c r="I550" i="10"/>
  <c r="H550" i="10" l="1"/>
  <c r="K550" i="10"/>
  <c r="J551" i="10" l="1"/>
  <c r="I551" i="10"/>
  <c r="H551" i="10" l="1"/>
  <c r="K551" i="10"/>
  <c r="J552" i="10" l="1"/>
  <c r="I552" i="10"/>
  <c r="H552" i="10" l="1"/>
  <c r="K552" i="10"/>
  <c r="J553" i="10" l="1"/>
  <c r="I553" i="10"/>
  <c r="H553" i="10" l="1"/>
  <c r="K553" i="10"/>
  <c r="J554" i="10" l="1"/>
  <c r="I554" i="10"/>
  <c r="H554" i="10" l="1"/>
  <c r="K554" i="10"/>
  <c r="J555" i="10" l="1"/>
  <c r="I555" i="10"/>
  <c r="H555" i="10" l="1"/>
  <c r="K555" i="10"/>
  <c r="J556" i="10" l="1"/>
  <c r="I556" i="10"/>
  <c r="H556" i="10" l="1"/>
  <c r="K556" i="10"/>
  <c r="J557" i="10" l="1"/>
  <c r="I557" i="10"/>
  <c r="H557" i="10" s="1"/>
  <c r="K557" i="10" l="1"/>
  <c r="J558" i="10" l="1"/>
  <c r="I558" i="10"/>
  <c r="H558" i="10" l="1"/>
  <c r="K558" i="10"/>
  <c r="J559" i="10" l="1"/>
  <c r="I559" i="10"/>
  <c r="H559" i="10" l="1"/>
  <c r="K559" i="10"/>
  <c r="J560" i="10" l="1"/>
  <c r="I560" i="10"/>
  <c r="H560" i="10" l="1"/>
  <c r="K560" i="10"/>
  <c r="J561" i="10" l="1"/>
  <c r="I561" i="10"/>
  <c r="H561" i="10" l="1"/>
  <c r="K561" i="10"/>
  <c r="J562" i="10" l="1"/>
  <c r="I562" i="10"/>
  <c r="H562" i="10" l="1"/>
  <c r="K562" i="10"/>
  <c r="J563" i="10" l="1"/>
  <c r="I563" i="10"/>
  <c r="H563" i="10" l="1"/>
  <c r="K563" i="10"/>
  <c r="J564" i="10" l="1"/>
  <c r="I564" i="10"/>
  <c r="H564" i="10" l="1"/>
  <c r="K564" i="10"/>
  <c r="J565" i="10" l="1"/>
  <c r="I565" i="10"/>
  <c r="H565" i="10" l="1"/>
  <c r="K565" i="10"/>
  <c r="J566" i="10" l="1"/>
  <c r="I566" i="10"/>
  <c r="H566" i="10" l="1"/>
  <c r="K566" i="10"/>
  <c r="J567" i="10" l="1"/>
  <c r="I567" i="10"/>
  <c r="H567" i="10" l="1"/>
  <c r="K567" i="10"/>
  <c r="J568" i="10" l="1"/>
  <c r="I568" i="10"/>
  <c r="H568" i="10" l="1"/>
  <c r="K568" i="10"/>
  <c r="J569" i="10" l="1"/>
  <c r="I569" i="10"/>
  <c r="H569" i="10" l="1"/>
  <c r="K569" i="10"/>
  <c r="J570" i="10" l="1"/>
  <c r="I570" i="10"/>
  <c r="H570" i="10" l="1"/>
  <c r="K570" i="10"/>
  <c r="J571" i="10" l="1"/>
  <c r="I571" i="10"/>
  <c r="H571" i="10" l="1"/>
  <c r="K571" i="10"/>
  <c r="J572" i="10" l="1"/>
  <c r="I572" i="10"/>
  <c r="H572" i="10" l="1"/>
  <c r="K572" i="10"/>
  <c r="J573" i="10" l="1"/>
  <c r="I573" i="10"/>
  <c r="H573" i="10" l="1"/>
  <c r="K573" i="10"/>
  <c r="J574" i="10" l="1"/>
  <c r="I574" i="10"/>
  <c r="H574" i="10" s="1"/>
  <c r="K574" i="10" l="1"/>
  <c r="J575" i="10" l="1"/>
  <c r="I575" i="10"/>
  <c r="H575" i="10" s="1"/>
  <c r="K575" i="10" l="1"/>
  <c r="J576" i="10" l="1"/>
  <c r="I576" i="10"/>
  <c r="H576" i="10" s="1"/>
  <c r="K576" i="10" l="1"/>
  <c r="J577" i="10" l="1"/>
  <c r="I577" i="10"/>
  <c r="H577" i="10" s="1"/>
  <c r="K577" i="10" l="1"/>
  <c r="J578" i="10" l="1"/>
  <c r="I578" i="10"/>
  <c r="H578" i="10" s="1"/>
  <c r="K578" i="10" l="1"/>
  <c r="J579" i="10" l="1"/>
  <c r="I579" i="10"/>
  <c r="H579" i="10" l="1"/>
  <c r="K579" i="10"/>
  <c r="J580" i="10" l="1"/>
  <c r="I580" i="10"/>
  <c r="H580" i="10" l="1"/>
  <c r="K580" i="10"/>
  <c r="J581" i="10" l="1"/>
  <c r="I581" i="10"/>
  <c r="H581" i="10" s="1"/>
  <c r="K581" i="10" l="1"/>
  <c r="J582" i="10" l="1"/>
  <c r="I582" i="10"/>
  <c r="H582" i="10" s="1"/>
  <c r="K582" i="10" l="1"/>
  <c r="J583" i="10" l="1"/>
  <c r="I583" i="10"/>
  <c r="H583" i="10" l="1"/>
  <c r="K583" i="10"/>
  <c r="J584" i="10" l="1"/>
  <c r="I584" i="10"/>
  <c r="H584" i="10" s="1"/>
  <c r="K584" i="10" l="1"/>
  <c r="J585" i="10" l="1"/>
  <c r="I585" i="10"/>
  <c r="H585" i="10" s="1"/>
  <c r="K585" i="10" l="1"/>
  <c r="J586" i="10" l="1"/>
  <c r="I586" i="10"/>
  <c r="H586" i="10" s="1"/>
  <c r="K586" i="10" l="1"/>
  <c r="J587" i="10" l="1"/>
  <c r="I587" i="10"/>
  <c r="H587" i="10" s="1"/>
  <c r="K587" i="10" l="1"/>
  <c r="J588" i="10" l="1"/>
  <c r="I588" i="10"/>
  <c r="H588" i="10" s="1"/>
  <c r="K588" i="10" l="1"/>
  <c r="J589" i="10" l="1"/>
  <c r="I589" i="10"/>
  <c r="H589" i="10" s="1"/>
  <c r="K589" i="10" l="1"/>
  <c r="J590" i="10" l="1"/>
  <c r="I590" i="10"/>
  <c r="H590" i="10" s="1"/>
  <c r="K590" i="10" l="1"/>
  <c r="J591" i="10" l="1"/>
  <c r="I591" i="10"/>
  <c r="H591" i="10" s="1"/>
  <c r="K591" i="10" l="1"/>
  <c r="J592" i="10" l="1"/>
  <c r="I592" i="10"/>
  <c r="H592" i="10" s="1"/>
  <c r="K592" i="10" l="1"/>
  <c r="J593" i="10" l="1"/>
  <c r="I593" i="10"/>
  <c r="H593" i="10" s="1"/>
  <c r="K593" i="10" l="1"/>
  <c r="J594" i="10" l="1"/>
  <c r="I594" i="10"/>
  <c r="H594" i="10" l="1"/>
  <c r="K594" i="10"/>
  <c r="J595" i="10" l="1"/>
  <c r="I595" i="10"/>
  <c r="H595" i="10" s="1"/>
  <c r="K595" i="10" l="1"/>
  <c r="J596" i="10" l="1"/>
  <c r="I596" i="10"/>
  <c r="H596" i="10" s="1"/>
  <c r="K596" i="10" l="1"/>
  <c r="J597" i="10" l="1"/>
  <c r="I597" i="10"/>
  <c r="H597" i="10" s="1"/>
  <c r="K597" i="10" l="1"/>
  <c r="J598" i="10" l="1"/>
  <c r="I598" i="10"/>
  <c r="H598" i="10" s="1"/>
  <c r="K598" i="10" l="1"/>
  <c r="J599" i="10" l="1"/>
  <c r="I599" i="10"/>
  <c r="H599" i="10" l="1"/>
  <c r="K599" i="10"/>
  <c r="J600" i="10" l="1"/>
  <c r="I600" i="10"/>
  <c r="H600" i="10" l="1"/>
  <c r="K600" i="10"/>
  <c r="J601" i="10" l="1"/>
  <c r="I601" i="10"/>
  <c r="H601" i="10" s="1"/>
  <c r="K601" i="10" l="1"/>
  <c r="J602" i="10" l="1"/>
  <c r="I602" i="10"/>
  <c r="H602" i="10" s="1"/>
  <c r="K602" i="10" l="1"/>
  <c r="J603" i="10" l="1"/>
  <c r="I603" i="10"/>
  <c r="H603" i="10" s="1"/>
  <c r="K603" i="10" l="1"/>
  <c r="J604" i="10" l="1"/>
  <c r="I604" i="10"/>
  <c r="H604" i="10" s="1"/>
  <c r="K604" i="10" l="1"/>
  <c r="J605" i="10" l="1"/>
  <c r="I605" i="10"/>
  <c r="H605" i="10" s="1"/>
  <c r="K605" i="10" l="1"/>
  <c r="J606" i="10" l="1"/>
  <c r="I606" i="10"/>
  <c r="H606" i="10" s="1"/>
  <c r="K606" i="10" l="1"/>
  <c r="J607" i="10" l="1"/>
  <c r="J7" i="10" s="1"/>
  <c r="I607" i="10"/>
  <c r="H607" i="10" l="1"/>
  <c r="I7" i="10"/>
  <c r="H7" i="10" s="1"/>
  <c r="K607" i="10"/>
</calcChain>
</file>

<file path=xl/sharedStrings.xml><?xml version="1.0" encoding="utf-8"?>
<sst xmlns="http://schemas.openxmlformats.org/spreadsheetml/2006/main" count="307" uniqueCount="185">
  <si>
    <t>Ед.изм.</t>
  </si>
  <si>
    <t>Значение</t>
  </si>
  <si>
    <t>Инвестзатраты</t>
  </si>
  <si>
    <t>Окупаемость (в месяцах)</t>
  </si>
  <si>
    <t>Итого</t>
  </si>
  <si>
    <t>редактируемая ячейка</t>
  </si>
  <si>
    <t>автоматическое заполнение</t>
  </si>
  <si>
    <t>ПЛАН ПРОДАЖ ПО ФРАНШИЗЕ</t>
  </si>
  <si>
    <t>цветовые обозначения:</t>
  </si>
  <si>
    <t>кв.м.</t>
  </si>
  <si>
    <t xml:space="preserve"> В финансовой модели реализована возможность прогнозирования различных темпов вывода бизнеса на плановые показатели. Вы можете выставить свои показатели и оценить степень рискованности проекта. </t>
  </si>
  <si>
    <t>РЕЗУЛЬТАТ</t>
  </si>
  <si>
    <t>руб.</t>
  </si>
  <si>
    <t>Средняя чистая ежемесячная прибыль</t>
  </si>
  <si>
    <t>Цена за квадратный метр</t>
  </si>
  <si>
    <t>Денежный поток</t>
  </si>
  <si>
    <t>Чистая прибыль</t>
  </si>
  <si>
    <t>Чистая прибыль нарастающим итогом</t>
  </si>
  <si>
    <t>ВОРОНКА ПРОДАЖ</t>
  </si>
  <si>
    <t xml:space="preserve">Этап </t>
  </si>
  <si>
    <t>Порекомендовали другу</t>
  </si>
  <si>
    <t>ЗАТРАТЫ НА ОРГАНИЗАЦИЮ БИЗНЕСА, рублей</t>
  </si>
  <si>
    <t>ЕЖЕМЕСЯЧНЫЕ ЗАТРАТЫ, рублей</t>
  </si>
  <si>
    <t>Фонд оплаты труда (ФОТ)</t>
  </si>
  <si>
    <t>ПРОДАЖИ, рублей</t>
  </si>
  <si>
    <t>Выручка</t>
  </si>
  <si>
    <t>ПОЛУЧЕНИЕ ПРИБЫЛИ, рублей</t>
  </si>
  <si>
    <t>Затраты, в том числе:</t>
  </si>
  <si>
    <t>Помещение</t>
  </si>
  <si>
    <t>Заработная плата сотрудников</t>
  </si>
  <si>
    <t>Налогообложение</t>
  </si>
  <si>
    <t>Дополнительные статьи затрат</t>
  </si>
  <si>
    <t>Наименование этапа</t>
  </si>
  <si>
    <t>Затраты на налогообложение</t>
  </si>
  <si>
    <t>* Укажите стоимость аренды квадратного метра в рассматриваемом Вами помещении.</t>
  </si>
  <si>
    <t>Затраты на аренду помещений</t>
  </si>
  <si>
    <t>Паушальный взнос</t>
  </si>
  <si>
    <t>Период окупаемости (Pay-Back Period, PB), месяц</t>
  </si>
  <si>
    <t>Ставка дисконтирования, %</t>
  </si>
  <si>
    <t>Дисконтированный срок окупаемости (Discounted Pay-Back Period, DPB), месяц</t>
  </si>
  <si>
    <t>Чистая текущая стоимость проекта (Net Present Value, NPV), рублей</t>
  </si>
  <si>
    <t>Индекс прибыльности (Profitability Index, PI)</t>
  </si>
  <si>
    <t>Внутренняя норма рентабельности (Internal Rate of Return, IRR), %</t>
  </si>
  <si>
    <t>Чистая текущая стомость проекта (NPV)</t>
  </si>
  <si>
    <t>Дисконтированный срок окупаемости</t>
  </si>
  <si>
    <t>Аренда  помещений</t>
  </si>
  <si>
    <t>Сезонность</t>
  </si>
  <si>
    <t>Сумма кредита</t>
  </si>
  <si>
    <t>Сумма займа</t>
  </si>
  <si>
    <t>Ставка, % годовых</t>
  </si>
  <si>
    <t>Срок кредита, месяцы</t>
  </si>
  <si>
    <t>Дата выдачи кредита</t>
  </si>
  <si>
    <t>Номер платежа</t>
  </si>
  <si>
    <t>Месяц, год</t>
  </si>
  <si>
    <t>Дата платежа</t>
  </si>
  <si>
    <t>Аннуитетный платеж</t>
  </si>
  <si>
    <t>Дифференцированный платеж</t>
  </si>
  <si>
    <t>Досрочный возврат</t>
  </si>
  <si>
    <t>Сумма</t>
  </si>
  <si>
    <t>В погашение долга</t>
  </si>
  <si>
    <t>В погашение процентов</t>
  </si>
  <si>
    <t>Остаток долга после платежа</t>
  </si>
  <si>
    <t>Уменьшение платежа</t>
  </si>
  <si>
    <t>Уменьшение срока</t>
  </si>
  <si>
    <t>Всего:</t>
  </si>
  <si>
    <t>Ставка по кредиту</t>
  </si>
  <si>
    <t>%</t>
  </si>
  <si>
    <t>Всего</t>
  </si>
  <si>
    <t>Платежи по кредиту</t>
  </si>
  <si>
    <t>Ежемесячные выплаты по кредиту</t>
  </si>
  <si>
    <t>Площадь помещений</t>
  </si>
  <si>
    <t>Прочие хозяйственные расходы</t>
  </si>
  <si>
    <t>Затраты на ФОТ</t>
  </si>
  <si>
    <t>* При необходимости.</t>
  </si>
  <si>
    <t>Параметр</t>
  </si>
  <si>
    <t>Роялти</t>
  </si>
  <si>
    <t>Январь</t>
  </si>
  <si>
    <t>Февраль</t>
  </si>
  <si>
    <t>Март</t>
  </si>
  <si>
    <t>Апрель</t>
  </si>
  <si>
    <t>Май</t>
  </si>
  <si>
    <t>Июнь</t>
  </si>
  <si>
    <t>Июль</t>
  </si>
  <si>
    <t>Август</t>
  </si>
  <si>
    <t>Сентябрь</t>
  </si>
  <si>
    <t>Октябрь</t>
  </si>
  <si>
    <t>Ноябрь</t>
  </si>
  <si>
    <t>Декабрь</t>
  </si>
  <si>
    <t>Месяц</t>
  </si>
  <si>
    <t>Доля данной позиции в общем объеме продаж</t>
  </si>
  <si>
    <t>Средний чек на услугу</t>
  </si>
  <si>
    <t>Выручка по данной позиции</t>
  </si>
  <si>
    <t>Общая выручка</t>
  </si>
  <si>
    <t>Винный магазин-бар "Хлеб и Вино"</t>
  </si>
  <si>
    <t>Подготовка помещения</t>
  </si>
  <si>
    <t>Это значение ставки дисконтирования, при которой суммарная приведенная стоимость доходов от осуществляемых инвестиций равна стоимости этих инвестиций. Данный показатель определяет максимальную стоимость привлекаемого капитала, при которой инвестиционный проект остается выгодным. Внутренняя норма рентабельности определяет ставку дисконтирования при которой NPV=0, или другими словами затраты на проект равны его доходам.</t>
  </si>
  <si>
    <t xml:space="preserve">Внутренняя норма рентабельности (Internal Rate of Return, IRR) </t>
  </si>
  <si>
    <t>Отношение суммы дисконтированных денежных потоков к первоначальным инвестициям.</t>
  </si>
  <si>
    <t>Период времени, необходимый для того, чтобы доходы, генерируемые инвестициями, покрыли затраты на инвестиции. При этом временная ценность денег не учитывается. Этот показатель определяют последовательным расчетом чистого дохода для каждого периода проекта. Точка, в которой чистый доход примет положительное значение, будет являться точкой окупаемости.</t>
  </si>
  <si>
    <t xml:space="preserve">Период окупаемости (Pay-Back Period, PB) </t>
  </si>
  <si>
    <t>Период времени, необходимый для возврата вложенных инвестиций в проект за счет чистого денежного потока с учетом ставки дисконтирования. Как определяется ставка дисконтирования указано выше.</t>
  </si>
  <si>
    <t>Дисконтированный срок окупаемости (Discounted Pay-Back Period, DPB)</t>
  </si>
  <si>
    <r>
      <t>·</t>
    </r>
    <r>
      <rPr>
        <sz val="7"/>
        <color rgb="FF000000"/>
        <rFont val="Times New Roman"/>
        <family val="1"/>
        <charset val="204"/>
      </rPr>
      <t xml:space="preserve">       </t>
    </r>
    <r>
      <rPr>
        <sz val="12"/>
        <color rgb="FF000000"/>
        <rFont val="Times New Roman"/>
        <family val="1"/>
        <charset val="204"/>
      </rPr>
      <t>Риск неполучения предполагаемой суммы.</t>
    </r>
  </si>
  <si>
    <r>
      <t>·</t>
    </r>
    <r>
      <rPr>
        <sz val="7"/>
        <color rgb="FF000000"/>
        <rFont val="Times New Roman"/>
        <family val="1"/>
        <charset val="204"/>
      </rPr>
      <t xml:space="preserve">       </t>
    </r>
    <r>
      <rPr>
        <sz val="12"/>
        <color rgb="FF000000"/>
        <rFont val="Times New Roman"/>
        <family val="1"/>
        <charset val="204"/>
      </rPr>
      <t>Имеющаяся сумма может быть инвестирована и принести прибыль;</t>
    </r>
  </si>
  <si>
    <r>
      <t>·</t>
    </r>
    <r>
      <rPr>
        <sz val="7"/>
        <color rgb="FF000000"/>
        <rFont val="Times New Roman"/>
        <family val="1"/>
        <charset val="204"/>
      </rPr>
      <t xml:space="preserve">       </t>
    </r>
    <r>
      <rPr>
        <sz val="12"/>
        <color rgb="FF000000"/>
        <rFont val="Times New Roman"/>
        <family val="1"/>
        <charset val="204"/>
      </rPr>
      <t>Влияние инфляции, уменьшение реальной покупательной способности денег;</t>
    </r>
  </si>
  <si>
    <t>Необходимость расчета NPV отражает тот экономический факт, что сумма денег, которой мы располагаем в настоящий момент, имеет большую реальную стоимость, чем равная ей сумма, которая появится в будущем. Это обусловлено несколькими причинами, например:</t>
  </si>
  <si>
    <t>Чаще всего NPV рассчитывается для потоков будущих платежей, например, при оценке экономической эффективности инвестиций.</t>
  </si>
  <si>
    <r>
      <t>Сумма предполагаемого потока платежей, приведенная к текущей (на настоящий момент времени) стоимости. Операция приведения к текущей стоимости называется </t>
    </r>
    <r>
      <rPr>
        <sz val="12"/>
        <rFont val="Times New Roman"/>
        <family val="1"/>
        <charset val="204"/>
      </rPr>
      <t>дисконтированием</t>
    </r>
    <r>
      <rPr>
        <sz val="12"/>
        <color rgb="FF000000"/>
        <rFont val="Times New Roman"/>
        <family val="1"/>
        <charset val="204"/>
      </rPr>
      <t>. Приведение к текущей стоимости выполняется по заданной </t>
    </r>
    <r>
      <rPr>
        <sz val="12"/>
        <rFont val="Times New Roman"/>
        <family val="1"/>
        <charset val="204"/>
      </rPr>
      <t>ставке дисконтирования</t>
    </r>
    <r>
      <rPr>
        <sz val="12"/>
        <color rgb="FF000000"/>
        <rFont val="Times New Roman"/>
        <family val="1"/>
        <charset val="204"/>
      </rPr>
      <t>.</t>
    </r>
  </si>
  <si>
    <t xml:space="preserve">NPV (Net Present Value), чистый дисконтированный доход </t>
  </si>
  <si>
    <t>18-20%</t>
  </si>
  <si>
    <t>Вложения в исследования и инновации</t>
  </si>
  <si>
    <t>Очень высокий</t>
  </si>
  <si>
    <t>13-15%</t>
  </si>
  <si>
    <t>Производство и продвижение на рынок нового продукта</t>
  </si>
  <si>
    <t>Высокий</t>
  </si>
  <si>
    <t>8-10%</t>
  </si>
  <si>
    <t>Увеличение объема продаж существующей продукции</t>
  </si>
  <si>
    <t>Средний</t>
  </si>
  <si>
    <t>Дисконтирование – это определение стоимости денежных потоков, относящихся к будущим периодам (будущих доходов на настоящий момент). Для правильной оценки будущих доходов нужно знать прогнозные значения выручки, расходов, инвестиций, структуру капитала, остаточную стоимость имущества, а также ставку дисконтирования, которая используется для оценки эффективности вложений. С экономической точки зрения ставка дисконтирования – это норма доходности на вложенный капитал, требуемая инвестором. Иначе говоря, с ее помощью можно определить сумму, которую инвестору придется заплатить сегодня за право получить предполагаемый доход в будущем. Поэтому от значения ставки дисконтирования зависит принятие ключевых решений, в том числе при выборе инвестиционного проекта.</t>
  </si>
  <si>
    <t>3-5%</t>
  </si>
  <si>
    <t>Вложения при интенсификации производства на базе освоенной техники</t>
  </si>
  <si>
    <t>Низкий</t>
  </si>
  <si>
    <t>Ставка дисконтирования применяется в инвестиционном анализе, бизнес-планировании и оценке бизнеса. Именно этот показатель существенно влияет как на принятие решения об инвестировании средств, так и на оценку компании или отдельного вида бизнеса.</t>
  </si>
  <si>
    <t>Процент</t>
  </si>
  <si>
    <t>Пример цели проекта</t>
  </si>
  <si>
    <t>Величина риска</t>
  </si>
  <si>
    <t>Поправочные коэффициенты для учета риска Проекта</t>
  </si>
  <si>
    <r>
      <t>Ставка дисконтирования  рассчитана по формуле D=(1+d)/(1+r)+Ri</t>
    </r>
    <r>
      <rPr>
        <u/>
        <sz val="12"/>
        <color rgb="FF000000"/>
        <rFont val="Times New Roman"/>
        <family val="1"/>
        <charset val="204"/>
      </rPr>
      <t>,</t>
    </r>
    <r>
      <rPr>
        <sz val="12"/>
        <color rgb="FF000000"/>
        <rFont val="Times New Roman"/>
        <family val="1"/>
        <charset val="204"/>
      </rPr>
      <t xml:space="preserve"> </t>
    </r>
  </si>
  <si>
    <t>Ставка дисконтирования</t>
  </si>
  <si>
    <t>Конверсия</t>
  </si>
  <si>
    <t>Гибкость - это принцип определения зависимости величины потребительского спроса от рыночных механизмов, таких как цена, кредитная ставка, а также от количественных показателей уровня жизни. То есть, как изменится выручка и окупаемость проекта при изменении уровня расходов или среднего чека по проекту. Гибкость отражает насколько сильно прибыль по проекту зависит от изменения этих показателей.</t>
  </si>
  <si>
    <t xml:space="preserve">Появилась потребность </t>
  </si>
  <si>
    <t>Маркетинг</t>
  </si>
  <si>
    <t>Затраты на рекламу</t>
  </si>
  <si>
    <t>Выберите Ваш франчайзинговый пакет</t>
  </si>
  <si>
    <t>УСН</t>
  </si>
  <si>
    <t>Абонемент</t>
  </si>
  <si>
    <t>Группа выходного дня</t>
  </si>
  <si>
    <t>Растяжка</t>
  </si>
  <si>
    <t>Узнали о школе через рекламу</t>
  </si>
  <si>
    <t>Посетили школу, купили абонемент</t>
  </si>
  <si>
    <t>Повторная покупка</t>
  </si>
  <si>
    <t>Максимальное количество человек в группе</t>
  </si>
  <si>
    <t>Максимальное количество групп</t>
  </si>
  <si>
    <t>Взрослая группа классического танца</t>
  </si>
  <si>
    <t>Ставка рефинансирования</t>
  </si>
  <si>
    <t>Инфляция</t>
  </si>
  <si>
    <t>Кол-во занятий</t>
  </si>
  <si>
    <t>Кол-во педагогов</t>
  </si>
  <si>
    <t>где d – ставка рефинансирования, данные ЦБ РФ,  r – ставка инфляции, Ri–надбавка за риск (10%) – значение для проекта, направленного на увеличение объема продаж существующей продукции.</t>
  </si>
  <si>
    <t>Аренда (обеспечительный платеж)</t>
  </si>
  <si>
    <t>Узнали о компании через рекламу</t>
  </si>
  <si>
    <t>Персонал</t>
  </si>
  <si>
    <t>Оборотный капитал</t>
  </si>
  <si>
    <t xml:space="preserve">Реклама </t>
  </si>
  <si>
    <t>Повторное обращение</t>
  </si>
  <si>
    <t>Офис</t>
  </si>
  <si>
    <t>Закупка автомобилей</t>
  </si>
  <si>
    <t>Автомобиль</t>
  </si>
  <si>
    <t>МФУ с лазерной печатью</t>
  </si>
  <si>
    <t>Сотовый телефон</t>
  </si>
  <si>
    <t>Система видеонаблюдения</t>
  </si>
  <si>
    <t>Канцелярские принадлежности</t>
  </si>
  <si>
    <t>ПК с камерой или ноутбук</t>
  </si>
  <si>
    <t>Закупка мебели</t>
  </si>
  <si>
    <t>Заработная плата на начальном этапе</t>
  </si>
  <si>
    <t>Автомобильные инструменты, домкрат, фонари, пусковое и зарядное устройства, автокосметика</t>
  </si>
  <si>
    <t>Базовый набор тех. жидкостей</t>
  </si>
  <si>
    <t>Количество</t>
  </si>
  <si>
    <t>Прокат/аренда автомобилей</t>
  </si>
  <si>
    <t>Посетили компанию, воспользовались услугой проката</t>
  </si>
  <si>
    <t>Дополнительные услуги</t>
  </si>
  <si>
    <t>Диспетчер</t>
  </si>
  <si>
    <t>Менеджер по работе с клиентами</t>
  </si>
  <si>
    <t>Количество персонала</t>
  </si>
  <si>
    <t>Интернет, связь</t>
  </si>
  <si>
    <t>* Рекомендуемая площадь от 15 кв.м. + стоянка около офиса минимум на 3 машины</t>
  </si>
  <si>
    <t>Стандартный</t>
  </si>
  <si>
    <t>Увеличение автопарка</t>
  </si>
  <si>
    <t>2 год (покупка дополнительных машин)</t>
  </si>
  <si>
    <t>3 год (покупка дополнительных машин)</t>
  </si>
  <si>
    <t>Количество автомобилей в автопарке</t>
  </si>
  <si>
    <t>Средняя выручка от автомобиля / сутки</t>
  </si>
  <si>
    <t>Количество дней в месяце</t>
  </si>
  <si>
    <t>Прибыль до налогообложения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</si>
</sst>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р_._-;\-* #,##0.00_р_._-;_-* &quot;-&quot;??_р_._-;_-@_-"/>
    <numFmt numFmtId="165" formatCode="_-* #,##0_р_._-;\-* #,##0_р_._-;_-* &quot;-&quot;??_р_._-;_-@_-"/>
    <numFmt numFmtId="166" formatCode="_-* #,##0.000_р_._-;\-* #,##0.000_р_._-;_-* &quot;-&quot;??_р_._-;_-@_-"/>
    <numFmt numFmtId="167" formatCode="#,##0.0"/>
    <numFmt numFmtId="168" formatCode="0.0%"/>
    <numFmt numFmtId="169" formatCode="#,##0_ ;\-#,##0\ "/>
  </numFmts>
  <fonts count="31">
    <font>
      <sz val="11"/>
      <color rgb="FF000000"/>
      <name val="Calibri"/>
    </font>
    <font>
      <sz val="11"/>
      <color rgb="FF000000"/>
      <name val="Calibri"/>
      <family val="2"/>
      <charset val="204"/>
    </font>
    <font>
      <sz val="11"/>
      <color rgb="FF000000"/>
      <name val="Times New Roman"/>
      <family val="1"/>
      <charset val="204"/>
    </font>
    <font>
      <b/>
      <sz val="16"/>
      <color rgb="FF000000"/>
      <name val="Times New Roman"/>
      <family val="1"/>
      <charset val="204"/>
    </font>
    <font>
      <sz val="11"/>
      <color theme="5" tint="-0.249977111117893"/>
      <name val="Times New Roman"/>
      <family val="1"/>
      <charset val="204"/>
    </font>
    <font>
      <sz val="11"/>
      <name val="Times New Roman"/>
      <family val="1"/>
      <charset val="204"/>
    </font>
    <font>
      <b/>
      <sz val="11"/>
      <color rgb="FF000000"/>
      <name val="Times New Roman"/>
      <family val="1"/>
      <charset val="204"/>
    </font>
    <font>
      <b/>
      <sz val="11"/>
      <name val="Times New Roman"/>
      <family val="1"/>
      <charset val="204"/>
    </font>
    <font>
      <b/>
      <sz val="11"/>
      <color theme="0"/>
      <name val="Times New Roman"/>
      <family val="1"/>
      <charset val="204"/>
    </font>
    <font>
      <sz val="11"/>
      <color theme="1"/>
      <name val="Times New Roman"/>
      <family val="1"/>
      <charset val="204"/>
    </font>
    <font>
      <i/>
      <sz val="11"/>
      <name val="Times New Roman"/>
      <family val="1"/>
      <charset val="204"/>
    </font>
    <font>
      <b/>
      <sz val="11"/>
      <color rgb="FF361B00"/>
      <name val="Times New Roman"/>
      <family val="1"/>
      <charset val="204"/>
    </font>
    <font>
      <sz val="11"/>
      <color rgb="FF361B00"/>
      <name val="Times New Roman"/>
      <family val="1"/>
      <charset val="204"/>
    </font>
    <font>
      <sz val="11"/>
      <color rgb="FF000000"/>
      <name val="Calibri"/>
      <family val="2"/>
      <charset val="204"/>
    </font>
    <font>
      <b/>
      <sz val="10"/>
      <name val="Times New Roman"/>
      <family val="1"/>
      <charset val="204"/>
    </font>
    <font>
      <sz val="10"/>
      <color indexed="9"/>
      <name val="Times New Roman"/>
      <family val="1"/>
      <charset val="204"/>
    </font>
    <font>
      <sz val="10"/>
      <color indexed="22"/>
      <name val="Times New Roman"/>
      <family val="1"/>
      <charset val="204"/>
    </font>
    <font>
      <b/>
      <sz val="10"/>
      <color indexed="22"/>
      <name val="Times New Roman"/>
      <family val="1"/>
      <charset val="204"/>
    </font>
    <font>
      <b/>
      <sz val="16"/>
      <color theme="0"/>
      <name val="Times New Roman"/>
      <family val="1"/>
      <charset val="204"/>
    </font>
    <font>
      <sz val="12"/>
      <color rgb="FF000000"/>
      <name val="Calibri"/>
      <family val="2"/>
      <charset val="204"/>
    </font>
    <font>
      <sz val="12"/>
      <color rgb="FF000000"/>
      <name val="Times New Roman"/>
      <family val="1"/>
      <charset val="204"/>
    </font>
    <font>
      <b/>
      <sz val="12"/>
      <color rgb="FF000000"/>
      <name val="Times New Roman"/>
      <family val="1"/>
      <charset val="204"/>
    </font>
    <font>
      <sz val="10"/>
      <color rgb="FF000000"/>
      <name val="Symbol"/>
      <family val="1"/>
      <charset val="2"/>
    </font>
    <font>
      <sz val="7"/>
      <color rgb="FF000000"/>
      <name val="Times New Roman"/>
      <family val="1"/>
      <charset val="204"/>
    </font>
    <font>
      <sz val="12"/>
      <name val="Times New Roman"/>
      <family val="1"/>
      <charset val="204"/>
    </font>
    <font>
      <u/>
      <sz val="12"/>
      <color rgb="FF000000"/>
      <name val="Times New Roman"/>
      <family val="1"/>
      <charset val="204"/>
    </font>
    <font>
      <b/>
      <sz val="12"/>
      <color rgb="FF000000"/>
      <name val="Calibri"/>
      <family val="2"/>
      <charset val="204"/>
    </font>
    <font>
      <sz val="11"/>
      <color rgb="FF474747"/>
      <name val="Open Sans"/>
      <family val="2"/>
      <charset val="204"/>
    </font>
    <font>
      <sz val="11"/>
      <color theme="0"/>
      <name val="Times New Roman"/>
      <family val="1"/>
      <charset val="204"/>
    </font>
    <font>
      <b/>
      <sz val="11"/>
      <color rgb="FF000000"/>
      <name val="Calibri"/>
      <family val="2"/>
      <charset val="204"/>
    </font>
    <font>
      <i/>
      <sz val="11"/>
      <color rgb="FF000000"/>
      <name val="Times New Roman"/>
      <family val="1"/>
      <charset val="204"/>
    </font>
  </fonts>
  <fills count="21">
    <fill>
      <patternFill patternType="none"/>
    </fill>
    <fill>
      <patternFill patternType="gray125"/>
    </fill>
    <fill>
      <patternFill patternType="solid">
        <fgColor theme="0"/>
        <bgColor rgb="FFFFFFFF"/>
      </patternFill>
    </fill>
    <fill>
      <patternFill patternType="solid">
        <fgColor theme="0"/>
        <bgColor indexed="64"/>
      </patternFill>
    </fill>
    <fill>
      <patternFill patternType="solid">
        <fgColor theme="0"/>
        <bgColor rgb="FFDBE5F1"/>
      </patternFill>
    </fill>
    <fill>
      <patternFill patternType="solid">
        <fgColor theme="0"/>
        <bgColor rgb="FFCCFFFF"/>
      </patternFill>
    </fill>
    <fill>
      <patternFill patternType="solid">
        <fgColor theme="0"/>
        <bgColor rgb="FFFFFF00"/>
      </patternFill>
    </fill>
    <fill>
      <patternFill patternType="solid">
        <fgColor theme="0"/>
        <bgColor rgb="FFDAEEF3"/>
      </patternFill>
    </fill>
    <fill>
      <patternFill patternType="solid">
        <fgColor theme="0" tint="-0.14999847407452621"/>
        <bgColor rgb="FFDAEEF3"/>
      </patternFill>
    </fill>
    <fill>
      <patternFill patternType="solid">
        <fgColor rgb="FFE51A4B"/>
        <bgColor rgb="FFCCFFFF"/>
      </patternFill>
    </fill>
    <fill>
      <patternFill patternType="solid">
        <fgColor theme="0" tint="-4.9989318521683403E-2"/>
        <bgColor indexed="64"/>
      </patternFill>
    </fill>
    <fill>
      <patternFill patternType="solid">
        <fgColor theme="3" tint="0.79998168889431442"/>
        <bgColor indexed="64"/>
      </patternFill>
    </fill>
    <fill>
      <patternFill patternType="solid">
        <fgColor indexed="22"/>
        <bgColor indexed="64"/>
      </patternFill>
    </fill>
    <fill>
      <patternFill patternType="solid">
        <fgColor theme="4" tint="0.79998168889431442"/>
        <bgColor indexed="64"/>
      </patternFill>
    </fill>
    <fill>
      <patternFill patternType="solid">
        <fgColor rgb="FFE8DDEE"/>
        <bgColor indexed="64"/>
      </patternFill>
    </fill>
    <fill>
      <patternFill patternType="solid">
        <fgColor theme="0" tint="-0.14999847407452621"/>
        <bgColor indexed="64"/>
      </patternFill>
    </fill>
    <fill>
      <patternFill patternType="solid">
        <fgColor rgb="FF222E4D"/>
        <bgColor indexed="64"/>
      </patternFill>
    </fill>
    <fill>
      <patternFill patternType="solid">
        <fgColor rgb="FFE8BABC"/>
        <bgColor indexed="64"/>
      </patternFill>
    </fill>
    <fill>
      <patternFill patternType="solid">
        <fgColor rgb="FF125D66"/>
        <bgColor indexed="64"/>
      </patternFill>
    </fill>
    <fill>
      <patternFill patternType="solid">
        <fgColor rgb="FF125D66"/>
        <bgColor rgb="FFDBE5F1"/>
      </patternFill>
    </fill>
    <fill>
      <patternFill patternType="solid">
        <fgColor rgb="FF125D66"/>
        <bgColor rgb="FFCCFFFF"/>
      </patternFill>
    </fill>
  </fills>
  <borders count="5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style="medium">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thin">
        <color indexed="64"/>
      </right>
      <top style="thin">
        <color theme="1"/>
      </top>
      <bottom style="thin">
        <color theme="1"/>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right/>
      <top style="thin">
        <color auto="1"/>
      </top>
      <bottom/>
      <diagonal/>
    </border>
    <border>
      <left style="thin">
        <color indexed="64"/>
      </left>
      <right style="thin">
        <color indexed="64"/>
      </right>
      <top style="thin">
        <color theme="1"/>
      </top>
      <bottom style="thin">
        <color indexed="64"/>
      </bottom>
      <diagonal/>
    </border>
  </borders>
  <cellStyleXfs count="5">
    <xf numFmtId="0" fontId="0" fillId="0" borderId="0"/>
    <xf numFmtId="164" fontId="1" fillId="0" borderId="0" applyFont="0" applyFill="0" applyBorder="0" applyAlignment="0" applyProtection="0"/>
    <xf numFmtId="0" fontId="1" fillId="0" borderId="0"/>
    <xf numFmtId="9" fontId="13" fillId="0" borderId="0" applyFont="0" applyFill="0" applyBorder="0" applyAlignment="0" applyProtection="0"/>
    <xf numFmtId="9" fontId="1" fillId="0" borderId="0" applyFont="0" applyFill="0" applyBorder="0" applyAlignment="0" applyProtection="0"/>
  </cellStyleXfs>
  <cellXfs count="492">
    <xf numFmtId="0" fontId="0" fillId="0" borderId="0" xfId="0" applyFont="1" applyAlignment="1"/>
    <xf numFmtId="0" fontId="2" fillId="3" borderId="0" xfId="0" applyFont="1" applyFill="1" applyBorder="1" applyAlignment="1"/>
    <xf numFmtId="0" fontId="2" fillId="2" borderId="0" xfId="0" applyFont="1" applyFill="1" applyBorder="1"/>
    <xf numFmtId="0" fontId="2" fillId="3" borderId="0" xfId="0" applyFont="1" applyFill="1" applyBorder="1"/>
    <xf numFmtId="0" fontId="2" fillId="3" borderId="2" xfId="0" applyFont="1" applyFill="1" applyBorder="1" applyAlignment="1"/>
    <xf numFmtId="0" fontId="2" fillId="2" borderId="3" xfId="0" applyFont="1" applyFill="1" applyBorder="1"/>
    <xf numFmtId="0" fontId="2" fillId="3" borderId="3" xfId="0" applyFont="1" applyFill="1" applyBorder="1"/>
    <xf numFmtId="0" fontId="2" fillId="3" borderId="4" xfId="0" applyFont="1" applyFill="1" applyBorder="1"/>
    <xf numFmtId="0" fontId="2" fillId="3" borderId="7" xfId="0" applyFont="1" applyFill="1" applyBorder="1" applyAlignment="1"/>
    <xf numFmtId="0" fontId="2" fillId="3" borderId="9" xfId="0" applyFont="1" applyFill="1" applyBorder="1"/>
    <xf numFmtId="0" fontId="2" fillId="3" borderId="9" xfId="0" applyFont="1" applyFill="1" applyBorder="1" applyAlignment="1"/>
    <xf numFmtId="0" fontId="2" fillId="4" borderId="0" xfId="0" applyFont="1" applyFill="1" applyBorder="1" applyAlignment="1">
      <alignment horizontal="center" vertical="center"/>
    </xf>
    <xf numFmtId="0" fontId="2" fillId="5" borderId="1" xfId="0" applyFont="1" applyFill="1" applyBorder="1" applyAlignment="1">
      <alignment horizontal="center" vertical="center"/>
    </xf>
    <xf numFmtId="0" fontId="2" fillId="3" borderId="5" xfId="0" applyFont="1" applyFill="1" applyBorder="1" applyAlignment="1"/>
    <xf numFmtId="0" fontId="2" fillId="3" borderId="6" xfId="0" applyFont="1" applyFill="1" applyBorder="1" applyAlignment="1"/>
    <xf numFmtId="0" fontId="2" fillId="3" borderId="8" xfId="0" applyFont="1" applyFill="1" applyBorder="1" applyAlignment="1"/>
    <xf numFmtId="0" fontId="2" fillId="4" borderId="1" xfId="0" applyFont="1" applyFill="1" applyBorder="1" applyAlignment="1">
      <alignment horizontal="center" vertical="center"/>
    </xf>
    <xf numFmtId="0" fontId="2" fillId="3" borderId="3" xfId="0" applyFont="1" applyFill="1" applyBorder="1" applyAlignment="1"/>
    <xf numFmtId="0" fontId="2" fillId="3" borderId="4" xfId="0" applyFont="1" applyFill="1" applyBorder="1" applyAlignment="1"/>
    <xf numFmtId="0" fontId="2" fillId="3" borderId="0" xfId="0" applyFont="1" applyFill="1"/>
    <xf numFmtId="3" fontId="5" fillId="3" borderId="0" xfId="0" applyNumberFormat="1" applyFont="1" applyFill="1"/>
    <xf numFmtId="0" fontId="2" fillId="5" borderId="0" xfId="0" applyFont="1" applyFill="1" applyBorder="1" applyAlignment="1">
      <alignment vertical="center"/>
    </xf>
    <xf numFmtId="165" fontId="2" fillId="3" borderId="0" xfId="0" applyNumberFormat="1" applyFont="1" applyFill="1" applyBorder="1" applyAlignment="1"/>
    <xf numFmtId="0" fontId="7" fillId="7" borderId="0" xfId="0" applyFont="1" applyFill="1" applyBorder="1" applyAlignment="1">
      <alignment horizontal="left"/>
    </xf>
    <xf numFmtId="0" fontId="7" fillId="7" borderId="0" xfId="0" applyFont="1" applyFill="1" applyBorder="1" applyAlignment="1">
      <alignment horizontal="center"/>
    </xf>
    <xf numFmtId="0" fontId="5" fillId="3" borderId="0" xfId="0" applyFont="1" applyFill="1" applyAlignment="1"/>
    <xf numFmtId="0" fontId="6" fillId="7" borderId="0" xfId="0" applyFont="1" applyFill="1" applyBorder="1" applyAlignment="1">
      <alignment horizontal="left"/>
    </xf>
    <xf numFmtId="0" fontId="2" fillId="7" borderId="1" xfId="0" applyFont="1" applyFill="1" applyBorder="1" applyAlignment="1">
      <alignment horizontal="center"/>
    </xf>
    <xf numFmtId="0" fontId="6" fillId="7" borderId="1" xfId="0" applyFont="1" applyFill="1" applyBorder="1" applyAlignment="1">
      <alignment horizontal="center"/>
    </xf>
    <xf numFmtId="0" fontId="7" fillId="7" borderId="1" xfId="0" applyFont="1" applyFill="1" applyBorder="1" applyAlignment="1">
      <alignment horizontal="left" vertical="center" wrapText="1"/>
    </xf>
    <xf numFmtId="0" fontId="6" fillId="6" borderId="1" xfId="0" applyFont="1" applyFill="1" applyBorder="1" applyAlignment="1">
      <alignment horizontal="left"/>
    </xf>
    <xf numFmtId="0" fontId="6" fillId="7" borderId="1" xfId="0" applyFont="1" applyFill="1" applyBorder="1" applyAlignment="1">
      <alignment horizontal="right"/>
    </xf>
    <xf numFmtId="0" fontId="7" fillId="8" borderId="1" xfId="0" applyFont="1" applyFill="1" applyBorder="1" applyAlignment="1">
      <alignment horizontal="center"/>
    </xf>
    <xf numFmtId="0" fontId="2" fillId="3" borderId="0" xfId="0" applyFont="1" applyFill="1" applyAlignment="1"/>
    <xf numFmtId="0" fontId="2" fillId="3" borderId="0" xfId="0" applyFont="1" applyFill="1" applyAlignment="1"/>
    <xf numFmtId="0" fontId="2" fillId="5" borderId="1" xfId="0" applyFont="1" applyFill="1" applyBorder="1" applyAlignment="1">
      <alignment horizontal="left" vertical="center" wrapText="1"/>
    </xf>
    <xf numFmtId="0" fontId="2" fillId="3" borderId="0" xfId="0" applyFont="1" applyFill="1" applyBorder="1" applyAlignment="1">
      <alignment vertical="center" wrapText="1"/>
    </xf>
    <xf numFmtId="0" fontId="2" fillId="3" borderId="0" xfId="0" applyFont="1" applyFill="1" applyBorder="1" applyAlignment="1">
      <alignment horizontal="center" vertical="center" wrapText="1"/>
    </xf>
    <xf numFmtId="0" fontId="8" fillId="3" borderId="0" xfId="0" applyFont="1" applyFill="1" applyBorder="1" applyAlignment="1">
      <alignment horizontal="center"/>
    </xf>
    <xf numFmtId="0" fontId="5" fillId="3" borderId="0" xfId="0" applyFont="1" applyFill="1" applyBorder="1" applyAlignment="1">
      <alignment vertical="center" wrapText="1"/>
    </xf>
    <xf numFmtId="0" fontId="10" fillId="3" borderId="0" xfId="0" applyFont="1" applyFill="1" applyBorder="1" applyAlignment="1">
      <alignment horizontal="center" vertical="center" wrapText="1"/>
    </xf>
    <xf numFmtId="0" fontId="2" fillId="6" borderId="1" xfId="0" applyFont="1" applyFill="1" applyBorder="1"/>
    <xf numFmtId="0" fontId="2" fillId="6" borderId="1" xfId="0" applyFont="1" applyFill="1" applyBorder="1" applyAlignment="1">
      <alignment horizontal="left"/>
    </xf>
    <xf numFmtId="0" fontId="6" fillId="3" borderId="0" xfId="0" applyFont="1" applyFill="1" applyBorder="1" applyAlignment="1">
      <alignment horizontal="center"/>
    </xf>
    <xf numFmtId="0" fontId="2" fillId="3" borderId="0" xfId="0" applyFont="1" applyFill="1" applyBorder="1" applyAlignment="1">
      <alignment horizontal="center"/>
    </xf>
    <xf numFmtId="0" fontId="9" fillId="3" borderId="9" xfId="0" applyFont="1" applyFill="1" applyBorder="1" applyAlignment="1">
      <alignment horizontal="left" vertical="center"/>
    </xf>
    <xf numFmtId="0" fontId="9" fillId="0" borderId="1" xfId="0" applyFont="1" applyBorder="1" applyAlignment="1">
      <alignment horizontal="center" vertical="center" wrapText="1"/>
    </xf>
    <xf numFmtId="0" fontId="2" fillId="3" borderId="0" xfId="0" applyFont="1" applyFill="1" applyAlignment="1"/>
    <xf numFmtId="0" fontId="2" fillId="3" borderId="0" xfId="0" applyFont="1" applyFill="1" applyAlignment="1"/>
    <xf numFmtId="0" fontId="2" fillId="3" borderId="0" xfId="0" applyFont="1" applyFill="1" applyAlignment="1"/>
    <xf numFmtId="0" fontId="10" fillId="3" borderId="0" xfId="0" applyFont="1" applyFill="1" applyBorder="1" applyAlignment="1">
      <alignment horizontal="left" vertical="center" wrapText="1"/>
    </xf>
    <xf numFmtId="0" fontId="11" fillId="3" borderId="1" xfId="2" applyFont="1" applyFill="1" applyBorder="1" applyAlignment="1">
      <alignment vertical="center"/>
    </xf>
    <xf numFmtId="0" fontId="2" fillId="7" borderId="1" xfId="0" applyFont="1" applyFill="1" applyBorder="1" applyAlignment="1">
      <alignment horizontal="left" indent="2"/>
    </xf>
    <xf numFmtId="165" fontId="7" fillId="7" borderId="0" xfId="0" applyNumberFormat="1" applyFont="1" applyFill="1" applyBorder="1" applyAlignment="1">
      <alignment horizontal="center"/>
    </xf>
    <xf numFmtId="0" fontId="2" fillId="3" borderId="0" xfId="0" applyFont="1" applyFill="1" applyAlignment="1"/>
    <xf numFmtId="0" fontId="2" fillId="3" borderId="0" xfId="0" applyFont="1" applyFill="1" applyAlignment="1"/>
    <xf numFmtId="0" fontId="2" fillId="3" borderId="1" xfId="0" applyFont="1" applyFill="1" applyBorder="1" applyAlignment="1"/>
    <xf numFmtId="0" fontId="2" fillId="3" borderId="0" xfId="0" applyFont="1" applyFill="1" applyAlignment="1"/>
    <xf numFmtId="0" fontId="3" fillId="4" borderId="10" xfId="0" applyFont="1" applyFill="1" applyBorder="1" applyAlignment="1"/>
    <xf numFmtId="0" fontId="3" fillId="4" borderId="12" xfId="0" applyFont="1" applyFill="1" applyBorder="1" applyAlignment="1"/>
    <xf numFmtId="0" fontId="2" fillId="3" borderId="0" xfId="0" applyFont="1" applyFill="1" applyAlignment="1"/>
    <xf numFmtId="0" fontId="6" fillId="3" borderId="15" xfId="0" applyFont="1" applyFill="1" applyBorder="1" applyAlignment="1"/>
    <xf numFmtId="0" fontId="6" fillId="3" borderId="15" xfId="0" applyFont="1" applyFill="1" applyBorder="1" applyAlignment="1">
      <alignment horizontal="center"/>
    </xf>
    <xf numFmtId="0" fontId="2" fillId="3" borderId="0" xfId="2" applyFont="1" applyFill="1" applyAlignment="1"/>
    <xf numFmtId="0" fontId="2" fillId="3" borderId="0" xfId="2" applyFont="1" applyFill="1" applyBorder="1" applyAlignment="1"/>
    <xf numFmtId="0" fontId="2" fillId="3" borderId="8" xfId="2" applyFont="1" applyFill="1" applyBorder="1" applyAlignment="1"/>
    <xf numFmtId="0" fontId="2" fillId="3" borderId="6" xfId="2" applyFont="1" applyFill="1" applyBorder="1" applyAlignment="1"/>
    <xf numFmtId="0" fontId="2" fillId="3" borderId="5" xfId="2" applyFont="1" applyFill="1" applyBorder="1" applyAlignment="1"/>
    <xf numFmtId="0" fontId="2" fillId="3" borderId="9" xfId="2" applyFont="1" applyFill="1" applyBorder="1" applyAlignment="1">
      <alignment horizontal="left" vertical="center" wrapText="1"/>
    </xf>
    <xf numFmtId="0" fontId="2" fillId="3" borderId="7" xfId="2" applyFont="1" applyFill="1" applyBorder="1" applyAlignment="1"/>
    <xf numFmtId="0" fontId="2" fillId="3" borderId="9" xfId="2" applyFont="1" applyFill="1" applyBorder="1"/>
    <xf numFmtId="0" fontId="2" fillId="5" borderId="0" xfId="2" applyFont="1" applyFill="1" applyBorder="1" applyAlignment="1">
      <alignment horizontal="left" vertical="center" wrapText="1"/>
    </xf>
    <xf numFmtId="0" fontId="2" fillId="3" borderId="0" xfId="2" applyFont="1" applyFill="1" applyBorder="1"/>
    <xf numFmtId="0" fontId="2" fillId="2" borderId="0" xfId="2" applyFont="1" applyFill="1" applyBorder="1"/>
    <xf numFmtId="0" fontId="2" fillId="3" borderId="4" xfId="2" applyFont="1" applyFill="1" applyBorder="1"/>
    <xf numFmtId="0" fontId="2" fillId="3" borderId="3" xfId="2" applyFont="1" applyFill="1" applyBorder="1"/>
    <xf numFmtId="0" fontId="2" fillId="2" borderId="3" xfId="2" applyFont="1" applyFill="1" applyBorder="1"/>
    <xf numFmtId="0" fontId="2" fillId="3" borderId="2" xfId="2" applyFont="1" applyFill="1" applyBorder="1" applyAlignment="1"/>
    <xf numFmtId="0" fontId="2" fillId="3" borderId="0" xfId="0" applyFont="1" applyFill="1" applyAlignment="1"/>
    <xf numFmtId="0" fontId="2" fillId="3" borderId="1" xfId="0" applyFont="1" applyFill="1" applyBorder="1" applyAlignment="1">
      <alignment horizontal="center" vertical="center"/>
    </xf>
    <xf numFmtId="165" fontId="2" fillId="3" borderId="1" xfId="0" applyNumberFormat="1" applyFont="1" applyFill="1" applyBorder="1" applyAlignment="1">
      <alignment horizontal="center" vertical="center"/>
    </xf>
    <xf numFmtId="4" fontId="2" fillId="3" borderId="1" xfId="0" applyNumberFormat="1" applyFont="1" applyFill="1" applyBorder="1" applyAlignment="1">
      <alignment horizontal="center" vertical="center"/>
    </xf>
    <xf numFmtId="10" fontId="2" fillId="3" borderId="1" xfId="0" applyNumberFormat="1" applyFont="1" applyFill="1" applyBorder="1" applyAlignment="1">
      <alignment horizontal="center" vertical="center"/>
    </xf>
    <xf numFmtId="3" fontId="7" fillId="8" borderId="1" xfId="0" applyNumberFormat="1" applyFont="1" applyFill="1" applyBorder="1" applyAlignment="1">
      <alignment horizontal="center"/>
    </xf>
    <xf numFmtId="165" fontId="6" fillId="7" borderId="1" xfId="0" applyNumberFormat="1" applyFont="1" applyFill="1" applyBorder="1" applyAlignment="1">
      <alignment horizontal="center"/>
    </xf>
    <xf numFmtId="165" fontId="7" fillId="8" borderId="1" xfId="0" applyNumberFormat="1" applyFont="1" applyFill="1" applyBorder="1" applyAlignment="1">
      <alignment horizontal="center"/>
    </xf>
    <xf numFmtId="0" fontId="2" fillId="3" borderId="13" xfId="0" applyFont="1" applyFill="1" applyBorder="1" applyAlignment="1">
      <alignment vertical="center" wrapText="1"/>
    </xf>
    <xf numFmtId="0" fontId="2" fillId="3" borderId="9" xfId="0" applyFont="1" applyFill="1" applyBorder="1" applyAlignment="1">
      <alignment vertical="center" wrapText="1"/>
    </xf>
    <xf numFmtId="0" fontId="2" fillId="3" borderId="0" xfId="0" applyFont="1" applyFill="1" applyAlignment="1"/>
    <xf numFmtId="0" fontId="2" fillId="3" borderId="0" xfId="0" applyFont="1" applyFill="1" applyAlignment="1"/>
    <xf numFmtId="0" fontId="12" fillId="3" borderId="1" xfId="2"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9" xfId="0" applyFont="1" applyFill="1" applyBorder="1" applyAlignment="1">
      <alignment horizontal="left" vertical="center" wrapText="1"/>
    </xf>
    <xf numFmtId="0" fontId="2" fillId="3" borderId="0" xfId="0" applyFont="1" applyFill="1" applyAlignment="1"/>
    <xf numFmtId="0" fontId="6" fillId="7" borderId="1" xfId="0" applyFont="1" applyFill="1" applyBorder="1" applyAlignment="1">
      <alignment horizontal="center" vertical="center"/>
    </xf>
    <xf numFmtId="0" fontId="0" fillId="0" borderId="0" xfId="0" applyFont="1" applyAlignment="1">
      <alignment horizontal="center" vertical="center"/>
    </xf>
    <xf numFmtId="165" fontId="6" fillId="8" borderId="1" xfId="1" applyNumberFormat="1" applyFont="1" applyFill="1" applyBorder="1" applyAlignment="1">
      <alignment horizontal="center" vertical="center"/>
    </xf>
    <xf numFmtId="166" fontId="6" fillId="8" borderId="1" xfId="1" applyNumberFormat="1" applyFont="1" applyFill="1" applyBorder="1" applyAlignment="1">
      <alignment horizontal="center" vertical="center"/>
    </xf>
    <xf numFmtId="0" fontId="2" fillId="5" borderId="1" xfId="0" applyFont="1" applyFill="1" applyBorder="1" applyAlignment="1">
      <alignment horizontal="center" vertical="center" wrapText="1"/>
    </xf>
    <xf numFmtId="167" fontId="5" fillId="9" borderId="1" xfId="0" applyNumberFormat="1" applyFont="1" applyFill="1" applyBorder="1" applyAlignment="1">
      <alignment horizontal="center" vertical="center"/>
    </xf>
    <xf numFmtId="0" fontId="2" fillId="3" borderId="0" xfId="0" applyFont="1" applyFill="1" applyBorder="1" applyAlignment="1">
      <alignment horizontal="left" vertical="center" wrapText="1"/>
    </xf>
    <xf numFmtId="0" fontId="2" fillId="3" borderId="9" xfId="0" applyFont="1" applyFill="1" applyBorder="1" applyAlignment="1">
      <alignment horizontal="left" vertical="center" wrapText="1"/>
    </xf>
    <xf numFmtId="0" fontId="2" fillId="3" borderId="0" xfId="0" applyFont="1" applyFill="1" applyAlignment="1"/>
    <xf numFmtId="0" fontId="2" fillId="3" borderId="0" xfId="0" applyFont="1" applyFill="1" applyAlignment="1">
      <alignment horizontal="center"/>
    </xf>
    <xf numFmtId="0" fontId="2" fillId="3" borderId="3" xfId="0" applyFont="1" applyFill="1" applyBorder="1" applyAlignment="1">
      <alignment horizontal="center"/>
    </xf>
    <xf numFmtId="0" fontId="3" fillId="4" borderId="12" xfId="0" applyFont="1" applyFill="1" applyBorder="1" applyAlignment="1">
      <alignment horizontal="center"/>
    </xf>
    <xf numFmtId="0" fontId="6" fillId="7" borderId="0" xfId="0" applyFont="1" applyFill="1" applyBorder="1" applyAlignment="1">
      <alignment horizontal="center"/>
    </xf>
    <xf numFmtId="0" fontId="2" fillId="3" borderId="6" xfId="0" applyFont="1" applyFill="1" applyBorder="1" applyAlignment="1">
      <alignment horizontal="center"/>
    </xf>
    <xf numFmtId="0" fontId="5" fillId="3" borderId="0" xfId="0" applyFont="1" applyFill="1" applyAlignment="1">
      <alignment horizontal="center"/>
    </xf>
    <xf numFmtId="0" fontId="7" fillId="8" borderId="54" xfId="0" applyFont="1" applyFill="1" applyBorder="1" applyAlignment="1">
      <alignment horizontal="center"/>
    </xf>
    <xf numFmtId="3" fontId="7" fillId="8" borderId="54" xfId="0" applyNumberFormat="1" applyFont="1" applyFill="1" applyBorder="1" applyAlignment="1">
      <alignment horizontal="center"/>
    </xf>
    <xf numFmtId="165" fontId="7" fillId="8" borderId="54" xfId="0" applyNumberFormat="1" applyFont="1" applyFill="1" applyBorder="1" applyAlignment="1">
      <alignment horizontal="center"/>
    </xf>
    <xf numFmtId="0" fontId="7" fillId="7" borderId="9" xfId="0" applyFont="1" applyFill="1" applyBorder="1" applyAlignment="1">
      <alignment horizontal="center"/>
    </xf>
    <xf numFmtId="3" fontId="7" fillId="7" borderId="1" xfId="0" applyNumberFormat="1" applyFont="1" applyFill="1" applyBorder="1" applyAlignment="1">
      <alignment horizontal="center" vertical="center" wrapText="1"/>
    </xf>
    <xf numFmtId="3" fontId="2" fillId="7" borderId="1" xfId="0" applyNumberFormat="1" applyFont="1" applyFill="1" applyBorder="1" applyAlignment="1">
      <alignment horizontal="center"/>
    </xf>
    <xf numFmtId="3" fontId="6" fillId="6" borderId="1" xfId="0" applyNumberFormat="1" applyFont="1" applyFill="1" applyBorder="1" applyAlignment="1">
      <alignment horizontal="center"/>
    </xf>
    <xf numFmtId="3" fontId="2" fillId="6" borderId="1" xfId="0" applyNumberFormat="1" applyFont="1" applyFill="1" applyBorder="1" applyAlignment="1">
      <alignment horizontal="center"/>
    </xf>
    <xf numFmtId="4" fontId="14" fillId="11" borderId="21" xfId="0" applyNumberFormat="1" applyFont="1" applyFill="1" applyBorder="1" applyProtection="1">
      <protection locked="0" hidden="1"/>
    </xf>
    <xf numFmtId="2" fontId="2" fillId="0" borderId="0" xfId="0" applyNumberFormat="1" applyFont="1" applyProtection="1">
      <protection hidden="1"/>
    </xf>
    <xf numFmtId="4" fontId="2" fillId="0" borderId="0" xfId="0" applyNumberFormat="1" applyFont="1" applyFill="1" applyBorder="1" applyProtection="1">
      <protection hidden="1"/>
    </xf>
    <xf numFmtId="4" fontId="14" fillId="0" borderId="0" xfId="0" applyNumberFormat="1" applyFont="1" applyProtection="1">
      <protection hidden="1"/>
    </xf>
    <xf numFmtId="4" fontId="2" fillId="0" borderId="0" xfId="0" applyNumberFormat="1" applyFont="1" applyProtection="1">
      <protection hidden="1"/>
    </xf>
    <xf numFmtId="0" fontId="15" fillId="0" borderId="0" xfId="0" applyFont="1" applyFill="1" applyProtection="1">
      <protection hidden="1"/>
    </xf>
    <xf numFmtId="1" fontId="16" fillId="12" borderId="0" xfId="0" applyNumberFormat="1" applyFont="1" applyFill="1" applyBorder="1" applyProtection="1">
      <protection hidden="1"/>
    </xf>
    <xf numFmtId="2" fontId="16" fillId="12" borderId="0" xfId="0" applyNumberFormat="1" applyFont="1" applyFill="1" applyBorder="1" applyProtection="1">
      <protection hidden="1"/>
    </xf>
    <xf numFmtId="0" fontId="2" fillId="0" borderId="0" xfId="0" applyFont="1" applyAlignment="1">
      <alignment horizontal="center" vertical="center"/>
    </xf>
    <xf numFmtId="2" fontId="14" fillId="0" borderId="0" xfId="0" applyNumberFormat="1" applyFont="1" applyBorder="1" applyAlignment="1" applyProtection="1">
      <protection hidden="1"/>
    </xf>
    <xf numFmtId="14" fontId="14" fillId="0" borderId="0" xfId="0" applyNumberFormat="1" applyFont="1" applyBorder="1" applyAlignment="1" applyProtection="1">
      <protection hidden="1"/>
    </xf>
    <xf numFmtId="4" fontId="2" fillId="0" borderId="0" xfId="0" applyNumberFormat="1" applyFont="1" applyBorder="1" applyAlignment="1" applyProtection="1">
      <alignment horizontal="right"/>
      <protection hidden="1"/>
    </xf>
    <xf numFmtId="1" fontId="14" fillId="11" borderId="26" xfId="0" applyNumberFormat="1" applyFont="1" applyFill="1" applyBorder="1" applyProtection="1">
      <protection locked="0" hidden="1"/>
    </xf>
    <xf numFmtId="4" fontId="14" fillId="0" borderId="0" xfId="0" applyNumberFormat="1" applyFont="1" applyBorder="1" applyAlignment="1" applyProtection="1">
      <protection hidden="1"/>
    </xf>
    <xf numFmtId="14" fontId="14" fillId="11" borderId="26" xfId="0" applyNumberFormat="1" applyFont="1" applyFill="1" applyBorder="1" applyProtection="1">
      <protection locked="0" hidden="1"/>
    </xf>
    <xf numFmtId="4" fontId="14" fillId="0" borderId="0" xfId="0" applyNumberFormat="1" applyFont="1" applyFill="1" applyBorder="1" applyAlignment="1" applyProtection="1">
      <protection hidden="1"/>
    </xf>
    <xf numFmtId="4" fontId="2" fillId="10" borderId="23" xfId="0" applyNumberFormat="1" applyFont="1" applyFill="1" applyBorder="1" applyAlignment="1" applyProtection="1">
      <alignment horizontal="center" vertical="center" wrapText="1"/>
      <protection hidden="1"/>
    </xf>
    <xf numFmtId="4" fontId="2" fillId="10" borderId="25" xfId="0" applyNumberFormat="1" applyFont="1" applyFill="1" applyBorder="1" applyAlignment="1" applyProtection="1">
      <alignment horizontal="center" vertical="center" wrapText="1"/>
      <protection hidden="1"/>
    </xf>
    <xf numFmtId="4" fontId="2" fillId="10" borderId="35" xfId="0" applyNumberFormat="1" applyFont="1" applyFill="1" applyBorder="1" applyAlignment="1" applyProtection="1">
      <alignment horizontal="center" vertical="center" wrapText="1"/>
      <protection hidden="1"/>
    </xf>
    <xf numFmtId="4" fontId="2" fillId="10" borderId="34" xfId="0" applyNumberFormat="1" applyFont="1" applyFill="1" applyBorder="1" applyAlignment="1" applyProtection="1">
      <alignment horizontal="center" vertical="center" wrapText="1"/>
      <protection hidden="1"/>
    </xf>
    <xf numFmtId="1" fontId="14" fillId="12" borderId="36" xfId="0" applyNumberFormat="1" applyFont="1" applyFill="1" applyBorder="1" applyAlignment="1" applyProtection="1">
      <alignment horizontal="center"/>
      <protection hidden="1"/>
    </xf>
    <xf numFmtId="1" fontId="14" fillId="12" borderId="37" xfId="0" applyNumberFormat="1" applyFont="1" applyFill="1" applyBorder="1" applyAlignment="1" applyProtection="1">
      <alignment horizontal="center"/>
      <protection hidden="1"/>
    </xf>
    <xf numFmtId="14" fontId="17" fillId="12" borderId="38" xfId="0" applyNumberFormat="1" applyFont="1" applyFill="1" applyBorder="1" applyAlignment="1" applyProtection="1">
      <alignment horizontal="left"/>
      <protection hidden="1"/>
    </xf>
    <xf numFmtId="4" fontId="14" fillId="12" borderId="39" xfId="0" applyNumberFormat="1" applyFont="1" applyFill="1" applyBorder="1" applyProtection="1">
      <protection hidden="1"/>
    </xf>
    <xf numFmtId="4" fontId="14" fillId="12" borderId="37" xfId="0" applyNumberFormat="1" applyFont="1" applyFill="1" applyBorder="1" applyProtection="1">
      <protection hidden="1"/>
    </xf>
    <xf numFmtId="4" fontId="14" fillId="12" borderId="40" xfId="0" applyNumberFormat="1" applyFont="1" applyFill="1" applyBorder="1" applyProtection="1">
      <protection hidden="1"/>
    </xf>
    <xf numFmtId="4" fontId="17" fillId="12" borderId="37" xfId="0" applyNumberFormat="1" applyFont="1" applyFill="1" applyBorder="1" applyProtection="1">
      <protection hidden="1"/>
    </xf>
    <xf numFmtId="4" fontId="14" fillId="12" borderId="36" xfId="0" applyNumberFormat="1" applyFont="1" applyFill="1" applyBorder="1" applyProtection="1">
      <protection hidden="1"/>
    </xf>
    <xf numFmtId="4" fontId="17" fillId="12" borderId="38" xfId="0" applyNumberFormat="1" applyFont="1" applyFill="1" applyBorder="1" applyProtection="1">
      <protection hidden="1"/>
    </xf>
    <xf numFmtId="4" fontId="14" fillId="12" borderId="38" xfId="0" applyNumberFormat="1" applyFont="1" applyFill="1" applyBorder="1" applyProtection="1">
      <protection hidden="1"/>
    </xf>
    <xf numFmtId="1" fontId="2" fillId="0" borderId="41" xfId="0" applyNumberFormat="1" applyFont="1" applyBorder="1" applyAlignment="1" applyProtection="1">
      <alignment horizontal="center"/>
      <protection hidden="1"/>
    </xf>
    <xf numFmtId="1" fontId="2" fillId="0" borderId="0" xfId="0" applyNumberFormat="1" applyFont="1" applyBorder="1" applyAlignment="1" applyProtection="1">
      <alignment horizontal="left"/>
      <protection hidden="1"/>
    </xf>
    <xf numFmtId="14" fontId="2" fillId="0" borderId="15" xfId="0" applyNumberFormat="1" applyFont="1" applyBorder="1" applyAlignment="1" applyProtection="1">
      <alignment horizontal="left"/>
      <protection hidden="1"/>
    </xf>
    <xf numFmtId="4" fontId="2" fillId="0" borderId="42" xfId="0" applyNumberFormat="1" applyFont="1" applyBorder="1" applyAlignment="1" applyProtection="1">
      <alignment horizontal="right"/>
      <protection hidden="1"/>
    </xf>
    <xf numFmtId="4" fontId="2" fillId="0" borderId="43" xfId="0" applyNumberFormat="1" applyFont="1" applyBorder="1" applyAlignment="1" applyProtection="1">
      <alignment horizontal="right"/>
      <protection hidden="1"/>
    </xf>
    <xf numFmtId="4" fontId="2" fillId="0" borderId="13" xfId="0" applyNumberFormat="1" applyFont="1" applyBorder="1" applyAlignment="1" applyProtection="1">
      <alignment horizontal="right"/>
      <protection hidden="1"/>
    </xf>
    <xf numFmtId="4" fontId="2" fillId="0" borderId="41" xfId="0" applyNumberFormat="1" applyFont="1" applyBorder="1" applyAlignment="1" applyProtection="1">
      <alignment horizontal="right"/>
      <protection hidden="1"/>
    </xf>
    <xf numFmtId="4" fontId="2" fillId="0" borderId="15" xfId="0" applyNumberFormat="1" applyFont="1" applyBorder="1" applyAlignment="1" applyProtection="1">
      <alignment horizontal="right"/>
      <protection hidden="1"/>
    </xf>
    <xf numFmtId="4" fontId="15" fillId="0" borderId="0" xfId="0" applyNumberFormat="1" applyFont="1" applyBorder="1" applyAlignment="1" applyProtection="1">
      <alignment horizontal="right"/>
      <protection hidden="1"/>
    </xf>
    <xf numFmtId="1" fontId="2" fillId="0" borderId="17" xfId="0" applyNumberFormat="1" applyFont="1" applyBorder="1" applyAlignment="1" applyProtection="1">
      <alignment horizontal="center"/>
      <protection hidden="1"/>
    </xf>
    <xf numFmtId="4" fontId="2" fillId="0" borderId="17" xfId="0" applyNumberFormat="1" applyFont="1" applyBorder="1" applyAlignment="1" applyProtection="1">
      <alignment horizontal="right"/>
      <protection hidden="1"/>
    </xf>
    <xf numFmtId="4" fontId="2" fillId="0" borderId="44" xfId="0" applyNumberFormat="1" applyFont="1" applyBorder="1" applyAlignment="1" applyProtection="1">
      <alignment horizontal="right"/>
      <protection hidden="1"/>
    </xf>
    <xf numFmtId="4" fontId="2" fillId="0" borderId="45" xfId="0" applyNumberFormat="1" applyFont="1" applyBorder="1" applyAlignment="1" applyProtection="1">
      <alignment horizontal="right"/>
      <protection hidden="1"/>
    </xf>
    <xf numFmtId="4" fontId="2" fillId="0" borderId="46" xfId="0" applyNumberFormat="1" applyFont="1" applyBorder="1" applyAlignment="1" applyProtection="1">
      <alignment horizontal="right"/>
      <protection hidden="1"/>
    </xf>
    <xf numFmtId="1" fontId="2" fillId="0" borderId="43" xfId="0" applyNumberFormat="1" applyFont="1" applyBorder="1" applyAlignment="1" applyProtection="1">
      <alignment horizontal="center"/>
      <protection hidden="1"/>
    </xf>
    <xf numFmtId="1" fontId="2" fillId="0" borderId="14" xfId="0" applyNumberFormat="1" applyFont="1" applyBorder="1" applyAlignment="1" applyProtection="1">
      <alignment horizontal="center"/>
      <protection hidden="1"/>
    </xf>
    <xf numFmtId="4" fontId="2" fillId="0" borderId="14" xfId="0" applyNumberFormat="1" applyFont="1" applyBorder="1" applyAlignment="1" applyProtection="1">
      <alignment horizontal="right"/>
      <protection hidden="1"/>
    </xf>
    <xf numFmtId="4" fontId="2" fillId="0" borderId="48" xfId="0" applyNumberFormat="1" applyFont="1" applyBorder="1" applyAlignment="1" applyProtection="1">
      <alignment horizontal="right"/>
      <protection hidden="1"/>
    </xf>
    <xf numFmtId="4" fontId="2" fillId="0" borderId="49" xfId="0" applyNumberFormat="1" applyFont="1" applyBorder="1" applyAlignment="1" applyProtection="1">
      <alignment horizontal="right"/>
      <protection hidden="1"/>
    </xf>
    <xf numFmtId="4" fontId="2" fillId="0" borderId="50" xfId="0" applyNumberFormat="1" applyFont="1" applyBorder="1" applyAlignment="1" applyProtection="1">
      <alignment horizontal="right"/>
      <protection hidden="1"/>
    </xf>
    <xf numFmtId="4" fontId="2" fillId="13" borderId="42" xfId="0" applyNumberFormat="1" applyFont="1" applyFill="1" applyBorder="1" applyAlignment="1" applyProtection="1">
      <alignment horizontal="right"/>
      <protection locked="0" hidden="1"/>
    </xf>
    <xf numFmtId="4" fontId="2" fillId="13" borderId="46" xfId="0" applyNumberFormat="1" applyFont="1" applyFill="1" applyBorder="1" applyAlignment="1" applyProtection="1">
      <alignment horizontal="right"/>
      <protection locked="0" hidden="1"/>
    </xf>
    <xf numFmtId="4" fontId="2" fillId="13" borderId="47" xfId="0" applyNumberFormat="1" applyFont="1" applyFill="1" applyBorder="1" applyAlignment="1" applyProtection="1">
      <alignment horizontal="right"/>
      <protection locked="0" hidden="1"/>
    </xf>
    <xf numFmtId="4" fontId="2" fillId="13" borderId="51" xfId="0" applyNumberFormat="1" applyFont="1" applyFill="1" applyBorder="1" applyAlignment="1" applyProtection="1">
      <alignment horizontal="right"/>
      <protection locked="0" hidden="1"/>
    </xf>
    <xf numFmtId="4" fontId="2" fillId="13" borderId="15" xfId="0" applyNumberFormat="1" applyFont="1" applyFill="1" applyBorder="1" applyAlignment="1" applyProtection="1">
      <alignment horizontal="right"/>
      <protection locked="0" hidden="1"/>
    </xf>
    <xf numFmtId="4" fontId="2" fillId="13" borderId="50" xfId="0" applyNumberFormat="1" applyFont="1" applyFill="1" applyBorder="1" applyAlignment="1" applyProtection="1">
      <alignment horizontal="right"/>
      <protection locked="0" hidden="1"/>
    </xf>
    <xf numFmtId="1" fontId="2" fillId="0" borderId="0" xfId="0" applyNumberFormat="1" applyFont="1" applyBorder="1" applyAlignment="1" applyProtection="1">
      <alignment horizontal="center"/>
      <protection hidden="1"/>
    </xf>
    <xf numFmtId="1" fontId="2" fillId="0" borderId="13" xfId="0" applyNumberFormat="1" applyFont="1" applyBorder="1" applyAlignment="1" applyProtection="1">
      <alignment horizontal="center"/>
      <protection hidden="1"/>
    </xf>
    <xf numFmtId="4" fontId="2" fillId="0" borderId="52" xfId="0" applyNumberFormat="1" applyFont="1" applyBorder="1" applyAlignment="1" applyProtection="1">
      <alignment horizontal="right"/>
      <protection hidden="1"/>
    </xf>
    <xf numFmtId="4" fontId="2" fillId="0" borderId="33" xfId="0" applyNumberFormat="1" applyFont="1" applyBorder="1" applyAlignment="1" applyProtection="1">
      <alignment horizontal="right"/>
      <protection hidden="1"/>
    </xf>
    <xf numFmtId="4" fontId="2" fillId="0" borderId="26" xfId="0" applyNumberFormat="1" applyFont="1" applyBorder="1" applyAlignment="1" applyProtection="1">
      <alignment horizontal="right"/>
      <protection hidden="1"/>
    </xf>
    <xf numFmtId="4" fontId="2" fillId="13" borderId="53" xfId="0" applyNumberFormat="1" applyFont="1" applyFill="1" applyBorder="1" applyAlignment="1" applyProtection="1">
      <alignment horizontal="right"/>
      <protection locked="0" hidden="1"/>
    </xf>
    <xf numFmtId="4" fontId="2" fillId="13" borderId="26" xfId="0" applyNumberFormat="1" applyFont="1" applyFill="1" applyBorder="1" applyAlignment="1" applyProtection="1">
      <alignment horizontal="right"/>
      <protection locked="0" hidden="1"/>
    </xf>
    <xf numFmtId="1" fontId="2" fillId="12" borderId="0" xfId="0" applyNumberFormat="1" applyFont="1" applyFill="1" applyBorder="1" applyAlignment="1" applyProtection="1">
      <alignment horizontal="right"/>
      <protection hidden="1"/>
    </xf>
    <xf numFmtId="0" fontId="2" fillId="12" borderId="0" xfId="0" applyFont="1" applyFill="1" applyBorder="1" applyAlignment="1" applyProtection="1">
      <alignment horizontal="left"/>
      <protection hidden="1"/>
    </xf>
    <xf numFmtId="4" fontId="2" fillId="12" borderId="0" xfId="0" applyNumberFormat="1" applyFont="1" applyFill="1" applyBorder="1" applyProtection="1">
      <protection hidden="1"/>
    </xf>
    <xf numFmtId="4" fontId="2" fillId="13" borderId="0" xfId="0" applyNumberFormat="1" applyFont="1" applyFill="1" applyBorder="1" applyProtection="1">
      <protection hidden="1"/>
    </xf>
    <xf numFmtId="0" fontId="15" fillId="12" borderId="0" xfId="0" applyFont="1" applyFill="1" applyBorder="1" applyProtection="1">
      <protection hidden="1"/>
    </xf>
    <xf numFmtId="0" fontId="2" fillId="3" borderId="0" xfId="0" applyFont="1" applyFill="1" applyAlignment="1"/>
    <xf numFmtId="0" fontId="2" fillId="3" borderId="0" xfId="0" applyFont="1" applyFill="1" applyAlignment="1"/>
    <xf numFmtId="0" fontId="11" fillId="3" borderId="1" xfId="2" applyFont="1" applyFill="1" applyBorder="1" applyAlignment="1">
      <alignment horizontal="center"/>
    </xf>
    <xf numFmtId="0" fontId="9" fillId="0" borderId="14" xfId="0" applyFont="1" applyBorder="1" applyAlignment="1">
      <alignment horizontal="center" vertical="center" wrapText="1"/>
    </xf>
    <xf numFmtId="0" fontId="2" fillId="3" borderId="14" xfId="0" applyFont="1" applyFill="1" applyBorder="1" applyAlignment="1"/>
    <xf numFmtId="0" fontId="11" fillId="3" borderId="10" xfId="2" applyFont="1" applyFill="1" applyBorder="1" applyAlignment="1">
      <alignment horizontal="left"/>
    </xf>
    <xf numFmtId="0" fontId="11" fillId="3" borderId="12" xfId="2" applyFont="1" applyFill="1" applyBorder="1" applyAlignment="1">
      <alignment horizontal="left"/>
    </xf>
    <xf numFmtId="0" fontId="11" fillId="3" borderId="11" xfId="2" applyFont="1" applyFill="1" applyBorder="1" applyAlignment="1">
      <alignment horizontal="left"/>
    </xf>
    <xf numFmtId="0" fontId="2" fillId="3" borderId="0" xfId="0" applyFont="1" applyFill="1" applyBorder="1" applyAlignment="1">
      <alignment horizontal="left" vertical="center" wrapText="1"/>
    </xf>
    <xf numFmtId="0" fontId="11" fillId="3" borderId="1" xfId="2" applyFont="1" applyFill="1" applyBorder="1" applyAlignment="1">
      <alignment horizontal="left" vertical="center"/>
    </xf>
    <xf numFmtId="0" fontId="2" fillId="0" borderId="1" xfId="0" applyFont="1" applyFill="1" applyBorder="1" applyAlignment="1"/>
    <xf numFmtId="0" fontId="12" fillId="3" borderId="1" xfId="2" applyFont="1" applyFill="1" applyBorder="1" applyAlignment="1">
      <alignment horizontal="left" vertical="center"/>
    </xf>
    <xf numFmtId="165" fontId="5" fillId="0" borderId="1" xfId="1" applyNumberFormat="1" applyFont="1" applyFill="1" applyBorder="1" applyAlignment="1">
      <alignment horizontal="center" vertical="center"/>
    </xf>
    <xf numFmtId="165" fontId="5" fillId="0" borderId="11" xfId="1" applyNumberFormat="1" applyFont="1" applyFill="1" applyBorder="1" applyAlignment="1">
      <alignment vertical="center"/>
    </xf>
    <xf numFmtId="165" fontId="6" fillId="0" borderId="1" xfId="1" applyNumberFormat="1" applyFont="1" applyFill="1" applyBorder="1" applyAlignment="1">
      <alignment horizontal="center"/>
    </xf>
    <xf numFmtId="0" fontId="2" fillId="0" borderId="1" xfId="0" applyFont="1" applyFill="1" applyBorder="1" applyAlignment="1">
      <alignment horizontal="center"/>
    </xf>
    <xf numFmtId="165" fontId="2" fillId="0" borderId="1" xfId="1" applyNumberFormat="1" applyFont="1" applyFill="1" applyBorder="1" applyAlignment="1">
      <alignment horizontal="center"/>
    </xf>
    <xf numFmtId="0" fontId="7" fillId="0" borderId="1" xfId="0" applyFont="1" applyFill="1" applyBorder="1" applyAlignment="1">
      <alignment horizontal="center"/>
    </xf>
    <xf numFmtId="0" fontId="2" fillId="0" borderId="7" xfId="0" applyFont="1" applyFill="1" applyBorder="1" applyAlignment="1"/>
    <xf numFmtId="0" fontId="11" fillId="0" borderId="1" xfId="2" applyFont="1" applyFill="1" applyBorder="1" applyAlignment="1">
      <alignment horizontal="left" vertical="center"/>
    </xf>
    <xf numFmtId="0" fontId="2" fillId="0" borderId="9" xfId="0" applyFont="1" applyFill="1" applyBorder="1" applyAlignment="1"/>
    <xf numFmtId="0" fontId="2" fillId="0" borderId="0" xfId="0" applyFont="1" applyFill="1" applyAlignment="1"/>
    <xf numFmtId="0" fontId="11" fillId="0" borderId="1" xfId="2" applyFont="1" applyFill="1" applyBorder="1" applyAlignment="1">
      <alignment vertical="center"/>
    </xf>
    <xf numFmtId="3" fontId="7" fillId="0" borderId="1" xfId="3" applyNumberFormat="1" applyFont="1" applyFill="1" applyBorder="1" applyAlignment="1">
      <alignment horizontal="center" vertical="center"/>
    </xf>
    <xf numFmtId="0" fontId="2" fillId="3" borderId="0" xfId="0" applyFont="1" applyFill="1" applyAlignment="1"/>
    <xf numFmtId="0" fontId="2" fillId="4" borderId="1" xfId="0" applyFont="1" applyFill="1" applyBorder="1" applyAlignment="1">
      <alignment horizontal="left" vertical="center"/>
    </xf>
    <xf numFmtId="0" fontId="2" fillId="3" borderId="0" xfId="0" applyFont="1" applyFill="1" applyAlignment="1"/>
    <xf numFmtId="9" fontId="5" fillId="3" borderId="1" xfId="1" applyNumberFormat="1" applyFont="1" applyFill="1" applyBorder="1" applyAlignment="1">
      <alignment horizontal="center" vertical="center"/>
    </xf>
    <xf numFmtId="0" fontId="12" fillId="3" borderId="1" xfId="2" applyFont="1" applyFill="1" applyBorder="1" applyAlignment="1">
      <alignment horizontal="center" vertical="center"/>
    </xf>
    <xf numFmtId="3" fontId="8" fillId="0" borderId="1" xfId="3" applyNumberFormat="1" applyFont="1" applyFill="1" applyBorder="1" applyAlignment="1">
      <alignment horizontal="center" vertical="center"/>
    </xf>
    <xf numFmtId="0" fontId="5" fillId="0" borderId="11" xfId="0" applyFont="1" applyBorder="1" applyAlignment="1">
      <alignment vertical="center" wrapText="1"/>
    </xf>
    <xf numFmtId="0" fontId="19" fillId="0" borderId="0" xfId="0" applyFont="1" applyAlignment="1">
      <alignment vertical="center"/>
    </xf>
    <xf numFmtId="0" fontId="0" fillId="0" borderId="57" xfId="0" applyFont="1" applyBorder="1" applyAlignment="1"/>
    <xf numFmtId="0" fontId="0" fillId="0" borderId="13" xfId="0" applyFont="1" applyBorder="1" applyAlignment="1"/>
    <xf numFmtId="0" fontId="0" fillId="0" borderId="0" xfId="0" applyFont="1" applyBorder="1" applyAlignment="1"/>
    <xf numFmtId="0" fontId="0" fillId="0" borderId="44" xfId="0" applyFont="1" applyBorder="1" applyAlignment="1"/>
    <xf numFmtId="0" fontId="2" fillId="3" borderId="0" xfId="0" applyFont="1" applyFill="1" applyBorder="1" applyAlignment="1"/>
    <xf numFmtId="0" fontId="2" fillId="3" borderId="7" xfId="0" applyFont="1" applyFill="1" applyBorder="1" applyAlignment="1"/>
    <xf numFmtId="0" fontId="2" fillId="3" borderId="0" xfId="0" applyFont="1" applyFill="1" applyAlignment="1"/>
    <xf numFmtId="0" fontId="2" fillId="3" borderId="1" xfId="0" applyFont="1" applyFill="1" applyBorder="1" applyAlignment="1"/>
    <xf numFmtId="0" fontId="6" fillId="3" borderId="15" xfId="0" applyFont="1" applyFill="1" applyBorder="1" applyAlignment="1"/>
    <xf numFmtId="0" fontId="0" fillId="0" borderId="56" xfId="0" applyFont="1" applyBorder="1" applyAlignment="1"/>
    <xf numFmtId="0" fontId="2" fillId="3" borderId="10" xfId="0" applyFont="1" applyFill="1" applyBorder="1" applyAlignment="1">
      <alignment horizontal="left" indent="3"/>
    </xf>
    <xf numFmtId="0" fontId="9" fillId="3" borderId="0" xfId="0" applyFont="1" applyFill="1" applyBorder="1" applyAlignment="1">
      <alignment horizontal="left" vertical="center"/>
    </xf>
    <xf numFmtId="0" fontId="2" fillId="3" borderId="0" xfId="0" applyFont="1" applyFill="1" applyAlignment="1"/>
    <xf numFmtId="3" fontId="6" fillId="0" borderId="1" xfId="1" applyNumberFormat="1" applyFont="1" applyFill="1" applyBorder="1" applyAlignment="1">
      <alignment horizontal="center" vertical="center"/>
    </xf>
    <xf numFmtId="3" fontId="2" fillId="0" borderId="1" xfId="1" applyNumberFormat="1" applyFont="1" applyFill="1" applyBorder="1" applyAlignment="1">
      <alignment horizontal="right" vertical="center" indent="3"/>
    </xf>
    <xf numFmtId="0" fontId="18" fillId="3" borderId="0" xfId="0" applyFont="1" applyFill="1" applyBorder="1" applyAlignment="1">
      <alignment horizontal="center"/>
    </xf>
    <xf numFmtId="0" fontId="18" fillId="3" borderId="9" xfId="0" applyFont="1" applyFill="1" applyBorder="1" applyAlignment="1">
      <alignment horizontal="center"/>
    </xf>
    <xf numFmtId="0" fontId="9" fillId="3" borderId="0" xfId="0" applyFont="1" applyFill="1" applyBorder="1" applyAlignment="1">
      <alignment horizontal="left" vertical="center"/>
    </xf>
    <xf numFmtId="0" fontId="2" fillId="3" borderId="0" xfId="0" applyFont="1" applyFill="1" applyAlignment="1"/>
    <xf numFmtId="0" fontId="6" fillId="0" borderId="10" xfId="0" applyFont="1" applyFill="1" applyBorder="1" applyAlignment="1">
      <alignment horizontal="left" vertical="center"/>
    </xf>
    <xf numFmtId="0" fontId="6" fillId="4" borderId="10" xfId="0" applyFont="1" applyFill="1" applyBorder="1" applyAlignment="1">
      <alignment horizontal="left" vertical="center"/>
    </xf>
    <xf numFmtId="0" fontId="6" fillId="4" borderId="12" xfId="0" applyFont="1" applyFill="1" applyBorder="1" applyAlignment="1">
      <alignment horizontal="left" vertical="center"/>
    </xf>
    <xf numFmtId="0" fontId="6" fillId="4" borderId="11" xfId="0" applyFont="1" applyFill="1" applyBorder="1" applyAlignment="1">
      <alignment horizontal="left" vertical="center"/>
    </xf>
    <xf numFmtId="10" fontId="2" fillId="0" borderId="10" xfId="0" applyNumberFormat="1" applyFont="1" applyFill="1" applyBorder="1" applyAlignment="1">
      <alignment horizontal="left" vertical="center" wrapText="1" indent="3"/>
    </xf>
    <xf numFmtId="0" fontId="1" fillId="0" borderId="0" xfId="2" applyFont="1" applyAlignment="1"/>
    <xf numFmtId="0" fontId="20" fillId="0" borderId="1" xfId="2" applyFont="1" applyBorder="1" applyAlignment="1">
      <alignment wrapText="1"/>
    </xf>
    <xf numFmtId="0" fontId="21" fillId="0" borderId="1" xfId="2" applyFont="1" applyBorder="1" applyAlignment="1">
      <alignment horizontal="center" vertical="top" wrapText="1"/>
    </xf>
    <xf numFmtId="0" fontId="20" fillId="0" borderId="1" xfId="2" applyFont="1" applyBorder="1" applyAlignment="1">
      <alignment horizontal="justify" vertical="center" wrapText="1"/>
    </xf>
    <xf numFmtId="0" fontId="20" fillId="0" borderId="14" xfId="2" applyFont="1" applyBorder="1" applyAlignment="1">
      <alignment wrapText="1"/>
    </xf>
    <xf numFmtId="0" fontId="21" fillId="0" borderId="14" xfId="2" applyFont="1" applyBorder="1" applyAlignment="1">
      <alignment horizontal="center" vertical="top" wrapText="1"/>
    </xf>
    <xf numFmtId="0" fontId="22" fillId="0" borderId="51" xfId="2" applyFont="1" applyBorder="1" applyAlignment="1">
      <alignment horizontal="justify" vertical="center" wrapText="1"/>
    </xf>
    <xf numFmtId="0" fontId="22" fillId="0" borderId="42" xfId="2" applyFont="1" applyBorder="1" applyAlignment="1">
      <alignment horizontal="justify" vertical="center" wrapText="1"/>
    </xf>
    <xf numFmtId="0" fontId="20" fillId="0" borderId="42" xfId="2" applyFont="1" applyBorder="1" applyAlignment="1">
      <alignment horizontal="justify" vertical="center" wrapText="1"/>
    </xf>
    <xf numFmtId="0" fontId="20" fillId="0" borderId="42" xfId="2" applyFont="1" applyBorder="1" applyAlignment="1">
      <alignment wrapText="1"/>
    </xf>
    <xf numFmtId="0" fontId="21" fillId="0" borderId="0" xfId="2" applyFont="1" applyAlignment="1">
      <alignment vertical="center"/>
    </xf>
    <xf numFmtId="0" fontId="1" fillId="0" borderId="55" xfId="2" applyFont="1" applyBorder="1" applyAlignment="1">
      <alignment wrapText="1"/>
    </xf>
    <xf numFmtId="0" fontId="6" fillId="0" borderId="0" xfId="2" applyFont="1" applyBorder="1" applyAlignment="1">
      <alignment horizontal="center" vertical="top"/>
    </xf>
    <xf numFmtId="0" fontId="20" fillId="0" borderId="0" xfId="2" applyFont="1" applyBorder="1" applyAlignment="1">
      <alignment horizontal="center" vertical="center" wrapText="1"/>
    </xf>
    <xf numFmtId="0" fontId="21" fillId="0" borderId="0" xfId="2" applyFont="1" applyBorder="1" applyAlignment="1">
      <alignment horizontal="center" vertical="center" wrapText="1"/>
    </xf>
    <xf numFmtId="0" fontId="1" fillId="0" borderId="0" xfId="2" applyFont="1" applyBorder="1" applyAlignment="1">
      <alignment wrapText="1"/>
    </xf>
    <xf numFmtId="0" fontId="6" fillId="0" borderId="0" xfId="2" applyFont="1" applyBorder="1" applyAlignment="1">
      <alignment horizontal="center" vertical="top" wrapText="1"/>
    </xf>
    <xf numFmtId="0" fontId="20" fillId="0" borderId="1" xfId="2" applyFont="1" applyBorder="1" applyAlignment="1">
      <alignment horizontal="center" vertical="center" wrapText="1"/>
    </xf>
    <xf numFmtId="0" fontId="21" fillId="0" borderId="11" xfId="2" applyFont="1" applyBorder="1" applyAlignment="1">
      <alignment horizontal="center" vertical="center" wrapText="1"/>
    </xf>
    <xf numFmtId="0" fontId="1" fillId="0" borderId="51" xfId="2" applyFont="1" applyBorder="1" applyAlignment="1">
      <alignment wrapText="1"/>
    </xf>
    <xf numFmtId="0" fontId="20" fillId="14" borderId="1" xfId="2" applyFont="1" applyFill="1" applyBorder="1" applyAlignment="1">
      <alignment horizontal="center" vertical="center" wrapText="1"/>
    </xf>
    <xf numFmtId="0" fontId="21" fillId="14" borderId="11" xfId="2" applyFont="1" applyFill="1" applyBorder="1" applyAlignment="1">
      <alignment horizontal="center" vertical="center" wrapText="1"/>
    </xf>
    <xf numFmtId="0" fontId="1" fillId="0" borderId="42" xfId="2" applyFont="1" applyBorder="1" applyAlignment="1">
      <alignment wrapText="1"/>
    </xf>
    <xf numFmtId="1" fontId="20" fillId="0" borderId="1" xfId="2" applyNumberFormat="1" applyFont="1" applyBorder="1" applyAlignment="1">
      <alignment horizontal="center" vertical="center" wrapText="1"/>
    </xf>
    <xf numFmtId="1" fontId="20" fillId="14" borderId="1" xfId="2" applyNumberFormat="1" applyFont="1" applyFill="1" applyBorder="1" applyAlignment="1">
      <alignment horizontal="center" vertical="center" wrapText="1"/>
    </xf>
    <xf numFmtId="0" fontId="21" fillId="0" borderId="1" xfId="2" applyFont="1" applyBorder="1" applyAlignment="1">
      <alignment horizontal="center" vertical="center" wrapText="1"/>
    </xf>
    <xf numFmtId="0" fontId="20" fillId="0" borderId="47" xfId="2" applyFont="1" applyBorder="1" applyAlignment="1">
      <alignment horizontal="justify" vertical="center" wrapText="1"/>
    </xf>
    <xf numFmtId="0" fontId="6" fillId="0" borderId="0" xfId="2" applyFont="1" applyAlignment="1">
      <alignment horizontal="center" vertical="top"/>
    </xf>
    <xf numFmtId="0" fontId="2" fillId="3" borderId="14" xfId="0" applyFont="1" applyFill="1" applyBorder="1" applyAlignment="1">
      <alignment horizontal="center"/>
    </xf>
    <xf numFmtId="0" fontId="5" fillId="0" borderId="11" xfId="0" applyFont="1" applyBorder="1" applyAlignment="1">
      <alignment horizontal="center" vertical="center" wrapText="1"/>
    </xf>
    <xf numFmtId="168" fontId="5" fillId="0" borderId="11" xfId="0" applyNumberFormat="1" applyFont="1" applyBorder="1" applyAlignment="1">
      <alignment horizontal="center" vertical="center" wrapText="1"/>
    </xf>
    <xf numFmtId="0" fontId="2" fillId="3" borderId="1" xfId="0" applyFont="1" applyFill="1" applyBorder="1" applyAlignment="1">
      <alignment horizontal="center"/>
    </xf>
    <xf numFmtId="0" fontId="18" fillId="3" borderId="0" xfId="0" applyFont="1" applyFill="1" applyBorder="1" applyAlignment="1">
      <alignment horizontal="center"/>
    </xf>
    <xf numFmtId="0" fontId="9" fillId="3" borderId="0" xfId="0" applyFont="1" applyFill="1" applyBorder="1" applyAlignment="1">
      <alignment horizontal="left" vertical="center"/>
    </xf>
    <xf numFmtId="0" fontId="2" fillId="3" borderId="0" xfId="0" applyFont="1" applyFill="1" applyAlignment="1"/>
    <xf numFmtId="0" fontId="2" fillId="0" borderId="10" xfId="0" applyFont="1" applyFill="1" applyBorder="1" applyAlignment="1">
      <alignment horizontal="left" vertical="center" indent="3"/>
    </xf>
    <xf numFmtId="0" fontId="2" fillId="0" borderId="10" xfId="0" applyFont="1" applyFill="1" applyBorder="1" applyAlignment="1">
      <alignment horizontal="left" vertical="center" wrapText="1" indent="3"/>
    </xf>
    <xf numFmtId="0" fontId="6" fillId="0" borderId="0" xfId="2" applyFont="1" applyFill="1" applyBorder="1" applyAlignment="1">
      <alignment vertical="center" wrapText="1"/>
    </xf>
    <xf numFmtId="0" fontId="2" fillId="0" borderId="0" xfId="2" applyFont="1" applyFill="1" applyBorder="1" applyAlignment="1">
      <alignment horizontal="center" vertical="center" wrapText="1"/>
    </xf>
    <xf numFmtId="0" fontId="2" fillId="0" borderId="0" xfId="2" applyFont="1" applyFill="1" applyBorder="1" applyAlignment="1">
      <alignment vertical="center" wrapText="1"/>
    </xf>
    <xf numFmtId="0" fontId="2" fillId="0" borderId="0" xfId="2" applyFont="1" applyFill="1" applyBorder="1" applyAlignment="1"/>
    <xf numFmtId="0" fontId="26" fillId="0" borderId="0" xfId="0" applyFont="1" applyAlignment="1"/>
    <xf numFmtId="0" fontId="19" fillId="0" borderId="0" xfId="0" applyFont="1" applyAlignment="1"/>
    <xf numFmtId="0" fontId="6" fillId="5" borderId="10" xfId="0" applyFont="1" applyFill="1" applyBorder="1" applyAlignment="1">
      <alignment wrapText="1"/>
    </xf>
    <xf numFmtId="0" fontId="6" fillId="5" borderId="1" xfId="0" applyFont="1" applyFill="1" applyBorder="1" applyAlignment="1">
      <alignment horizontal="center" wrapText="1"/>
    </xf>
    <xf numFmtId="0" fontId="6" fillId="0" borderId="11" xfId="0" applyFont="1" applyFill="1" applyBorder="1" applyAlignment="1">
      <alignment horizontal="center" vertical="center" wrapText="1"/>
    </xf>
    <xf numFmtId="10" fontId="2" fillId="0" borderId="10" xfId="0" applyNumberFormat="1" applyFont="1" applyFill="1" applyBorder="1" applyAlignment="1">
      <alignment vertical="center"/>
    </xf>
    <xf numFmtId="0" fontId="6" fillId="0" borderId="10" xfId="0" applyFont="1" applyFill="1" applyBorder="1" applyAlignment="1">
      <alignment vertical="center"/>
    </xf>
    <xf numFmtId="0" fontId="6" fillId="0" borderId="11" xfId="0" applyFont="1" applyFill="1" applyBorder="1" applyAlignment="1">
      <alignment vertical="center"/>
    </xf>
    <xf numFmtId="0" fontId="2" fillId="3" borderId="0" xfId="0" applyFont="1" applyFill="1" applyBorder="1" applyAlignment="1">
      <alignment horizontal="left" vertical="center" wrapText="1"/>
    </xf>
    <xf numFmtId="0" fontId="18" fillId="3" borderId="0" xfId="0" applyFont="1" applyFill="1" applyBorder="1" applyAlignment="1">
      <alignment horizontal="center"/>
    </xf>
    <xf numFmtId="0" fontId="18" fillId="3" borderId="7" xfId="2" applyFont="1" applyFill="1" applyBorder="1" applyAlignment="1">
      <alignment horizontal="center"/>
    </xf>
    <xf numFmtId="0" fontId="18" fillId="3" borderId="0" xfId="2" applyFont="1" applyFill="1" applyBorder="1" applyAlignment="1">
      <alignment horizontal="center"/>
    </xf>
    <xf numFmtId="0" fontId="18" fillId="3" borderId="9" xfId="2" applyFont="1" applyFill="1" applyBorder="1" applyAlignment="1">
      <alignment horizontal="center"/>
    </xf>
    <xf numFmtId="0" fontId="2" fillId="3" borderId="0" xfId="0" applyFont="1" applyFill="1" applyAlignment="1"/>
    <xf numFmtId="0" fontId="2" fillId="3" borderId="3" xfId="2" applyFont="1" applyFill="1" applyBorder="1" applyAlignment="1"/>
    <xf numFmtId="0" fontId="2" fillId="3" borderId="4" xfId="2" applyFont="1" applyFill="1" applyBorder="1" applyAlignment="1"/>
    <xf numFmtId="0" fontId="2" fillId="3" borderId="9" xfId="2" applyFont="1" applyFill="1" applyBorder="1" applyAlignment="1"/>
    <xf numFmtId="0" fontId="27" fillId="0" borderId="0" xfId="2" applyFont="1" applyAlignment="1"/>
    <xf numFmtId="3" fontId="2" fillId="0" borderId="0" xfId="2" applyNumberFormat="1" applyFont="1" applyBorder="1" applyAlignment="1"/>
    <xf numFmtId="0" fontId="2" fillId="5" borderId="0" xfId="2" applyFont="1" applyFill="1" applyBorder="1" applyAlignment="1">
      <alignment vertical="center"/>
    </xf>
    <xf numFmtId="10" fontId="1" fillId="0" borderId="0" xfId="2" applyNumberFormat="1" applyFont="1" applyAlignment="1"/>
    <xf numFmtId="9" fontId="1" fillId="0" borderId="0" xfId="2" applyNumberFormat="1" applyFont="1" applyAlignment="1"/>
    <xf numFmtId="1" fontId="1" fillId="0" borderId="0" xfId="2" applyNumberFormat="1" applyFont="1" applyAlignment="1"/>
    <xf numFmtId="9" fontId="1" fillId="0" borderId="0" xfId="4" applyFont="1" applyAlignment="1"/>
    <xf numFmtId="10" fontId="0" fillId="0" borderId="0" xfId="4" applyNumberFormat="1" applyFont="1" applyAlignment="1"/>
    <xf numFmtId="10" fontId="1" fillId="0" borderId="0" xfId="4" applyNumberFormat="1" applyFont="1" applyAlignment="1"/>
    <xf numFmtId="0" fontId="2" fillId="0" borderId="1" xfId="2" applyFont="1" applyBorder="1" applyAlignment="1"/>
    <xf numFmtId="3" fontId="2" fillId="0" borderId="1" xfId="2" applyNumberFormat="1" applyFont="1" applyBorder="1" applyAlignment="1"/>
    <xf numFmtId="0" fontId="2" fillId="0" borderId="10" xfId="2" applyFont="1" applyBorder="1" applyAlignment="1"/>
    <xf numFmtId="9" fontId="2" fillId="0" borderId="1" xfId="4" applyFont="1" applyFill="1" applyBorder="1" applyAlignment="1"/>
    <xf numFmtId="168" fontId="0" fillId="0" borderId="0" xfId="4" applyNumberFormat="1" applyFont="1" applyAlignment="1"/>
    <xf numFmtId="168" fontId="1" fillId="0" borderId="0" xfId="4" applyNumberFormat="1" applyFont="1" applyAlignment="1"/>
    <xf numFmtId="3" fontId="1" fillId="0" borderId="0" xfId="2" applyNumberFormat="1" applyFont="1" applyAlignment="1"/>
    <xf numFmtId="0" fontId="2" fillId="0" borderId="11" xfId="0" applyFont="1" applyFill="1" applyBorder="1" applyAlignment="1">
      <alignment horizontal="left" vertical="center" indent="3"/>
    </xf>
    <xf numFmtId="0" fontId="9" fillId="3" borderId="0" xfId="0" applyFont="1" applyFill="1" applyBorder="1" applyAlignment="1">
      <alignment horizontal="center" vertical="center"/>
    </xf>
    <xf numFmtId="0" fontId="6" fillId="4" borderId="12" xfId="0" applyFont="1" applyFill="1" applyBorder="1" applyAlignment="1">
      <alignment horizontal="center" vertical="center"/>
    </xf>
    <xf numFmtId="0" fontId="6" fillId="0" borderId="1" xfId="0" applyFont="1" applyFill="1" applyBorder="1" applyAlignment="1">
      <alignment horizontal="center" vertical="center"/>
    </xf>
    <xf numFmtId="0" fontId="2" fillId="5" borderId="0" xfId="0" applyFont="1" applyFill="1" applyBorder="1" applyAlignment="1">
      <alignment horizontal="center" vertical="center"/>
    </xf>
    <xf numFmtId="0" fontId="2" fillId="0" borderId="0" xfId="0" applyFont="1" applyFill="1" applyBorder="1" applyAlignment="1">
      <alignment horizontal="center"/>
    </xf>
    <xf numFmtId="0" fontId="2" fillId="0" borderId="0" xfId="2" applyFont="1" applyFill="1" applyBorder="1" applyAlignment="1">
      <alignment horizontal="center" vertical="center" wrapText="1"/>
    </xf>
    <xf numFmtId="0" fontId="6" fillId="3" borderId="11" xfId="0" applyFont="1" applyFill="1" applyBorder="1" applyAlignment="1">
      <alignment horizontal="center" vertical="center"/>
    </xf>
    <xf numFmtId="0" fontId="6" fillId="0" borderId="11"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1" xfId="0" applyFont="1" applyFill="1" applyBorder="1" applyAlignment="1">
      <alignment horizontal="center" vertical="center" wrapText="1"/>
    </xf>
    <xf numFmtId="0" fontId="2" fillId="3" borderId="0" xfId="0" applyFont="1" applyFill="1" applyAlignment="1"/>
    <xf numFmtId="0" fontId="2" fillId="3" borderId="0" xfId="0" applyFont="1" applyFill="1" applyAlignment="1"/>
    <xf numFmtId="0" fontId="2" fillId="3" borderId="0" xfId="0" applyFont="1" applyFill="1" applyBorder="1" applyAlignment="1">
      <alignment horizontal="left" vertical="center" wrapText="1"/>
    </xf>
    <xf numFmtId="0" fontId="28" fillId="3" borderId="0" xfId="0" applyFont="1" applyFill="1" applyAlignment="1"/>
    <xf numFmtId="0" fontId="28" fillId="3" borderId="14" xfId="0" applyFont="1" applyFill="1" applyBorder="1" applyAlignment="1">
      <alignment horizontal="center"/>
    </xf>
    <xf numFmtId="0" fontId="2" fillId="3" borderId="0" xfId="0" applyFont="1" applyFill="1" applyAlignment="1"/>
    <xf numFmtId="0" fontId="7" fillId="15" borderId="1" xfId="2" applyFont="1" applyFill="1" applyBorder="1" applyAlignment="1">
      <alignment horizontal="left" vertical="center"/>
    </xf>
    <xf numFmtId="0" fontId="7" fillId="15" borderId="1" xfId="2" applyFont="1" applyFill="1" applyBorder="1" applyAlignment="1">
      <alignment horizontal="center" vertical="center"/>
    </xf>
    <xf numFmtId="0" fontId="7" fillId="15" borderId="1" xfId="2" applyFont="1" applyFill="1" applyBorder="1" applyAlignment="1">
      <alignment horizontal="center"/>
    </xf>
    <xf numFmtId="0" fontId="2" fillId="3" borderId="0" xfId="0" applyFont="1" applyFill="1" applyAlignment="1"/>
    <xf numFmtId="0" fontId="6" fillId="3" borderId="0" xfId="0" applyFont="1" applyFill="1" applyBorder="1" applyAlignment="1"/>
    <xf numFmtId="0" fontId="26" fillId="0" borderId="0" xfId="0" applyFont="1" applyAlignment="1">
      <alignment vertical="center"/>
    </xf>
    <xf numFmtId="0" fontId="2" fillId="3" borderId="11" xfId="0" applyFont="1" applyFill="1" applyBorder="1" applyAlignment="1"/>
    <xf numFmtId="0" fontId="5" fillId="0" borderId="1" xfId="2" applyFont="1" applyFill="1" applyBorder="1" applyAlignment="1">
      <alignment horizontal="center" vertical="center"/>
    </xf>
    <xf numFmtId="9" fontId="28" fillId="16" borderId="1" xfId="2" applyNumberFormat="1" applyFont="1" applyFill="1" applyBorder="1" applyAlignment="1">
      <alignment horizontal="center" vertical="center"/>
    </xf>
    <xf numFmtId="0" fontId="29" fillId="0" borderId="0" xfId="2" applyFont="1" applyAlignment="1"/>
    <xf numFmtId="0" fontId="2" fillId="3" borderId="0" xfId="0" applyFont="1" applyFill="1" applyAlignment="1"/>
    <xf numFmtId="0" fontId="2" fillId="5" borderId="10" xfId="0" applyFont="1" applyFill="1" applyBorder="1" applyAlignment="1">
      <alignment horizontal="left" wrapText="1" indent="3"/>
    </xf>
    <xf numFmtId="0" fontId="2" fillId="3" borderId="12" xfId="0" applyFont="1" applyFill="1" applyBorder="1" applyAlignment="1"/>
    <xf numFmtId="0" fontId="2" fillId="3" borderId="0" xfId="0" applyFont="1" applyFill="1" applyAlignment="1"/>
    <xf numFmtId="166" fontId="7" fillId="7" borderId="0" xfId="0" applyNumberFormat="1" applyFont="1" applyFill="1" applyBorder="1" applyAlignment="1">
      <alignment horizontal="center"/>
    </xf>
    <xf numFmtId="0" fontId="2" fillId="3" borderId="0" xfId="0" applyFont="1" applyFill="1" applyAlignment="1"/>
    <xf numFmtId="169" fontId="5" fillId="0" borderId="11" xfId="0" applyNumberFormat="1" applyFont="1" applyFill="1" applyBorder="1" applyAlignment="1">
      <alignment horizontal="right" vertical="center" wrapText="1" indent="2"/>
    </xf>
    <xf numFmtId="0" fontId="4" fillId="17" borderId="1" xfId="0" applyFont="1" applyFill="1" applyBorder="1" applyAlignment="1"/>
    <xf numFmtId="0" fontId="2" fillId="3" borderId="0" xfId="0" applyFont="1" applyFill="1" applyAlignment="1"/>
    <xf numFmtId="0" fontId="5" fillId="17" borderId="11" xfId="0" applyFont="1" applyFill="1" applyBorder="1" applyAlignment="1">
      <alignment horizontal="center" vertical="center" wrapText="1"/>
    </xf>
    <xf numFmtId="0" fontId="5" fillId="17" borderId="1" xfId="0" applyFont="1" applyFill="1" applyBorder="1" applyAlignment="1">
      <alignment horizontal="center"/>
    </xf>
    <xf numFmtId="0" fontId="2" fillId="3" borderId="0" xfId="0" applyFont="1" applyFill="1" applyBorder="1" applyAlignment="1">
      <alignment horizontal="left" vertical="center" wrapText="1"/>
    </xf>
    <xf numFmtId="0" fontId="11" fillId="3" borderId="1" xfId="2" applyFont="1" applyFill="1" applyBorder="1" applyAlignment="1">
      <alignment horizontal="left" vertical="center"/>
    </xf>
    <xf numFmtId="0" fontId="12" fillId="3" borderId="1" xfId="2" applyFont="1" applyFill="1" applyBorder="1" applyAlignment="1">
      <alignment horizontal="left" vertical="center" indent="2"/>
    </xf>
    <xf numFmtId="1" fontId="11" fillId="3" borderId="1" xfId="2" applyNumberFormat="1" applyFont="1" applyFill="1" applyBorder="1" applyAlignment="1">
      <alignment horizontal="center"/>
    </xf>
    <xf numFmtId="1" fontId="12" fillId="3" borderId="1" xfId="2" applyNumberFormat="1" applyFont="1" applyFill="1" applyBorder="1" applyAlignment="1">
      <alignment horizontal="center"/>
    </xf>
    <xf numFmtId="0" fontId="2" fillId="3" borderId="0" xfId="0" applyFont="1" applyFill="1" applyAlignment="1">
      <alignment horizontal="left"/>
    </xf>
    <xf numFmtId="0" fontId="2" fillId="3" borderId="0" xfId="0" applyFont="1" applyFill="1" applyBorder="1" applyAlignment="1">
      <alignment horizontal="left"/>
    </xf>
    <xf numFmtId="0" fontId="19" fillId="0" borderId="0" xfId="0" applyFont="1" applyAlignment="1">
      <alignment horizontal="left"/>
    </xf>
    <xf numFmtId="0" fontId="28" fillId="0" borderId="1" xfId="2" applyFont="1" applyFill="1" applyBorder="1" applyAlignment="1">
      <alignment horizontal="center" vertical="center"/>
    </xf>
    <xf numFmtId="0" fontId="30" fillId="3" borderId="6" xfId="0" applyFont="1" applyFill="1" applyBorder="1" applyAlignment="1"/>
    <xf numFmtId="0" fontId="28" fillId="0" borderId="0" xfId="0" applyFont="1" applyFill="1" applyBorder="1" applyAlignment="1"/>
    <xf numFmtId="0" fontId="18" fillId="3" borderId="9" xfId="0" applyFont="1" applyFill="1" applyBorder="1" applyAlignment="1">
      <alignment horizontal="center"/>
    </xf>
    <xf numFmtId="0" fontId="5" fillId="0" borderId="1" xfId="0" applyFont="1" applyFill="1" applyBorder="1" applyAlignment="1">
      <alignment horizontal="center" vertical="center" wrapText="1"/>
    </xf>
    <xf numFmtId="0" fontId="5" fillId="0" borderId="11" xfId="0"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0" fontId="29" fillId="0" borderId="0" xfId="0" applyFont="1" applyAlignment="1"/>
    <xf numFmtId="0" fontId="3" fillId="4" borderId="9" xfId="0" applyFont="1" applyFill="1" applyBorder="1" applyAlignment="1"/>
    <xf numFmtId="0" fontId="6" fillId="7" borderId="9" xfId="0" applyFont="1" applyFill="1" applyBorder="1" applyAlignment="1">
      <alignment horizontal="center"/>
    </xf>
    <xf numFmtId="165" fontId="6" fillId="0" borderId="9" xfId="1" applyNumberFormat="1" applyFont="1" applyFill="1" applyBorder="1" applyAlignment="1">
      <alignment horizontal="center"/>
    </xf>
    <xf numFmtId="165" fontId="2" fillId="0" borderId="9" xfId="1" applyNumberFormat="1" applyFont="1" applyFill="1" applyBorder="1" applyAlignment="1">
      <alignment horizontal="center"/>
    </xf>
    <xf numFmtId="0" fontId="7" fillId="0" borderId="9" xfId="0" applyFont="1" applyFill="1" applyBorder="1" applyAlignment="1">
      <alignment horizontal="center"/>
    </xf>
    <xf numFmtId="3" fontId="7" fillId="8" borderId="9" xfId="0" applyNumberFormat="1" applyFont="1" applyFill="1" applyBorder="1" applyAlignment="1">
      <alignment horizontal="center"/>
    </xf>
    <xf numFmtId="0" fontId="7" fillId="8" borderId="9" xfId="0" applyFont="1" applyFill="1" applyBorder="1" applyAlignment="1">
      <alignment horizontal="center"/>
    </xf>
    <xf numFmtId="165" fontId="7" fillId="8" borderId="9" xfId="0" applyNumberFormat="1" applyFont="1" applyFill="1" applyBorder="1" applyAlignment="1">
      <alignment horizontal="center"/>
    </xf>
    <xf numFmtId="0" fontId="3" fillId="4" borderId="11" xfId="0" applyFont="1" applyFill="1" applyBorder="1" applyAlignment="1"/>
    <xf numFmtId="0" fontId="6" fillId="3" borderId="0" xfId="2" applyFont="1" applyFill="1" applyAlignment="1"/>
    <xf numFmtId="0" fontId="29" fillId="0" borderId="0" xfId="0" applyFont="1" applyAlignment="1">
      <alignment vertical="center"/>
    </xf>
    <xf numFmtId="3" fontId="8" fillId="0" borderId="1" xfId="4" applyNumberFormat="1" applyFont="1" applyFill="1" applyBorder="1" applyAlignment="1">
      <alignment horizontal="center" vertical="center"/>
    </xf>
    <xf numFmtId="3" fontId="7" fillId="0" borderId="1" xfId="4" applyNumberFormat="1" applyFont="1" applyFill="1" applyBorder="1" applyAlignment="1">
      <alignment horizontal="center" vertical="center"/>
    </xf>
    <xf numFmtId="0" fontId="2" fillId="0" borderId="0" xfId="2" applyFont="1" applyFill="1" applyBorder="1" applyAlignment="1">
      <alignment horizontal="center" vertical="center" wrapText="1"/>
    </xf>
    <xf numFmtId="2" fontId="5" fillId="15" borderId="1" xfId="0" applyNumberFormat="1" applyFont="1" applyFill="1" applyBorder="1" applyAlignment="1">
      <alignment horizontal="center" vertical="center"/>
    </xf>
    <xf numFmtId="9" fontId="8" fillId="3" borderId="1" xfId="2" applyNumberFormat="1" applyFont="1" applyFill="1" applyBorder="1" applyAlignment="1">
      <alignment vertical="center"/>
    </xf>
    <xf numFmtId="0" fontId="5" fillId="18" borderId="1" xfId="0" applyFont="1" applyFill="1" applyBorder="1" applyAlignment="1"/>
    <xf numFmtId="0" fontId="28" fillId="19" borderId="1" xfId="0" applyFont="1" applyFill="1" applyBorder="1" applyAlignment="1">
      <alignment horizontal="center" vertical="center"/>
    </xf>
    <xf numFmtId="3" fontId="28" fillId="20" borderId="1" xfId="0" applyNumberFormat="1" applyFont="1" applyFill="1" applyBorder="1" applyAlignment="1">
      <alignment horizontal="center" vertical="center"/>
    </xf>
    <xf numFmtId="3" fontId="9" fillId="0" borderId="16" xfId="0" applyNumberFormat="1" applyFont="1" applyFill="1" applyBorder="1" applyAlignment="1">
      <alignment horizontal="center" vertical="center"/>
    </xf>
    <xf numFmtId="3" fontId="28" fillId="18" borderId="58" xfId="0" applyNumberFormat="1" applyFont="1" applyFill="1" applyBorder="1" applyAlignment="1">
      <alignment horizontal="center" vertical="center"/>
    </xf>
    <xf numFmtId="0" fontId="2" fillId="5" borderId="1" xfId="0" applyFont="1" applyFill="1" applyBorder="1" applyAlignment="1">
      <alignment horizontal="left" vertical="center" wrapText="1" indent="3"/>
    </xf>
    <xf numFmtId="0" fontId="28" fillId="18" borderId="1" xfId="0" applyFont="1" applyFill="1" applyBorder="1" applyAlignment="1"/>
    <xf numFmtId="165" fontId="28" fillId="18" borderId="1" xfId="1" applyNumberFormat="1" applyFont="1" applyFill="1" applyBorder="1" applyAlignment="1">
      <alignment horizontal="center" vertical="center"/>
    </xf>
    <xf numFmtId="0" fontId="28" fillId="18" borderId="1" xfId="0" applyFont="1" applyFill="1" applyBorder="1" applyAlignment="1">
      <alignment horizontal="center"/>
    </xf>
    <xf numFmtId="0" fontId="28" fillId="20" borderId="1" xfId="0" applyFont="1" applyFill="1" applyBorder="1" applyAlignment="1">
      <alignment horizontal="center" wrapText="1"/>
    </xf>
    <xf numFmtId="9" fontId="28" fillId="18" borderId="1" xfId="2" applyNumberFormat="1" applyFont="1" applyFill="1" applyBorder="1" applyAlignment="1">
      <alignment horizontal="center" vertical="center"/>
    </xf>
    <xf numFmtId="3" fontId="28" fillId="18" borderId="1" xfId="2" applyNumberFormat="1" applyFont="1" applyFill="1" applyBorder="1" applyAlignment="1">
      <alignment horizontal="center" vertical="center"/>
    </xf>
    <xf numFmtId="0" fontId="28" fillId="18" borderId="11" xfId="0" applyFont="1" applyFill="1" applyBorder="1" applyAlignment="1">
      <alignment horizontal="center" vertical="center" wrapText="1"/>
    </xf>
    <xf numFmtId="0" fontId="4" fillId="18" borderId="1" xfId="0" applyFont="1" applyFill="1" applyBorder="1" applyAlignment="1"/>
    <xf numFmtId="3" fontId="5" fillId="0" borderId="11" xfId="1" applyNumberFormat="1" applyFont="1" applyFill="1" applyBorder="1" applyAlignment="1">
      <alignment horizontal="right" vertical="center" indent="2"/>
    </xf>
    <xf numFmtId="165" fontId="6" fillId="0" borderId="1" xfId="1" applyNumberFormat="1" applyFont="1" applyFill="1" applyBorder="1" applyAlignment="1">
      <alignment horizontal="center" vertical="center"/>
    </xf>
    <xf numFmtId="165" fontId="6" fillId="0" borderId="11" xfId="0" applyNumberFormat="1" applyFont="1" applyFill="1" applyBorder="1" applyAlignment="1">
      <alignment horizontal="center" vertical="center"/>
    </xf>
    <xf numFmtId="165" fontId="7" fillId="0" borderId="11" xfId="1" applyNumberFormat="1" applyFont="1" applyFill="1" applyBorder="1" applyAlignment="1">
      <alignment horizontal="center" vertical="center"/>
    </xf>
    <xf numFmtId="0" fontId="2" fillId="3" borderId="0" xfId="0" applyFont="1" applyFill="1" applyAlignment="1">
      <alignment horizontal="center" wrapText="1"/>
    </xf>
    <xf numFmtId="0" fontId="2" fillId="3" borderId="0" xfId="0" applyFont="1" applyFill="1" applyBorder="1" applyAlignment="1">
      <alignment horizontal="left" vertical="center" wrapText="1"/>
    </xf>
    <xf numFmtId="0" fontId="2" fillId="3" borderId="9" xfId="0" applyFont="1" applyFill="1" applyBorder="1" applyAlignment="1">
      <alignment horizontal="left" vertical="center" wrapText="1"/>
    </xf>
    <xf numFmtId="0" fontId="18" fillId="3" borderId="7" xfId="0" applyFont="1" applyFill="1" applyBorder="1" applyAlignment="1">
      <alignment horizontal="center"/>
    </xf>
    <xf numFmtId="0" fontId="18" fillId="3" borderId="0" xfId="0" applyFont="1" applyFill="1" applyBorder="1" applyAlignment="1">
      <alignment horizontal="center"/>
    </xf>
    <xf numFmtId="0" fontId="18" fillId="3" borderId="9" xfId="0" applyFont="1" applyFill="1" applyBorder="1" applyAlignment="1">
      <alignment horizontal="center"/>
    </xf>
    <xf numFmtId="0" fontId="9" fillId="3" borderId="0" xfId="0" applyFont="1" applyFill="1" applyBorder="1" applyAlignment="1">
      <alignment horizontal="left" vertical="center"/>
    </xf>
    <xf numFmtId="0" fontId="2" fillId="4" borderId="10" xfId="0" applyFont="1" applyFill="1" applyBorder="1" applyAlignment="1">
      <alignment horizontal="left" vertical="center"/>
    </xf>
    <xf numFmtId="0" fontId="2" fillId="4" borderId="11" xfId="0" applyFont="1" applyFill="1" applyBorder="1" applyAlignment="1">
      <alignment horizontal="left" vertical="center"/>
    </xf>
    <xf numFmtId="0" fontId="2" fillId="4" borderId="13"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3" borderId="13" xfId="0" applyFont="1" applyFill="1" applyBorder="1" applyAlignment="1">
      <alignment horizontal="left" vertical="center" wrapText="1"/>
    </xf>
    <xf numFmtId="0" fontId="2" fillId="0" borderId="0" xfId="2" applyFont="1" applyFill="1" applyBorder="1" applyAlignment="1">
      <alignment horizontal="center" vertical="center" wrapText="1"/>
    </xf>
    <xf numFmtId="0" fontId="18" fillId="3" borderId="7" xfId="2" applyFont="1" applyFill="1" applyBorder="1" applyAlignment="1">
      <alignment horizontal="center"/>
    </xf>
    <xf numFmtId="0" fontId="18" fillId="3" borderId="0" xfId="2" applyFont="1" applyFill="1" applyBorder="1" applyAlignment="1">
      <alignment horizontal="center"/>
    </xf>
    <xf numFmtId="0" fontId="18" fillId="3" borderId="9" xfId="2" applyFont="1" applyFill="1" applyBorder="1" applyAlignment="1">
      <alignment horizontal="center"/>
    </xf>
    <xf numFmtId="0" fontId="18" fillId="2" borderId="7" xfId="2" applyFont="1" applyFill="1" applyBorder="1" applyAlignment="1">
      <alignment horizontal="center"/>
    </xf>
    <xf numFmtId="0" fontId="18" fillId="2" borderId="0" xfId="2" applyFont="1" applyFill="1" applyBorder="1" applyAlignment="1">
      <alignment horizontal="center"/>
    </xf>
    <xf numFmtId="0" fontId="18" fillId="2" borderId="9" xfId="2" applyFont="1" applyFill="1" applyBorder="1" applyAlignment="1">
      <alignment horizontal="center"/>
    </xf>
    <xf numFmtId="0" fontId="6" fillId="5" borderId="10" xfId="0" applyFont="1" applyFill="1" applyBorder="1" applyAlignment="1">
      <alignment horizontal="left" wrapText="1"/>
    </xf>
    <xf numFmtId="0" fontId="6" fillId="5" borderId="11" xfId="0" applyFont="1" applyFill="1" applyBorder="1" applyAlignment="1">
      <alignment horizontal="left" wrapText="1"/>
    </xf>
    <xf numFmtId="0" fontId="3" fillId="4" borderId="1" xfId="0" applyFont="1" applyFill="1" applyBorder="1" applyAlignment="1">
      <alignment horizontal="center"/>
    </xf>
    <xf numFmtId="0" fontId="2" fillId="3" borderId="44" xfId="0" applyFont="1" applyFill="1" applyBorder="1" applyAlignment="1">
      <alignment horizontal="left" wrapText="1" indent="3"/>
    </xf>
    <xf numFmtId="0" fontId="2" fillId="3" borderId="48" xfId="0" applyFont="1" applyFill="1" applyBorder="1" applyAlignment="1">
      <alignment horizontal="left" wrapText="1" indent="3"/>
    </xf>
    <xf numFmtId="0" fontId="6" fillId="5" borderId="17" xfId="0" applyFont="1" applyFill="1" applyBorder="1" applyAlignment="1">
      <alignment horizontal="center" vertical="center" wrapText="1"/>
    </xf>
    <xf numFmtId="0" fontId="6" fillId="5" borderId="14" xfId="0" applyFont="1" applyFill="1" applyBorder="1" applyAlignment="1">
      <alignment horizontal="center" vertical="center" wrapText="1"/>
    </xf>
    <xf numFmtId="3" fontId="2" fillId="0" borderId="17" xfId="1" applyNumberFormat="1" applyFont="1" applyFill="1" applyBorder="1" applyAlignment="1">
      <alignment horizontal="right" vertical="center" indent="3"/>
    </xf>
    <xf numFmtId="3" fontId="2" fillId="0" borderId="14" xfId="1" applyNumberFormat="1" applyFont="1" applyFill="1" applyBorder="1" applyAlignment="1">
      <alignment horizontal="right" vertical="center" indent="3"/>
    </xf>
    <xf numFmtId="0" fontId="6" fillId="0" borderId="10" xfId="0" applyFont="1" applyFill="1" applyBorder="1" applyAlignment="1">
      <alignment horizontal="left"/>
    </xf>
    <xf numFmtId="0" fontId="6" fillId="0" borderId="12" xfId="0" applyFont="1" applyFill="1" applyBorder="1" applyAlignment="1">
      <alignment horizontal="left"/>
    </xf>
    <xf numFmtId="0" fontId="3" fillId="4" borderId="10" xfId="0" applyFont="1" applyFill="1" applyBorder="1" applyAlignment="1">
      <alignment horizontal="center"/>
    </xf>
    <xf numFmtId="0" fontId="3" fillId="4" borderId="12" xfId="0" applyFont="1" applyFill="1" applyBorder="1" applyAlignment="1">
      <alignment horizontal="center"/>
    </xf>
    <xf numFmtId="0" fontId="3" fillId="4" borderId="11" xfId="0" applyFont="1" applyFill="1" applyBorder="1" applyAlignment="1">
      <alignment horizontal="center"/>
    </xf>
    <xf numFmtId="0" fontId="2" fillId="0" borderId="10" xfId="0" applyFont="1" applyFill="1" applyBorder="1" applyAlignment="1">
      <alignment horizontal="left" vertical="center" indent="2"/>
    </xf>
    <xf numFmtId="0" fontId="2" fillId="0" borderId="12" xfId="0" applyFont="1" applyFill="1" applyBorder="1" applyAlignment="1">
      <alignment horizontal="left" vertical="center" indent="2"/>
    </xf>
    <xf numFmtId="0" fontId="2" fillId="3" borderId="12" xfId="0" applyFont="1" applyFill="1" applyBorder="1" applyAlignment="1">
      <alignment horizontal="center"/>
    </xf>
    <xf numFmtId="0" fontId="10" fillId="3" borderId="0" xfId="0" applyFont="1" applyFill="1" applyBorder="1" applyAlignment="1">
      <alignment horizontal="left" wrapText="1"/>
    </xf>
    <xf numFmtId="0" fontId="9" fillId="3" borderId="0" xfId="0" applyFont="1" applyFill="1" applyBorder="1" applyAlignment="1">
      <alignment horizontal="left"/>
    </xf>
    <xf numFmtId="0" fontId="9" fillId="0" borderId="10" xfId="0" applyFont="1" applyBorder="1" applyAlignment="1">
      <alignment horizontal="left" vertical="center" wrapText="1"/>
    </xf>
    <xf numFmtId="0" fontId="9" fillId="0" borderId="12" xfId="0" applyFont="1" applyBorder="1" applyAlignment="1">
      <alignment horizontal="left" vertical="center" wrapText="1"/>
    </xf>
    <xf numFmtId="0" fontId="9" fillId="0" borderId="11" xfId="0" applyFont="1" applyBorder="1" applyAlignment="1">
      <alignment horizontal="left" vertical="center" wrapText="1"/>
    </xf>
    <xf numFmtId="0" fontId="5" fillId="0" borderId="10" xfId="0" applyFont="1" applyBorder="1" applyAlignment="1">
      <alignment horizontal="left" vertical="center" wrapText="1"/>
    </xf>
    <xf numFmtId="0" fontId="5" fillId="0" borderId="12" xfId="0" applyFont="1" applyBorder="1" applyAlignment="1">
      <alignment horizontal="left" vertical="center" wrapText="1"/>
    </xf>
    <xf numFmtId="0" fontId="5" fillId="0" borderId="11" xfId="0" applyFont="1" applyBorder="1" applyAlignment="1">
      <alignment horizontal="left" vertical="center" wrapText="1"/>
    </xf>
    <xf numFmtId="0" fontId="11" fillId="3" borderId="1" xfId="2" applyFont="1" applyFill="1" applyBorder="1" applyAlignment="1">
      <alignment horizontal="left" vertical="center"/>
    </xf>
    <xf numFmtId="0" fontId="9" fillId="0" borderId="48" xfId="0" applyFont="1" applyBorder="1" applyAlignment="1">
      <alignment horizontal="left" vertical="center" wrapText="1"/>
    </xf>
    <xf numFmtId="0" fontId="9" fillId="0" borderId="55" xfId="0" applyFont="1" applyBorder="1" applyAlignment="1">
      <alignment horizontal="left" vertical="center" wrapText="1"/>
    </xf>
    <xf numFmtId="0" fontId="9" fillId="0" borderId="51" xfId="0" applyFont="1" applyBorder="1" applyAlignment="1">
      <alignment horizontal="left" vertical="center" wrapText="1"/>
    </xf>
    <xf numFmtId="0" fontId="6" fillId="7" borderId="1" xfId="0" applyFont="1" applyFill="1" applyBorder="1" applyAlignment="1">
      <alignment horizontal="left"/>
    </xf>
    <xf numFmtId="0" fontId="6" fillId="7" borderId="1" xfId="0" applyFont="1" applyFill="1" applyBorder="1" applyAlignment="1">
      <alignment horizontal="left" vertical="center"/>
    </xf>
    <xf numFmtId="0" fontId="6" fillId="7" borderId="10" xfId="0" applyFont="1" applyFill="1" applyBorder="1" applyAlignment="1">
      <alignment horizontal="left" vertical="center"/>
    </xf>
    <xf numFmtId="0" fontId="6" fillId="7" borderId="12" xfId="0" applyFont="1" applyFill="1" applyBorder="1" applyAlignment="1">
      <alignment horizontal="left" vertical="center"/>
    </xf>
    <xf numFmtId="0" fontId="6" fillId="7" borderId="11" xfId="0" applyFont="1" applyFill="1" applyBorder="1" applyAlignment="1">
      <alignment horizontal="left" vertical="center"/>
    </xf>
    <xf numFmtId="0" fontId="6" fillId="7" borderId="1" xfId="0" applyFont="1" applyFill="1" applyBorder="1" applyAlignment="1">
      <alignment vertical="center"/>
    </xf>
    <xf numFmtId="0" fontId="5" fillId="0" borderId="1" xfId="2" applyFont="1" applyBorder="1" applyAlignment="1">
      <alignment horizontal="left" vertical="center" wrapText="1"/>
    </xf>
    <xf numFmtId="0" fontId="21" fillId="0" borderId="12" xfId="2" applyFont="1" applyBorder="1" applyAlignment="1">
      <alignment horizontal="center" vertical="center" wrapText="1"/>
    </xf>
    <xf numFmtId="0" fontId="21" fillId="0" borderId="11" xfId="2" applyFont="1" applyBorder="1" applyAlignment="1">
      <alignment horizontal="center" vertical="center" wrapText="1"/>
    </xf>
    <xf numFmtId="0" fontId="6" fillId="0" borderId="17" xfId="2" applyFont="1" applyBorder="1" applyAlignment="1">
      <alignment horizontal="center" vertical="top" wrapText="1"/>
    </xf>
    <xf numFmtId="0" fontId="6" fillId="0" borderId="43" xfId="2" applyFont="1" applyBorder="1" applyAlignment="1">
      <alignment horizontal="center" vertical="top" wrapText="1"/>
    </xf>
    <xf numFmtId="0" fontId="6" fillId="0" borderId="14" xfId="2" applyFont="1" applyBorder="1" applyAlignment="1">
      <alignment horizontal="center" vertical="top" wrapText="1"/>
    </xf>
    <xf numFmtId="0" fontId="21" fillId="0" borderId="17" xfId="2" applyFont="1" applyBorder="1" applyAlignment="1">
      <alignment horizontal="center" vertical="top" wrapText="1"/>
    </xf>
    <xf numFmtId="0" fontId="21" fillId="0" borderId="43" xfId="2" applyFont="1" applyBorder="1" applyAlignment="1">
      <alignment horizontal="center" vertical="top" wrapText="1"/>
    </xf>
    <xf numFmtId="0" fontId="21" fillId="0" borderId="14" xfId="2" applyFont="1" applyBorder="1" applyAlignment="1">
      <alignment horizontal="center" vertical="top" wrapText="1"/>
    </xf>
    <xf numFmtId="17" fontId="2" fillId="0" borderId="1" xfId="2" applyNumberFormat="1" applyFont="1" applyBorder="1" applyAlignment="1">
      <alignment horizontal="center"/>
    </xf>
    <xf numFmtId="0" fontId="2" fillId="0" borderId="1" xfId="2" applyFont="1" applyBorder="1" applyAlignment="1">
      <alignment horizontal="center"/>
    </xf>
    <xf numFmtId="4" fontId="14" fillId="10" borderId="29" xfId="0" applyNumberFormat="1" applyFont="1" applyFill="1" applyBorder="1" applyAlignment="1" applyProtection="1">
      <alignment horizontal="center" vertical="center" wrapText="1"/>
      <protection hidden="1"/>
    </xf>
    <xf numFmtId="4" fontId="14" fillId="10" borderId="30" xfId="0" applyNumberFormat="1" applyFont="1" applyFill="1" applyBorder="1" applyAlignment="1" applyProtection="1">
      <alignment horizontal="center" vertical="center" wrapText="1"/>
      <protection hidden="1"/>
    </xf>
    <xf numFmtId="4" fontId="14" fillId="10" borderId="31" xfId="0" applyNumberFormat="1" applyFont="1" applyFill="1" applyBorder="1" applyAlignment="1" applyProtection="1">
      <alignment horizontal="center" vertical="center" wrapText="1"/>
      <protection hidden="1"/>
    </xf>
    <xf numFmtId="4" fontId="2" fillId="10" borderId="18" xfId="0" applyNumberFormat="1" applyFont="1" applyFill="1" applyBorder="1" applyAlignment="1" applyProtection="1">
      <alignment horizontal="center" vertical="center" wrapText="1"/>
      <protection hidden="1"/>
    </xf>
    <xf numFmtId="4" fontId="2" fillId="10" borderId="32" xfId="0" applyNumberFormat="1" applyFont="1" applyFill="1" applyBorder="1" applyAlignment="1" applyProtection="1">
      <alignment horizontal="center" vertical="center" wrapText="1"/>
      <protection hidden="1"/>
    </xf>
    <xf numFmtId="0" fontId="2" fillId="10" borderId="18" xfId="0" applyFont="1" applyFill="1" applyBorder="1" applyAlignment="1" applyProtection="1">
      <protection hidden="1"/>
    </xf>
    <xf numFmtId="0" fontId="2" fillId="10" borderId="19" xfId="0" applyFont="1" applyFill="1" applyBorder="1" applyAlignment="1" applyProtection="1">
      <protection hidden="1"/>
    </xf>
    <xf numFmtId="0" fontId="2" fillId="10" borderId="20" xfId="0" applyFont="1" applyFill="1" applyBorder="1" applyAlignment="1" applyProtection="1">
      <protection hidden="1"/>
    </xf>
    <xf numFmtId="0" fontId="2" fillId="10" borderId="22" xfId="0" applyFont="1" applyFill="1" applyBorder="1" applyAlignment="1" applyProtection="1">
      <protection hidden="1"/>
    </xf>
    <xf numFmtId="0" fontId="2" fillId="10" borderId="11" xfId="0" applyFont="1" applyFill="1" applyBorder="1" applyAlignment="1" applyProtection="1">
      <protection hidden="1"/>
    </xf>
    <xf numFmtId="0" fontId="2" fillId="10" borderId="1" xfId="0" applyFont="1" applyFill="1" applyBorder="1" applyAlignment="1" applyProtection="1">
      <protection hidden="1"/>
    </xf>
    <xf numFmtId="0" fontId="2" fillId="10" borderId="23" xfId="0" applyFont="1" applyFill="1" applyBorder="1" applyAlignment="1" applyProtection="1">
      <protection hidden="1"/>
    </xf>
    <xf numFmtId="0" fontId="2" fillId="10" borderId="24" xfId="0" applyFont="1" applyFill="1" applyBorder="1" applyAlignment="1" applyProtection="1">
      <protection hidden="1"/>
    </xf>
    <xf numFmtId="0" fontId="2" fillId="10" borderId="25" xfId="0" applyFont="1" applyFill="1" applyBorder="1" applyAlignment="1" applyProtection="1">
      <protection hidden="1"/>
    </xf>
    <xf numFmtId="1" fontId="2" fillId="10" borderId="18" xfId="0" applyNumberFormat="1" applyFont="1" applyFill="1" applyBorder="1" applyAlignment="1" applyProtection="1">
      <alignment horizontal="center" vertical="center" wrapText="1"/>
      <protection hidden="1"/>
    </xf>
    <xf numFmtId="1" fontId="2" fillId="10" borderId="23" xfId="0" applyNumberFormat="1" applyFont="1" applyFill="1" applyBorder="1" applyAlignment="1" applyProtection="1">
      <alignment horizontal="center" vertical="center" wrapText="1"/>
      <protection hidden="1"/>
    </xf>
    <xf numFmtId="1" fontId="2" fillId="10" borderId="27" xfId="0" applyNumberFormat="1" applyFont="1" applyFill="1" applyBorder="1" applyAlignment="1" applyProtection="1">
      <alignment horizontal="center" vertical="center" wrapText="1"/>
      <protection hidden="1"/>
    </xf>
    <xf numFmtId="1" fontId="2" fillId="10" borderId="33" xfId="0" applyNumberFormat="1" applyFont="1" applyFill="1" applyBorder="1" applyAlignment="1" applyProtection="1">
      <alignment horizontal="center" vertical="center" wrapText="1"/>
      <protection hidden="1"/>
    </xf>
    <xf numFmtId="2" fontId="2" fillId="10" borderId="28" xfId="0" applyNumberFormat="1" applyFont="1" applyFill="1" applyBorder="1" applyAlignment="1" applyProtection="1">
      <alignment horizontal="center" vertical="center" wrapText="1"/>
      <protection hidden="1"/>
    </xf>
    <xf numFmtId="2" fontId="2" fillId="10" borderId="34" xfId="0" applyNumberFormat="1" applyFont="1" applyFill="1" applyBorder="1" applyAlignment="1" applyProtection="1">
      <alignment horizontal="center" vertical="center" wrapText="1"/>
      <protection hidden="1"/>
    </xf>
    <xf numFmtId="0" fontId="2" fillId="0" borderId="17" xfId="2" applyFont="1" applyBorder="1" applyAlignment="1">
      <alignment horizontal="center"/>
    </xf>
    <xf numFmtId="0" fontId="2" fillId="0" borderId="14" xfId="2" applyFont="1" applyBorder="1" applyAlignment="1">
      <alignment horizontal="center"/>
    </xf>
    <xf numFmtId="0" fontId="6" fillId="0" borderId="1" xfId="2" applyFont="1" applyBorder="1" applyAlignment="1">
      <alignment horizontal="center"/>
    </xf>
    <xf numFmtId="1" fontId="5" fillId="3" borderId="1" xfId="1" applyNumberFormat="1" applyFont="1" applyFill="1" applyBorder="1" applyAlignment="1">
      <alignment horizontal="center" vertical="center"/>
    </xf>
  </cellXfs>
  <cellStyles count="5">
    <cellStyle name="Обычный" xfId="0" builtinId="0"/>
    <cellStyle name="Обычный 2" xfId="2"/>
    <cellStyle name="Процентный" xfId="3" builtinId="5"/>
    <cellStyle name="Процентный 2" xfId="4"/>
    <cellStyle name="Финансовый" xfId="1" builtinId="3"/>
  </cellStyles>
  <dxfs count="1">
    <dxf>
      <font>
        <condense val="0"/>
        <extend val="0"/>
        <color indexed="22"/>
      </font>
      <fill>
        <patternFill patternType="solid">
          <bgColor indexed="22"/>
        </patternFill>
      </fill>
      <border>
        <left/>
        <right/>
        <top/>
        <bottom/>
      </border>
    </dxf>
  </dxfs>
  <tableStyles count="0" defaultTableStyle="TableStyleMedium2" defaultPivotStyle="PivotStyleLight16"/>
  <colors>
    <mruColors>
      <color rgb="FF125D66"/>
      <color rgb="FF2F2481"/>
      <color rgb="FF507299"/>
      <color rgb="FF96256D"/>
      <color rgb="FFE8BABC"/>
      <color rgb="FF222E4D"/>
      <color rgb="FFEFE85C"/>
      <color rgb="FF206EB8"/>
      <color rgb="FF830A1F"/>
      <color rgb="FFFD7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view3D>
      <c:rotX val="5"/>
      <c:rotY val="0"/>
      <c:rAngAx val="0"/>
      <c:perspective val="0"/>
    </c:view3D>
    <c:floor>
      <c:thickness val="0"/>
    </c:floor>
    <c:sideWall>
      <c:thickness val="0"/>
      <c:spPr>
        <a:noFill/>
        <a:ln>
          <a:noFill/>
        </a:ln>
        <a:effectLst/>
      </c:spPr>
    </c:sideWall>
    <c:backWall>
      <c:thickness val="0"/>
      <c:spPr>
        <a:noFill/>
        <a:ln>
          <a:noFill/>
        </a:ln>
        <a:effectLst/>
      </c:spPr>
    </c:backWall>
    <c:plotArea>
      <c:layout>
        <c:manualLayout>
          <c:layoutTarget val="inner"/>
          <c:xMode val="edge"/>
          <c:yMode val="edge"/>
          <c:x val="3.7463809696873664E-2"/>
          <c:y val="5.230888981953595E-2"/>
          <c:w val="0.95431925470792311"/>
          <c:h val="0.84611265900849764"/>
        </c:manualLayout>
      </c:layout>
      <c:bar3DChart>
        <c:barDir val="col"/>
        <c:grouping val="clustered"/>
        <c:varyColors val="0"/>
        <c:ser>
          <c:idx val="1"/>
          <c:order val="0"/>
          <c:tx>
            <c:strRef>
              <c:f>Прибыль_окупаемость!$C$29</c:f>
              <c:strCache>
                <c:ptCount val="1"/>
                <c:pt idx="0">
                  <c:v>Денежный поток</c:v>
                </c:pt>
              </c:strCache>
            </c:strRef>
          </c:tx>
          <c:spPr>
            <a:solidFill>
              <a:srgbClr val="507299">
                <a:alpha val="89020"/>
              </a:srgbClr>
            </a:solidFill>
            <a:ln>
              <a:solidFill>
                <a:schemeClr val="bg1"/>
              </a:solidFill>
            </a:ln>
            <a:effectLst>
              <a:outerShdw blurRad="40000" dist="23000" dir="5400000" rotWithShape="0">
                <a:srgbClr val="000000">
                  <a:alpha val="35000"/>
                </a:srgbClr>
              </a:outerShdw>
            </a:effectLst>
            <a:scene3d>
              <a:camera prst="orthographicFront"/>
              <a:lightRig rig="balanced" dir="t"/>
            </a:scene3d>
            <a:sp3d prstMaterial="dkEdge">
              <a:contourClr>
                <a:srgbClr val="000000"/>
              </a:contourClr>
            </a:sp3d>
          </c:spPr>
          <c:invertIfNegative val="1"/>
          <c:dPt>
            <c:idx val="26"/>
            <c:invertIfNegative val="1"/>
            <c:bubble3D val="0"/>
            <c:extLst>
              <c:ext xmlns:c16="http://schemas.microsoft.com/office/drawing/2014/chart" uri="{C3380CC4-5D6E-409C-BE32-E72D297353CC}">
                <c16:uniqueId val="{00000000-DC3C-4C67-AD4D-26F961C4CE08}"/>
              </c:ext>
            </c:extLst>
          </c:dPt>
          <c:dPt>
            <c:idx val="27"/>
            <c:invertIfNegative val="1"/>
            <c:bubble3D val="0"/>
            <c:extLst>
              <c:ext xmlns:c16="http://schemas.microsoft.com/office/drawing/2014/chart" uri="{C3380CC4-5D6E-409C-BE32-E72D297353CC}">
                <c16:uniqueId val="{00000001-DC3C-4C67-AD4D-26F961C4CE08}"/>
              </c:ext>
            </c:extLst>
          </c:dPt>
          <c:dPt>
            <c:idx val="28"/>
            <c:invertIfNegative val="1"/>
            <c:bubble3D val="0"/>
            <c:extLst>
              <c:ext xmlns:c16="http://schemas.microsoft.com/office/drawing/2014/chart" uri="{C3380CC4-5D6E-409C-BE32-E72D297353CC}">
                <c16:uniqueId val="{00000002-DC3C-4C67-AD4D-26F961C4CE08}"/>
              </c:ext>
            </c:extLst>
          </c:dPt>
          <c:dPt>
            <c:idx val="29"/>
            <c:invertIfNegative val="1"/>
            <c:bubble3D val="0"/>
            <c:extLst>
              <c:ext xmlns:c16="http://schemas.microsoft.com/office/drawing/2014/chart" uri="{C3380CC4-5D6E-409C-BE32-E72D297353CC}">
                <c16:uniqueId val="{00000003-DC3C-4C67-AD4D-26F961C4CE08}"/>
              </c:ext>
            </c:extLst>
          </c:dPt>
          <c:dPt>
            <c:idx val="30"/>
            <c:invertIfNegative val="1"/>
            <c:bubble3D val="0"/>
            <c:extLst>
              <c:ext xmlns:c16="http://schemas.microsoft.com/office/drawing/2014/chart" uri="{C3380CC4-5D6E-409C-BE32-E72D297353CC}">
                <c16:uniqueId val="{00000004-DC3C-4C67-AD4D-26F961C4CE08}"/>
              </c:ext>
            </c:extLst>
          </c:dPt>
          <c:dPt>
            <c:idx val="31"/>
            <c:invertIfNegative val="1"/>
            <c:bubble3D val="0"/>
            <c:extLst>
              <c:ext xmlns:c16="http://schemas.microsoft.com/office/drawing/2014/chart" uri="{C3380CC4-5D6E-409C-BE32-E72D297353CC}">
                <c16:uniqueId val="{00000005-DC3C-4C67-AD4D-26F961C4CE08}"/>
              </c:ext>
            </c:extLst>
          </c:dPt>
          <c:dPt>
            <c:idx val="32"/>
            <c:invertIfNegative val="1"/>
            <c:bubble3D val="0"/>
            <c:extLst>
              <c:ext xmlns:c16="http://schemas.microsoft.com/office/drawing/2014/chart" uri="{C3380CC4-5D6E-409C-BE32-E72D297353CC}">
                <c16:uniqueId val="{00000006-DC3C-4C67-AD4D-26F961C4CE08}"/>
              </c:ext>
            </c:extLst>
          </c:dPt>
          <c:dPt>
            <c:idx val="33"/>
            <c:invertIfNegative val="1"/>
            <c:bubble3D val="0"/>
            <c:extLst>
              <c:ext xmlns:c16="http://schemas.microsoft.com/office/drawing/2014/chart" uri="{C3380CC4-5D6E-409C-BE32-E72D297353CC}">
                <c16:uniqueId val="{00000007-DC3C-4C67-AD4D-26F961C4CE08}"/>
              </c:ext>
            </c:extLst>
          </c:dPt>
          <c:dPt>
            <c:idx val="34"/>
            <c:invertIfNegative val="1"/>
            <c:bubble3D val="0"/>
            <c:extLst>
              <c:ext xmlns:c16="http://schemas.microsoft.com/office/drawing/2014/chart" uri="{C3380CC4-5D6E-409C-BE32-E72D297353CC}">
                <c16:uniqueId val="{00000008-DC3C-4C67-AD4D-26F961C4CE08}"/>
              </c:ext>
            </c:extLst>
          </c:dPt>
          <c:dPt>
            <c:idx val="35"/>
            <c:invertIfNegative val="1"/>
            <c:bubble3D val="0"/>
            <c:extLst>
              <c:ext xmlns:c16="http://schemas.microsoft.com/office/drawing/2014/chart" uri="{C3380CC4-5D6E-409C-BE32-E72D297353CC}">
                <c16:uniqueId val="{00000009-DC3C-4C67-AD4D-26F961C4CE08}"/>
              </c:ext>
            </c:extLst>
          </c:dPt>
          <c:dLbls>
            <c:delete val="1"/>
          </c:dLbls>
          <c:cat>
            <c:strRef>
              <c:f>Прибыль_окупаемость!$E$14:$AN$14</c:f>
              <c:strCache>
                <c:ptCount val="36"/>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pt idx="12">
                  <c:v>Январь</c:v>
                </c:pt>
                <c:pt idx="13">
                  <c:v>Февраль</c:v>
                </c:pt>
                <c:pt idx="14">
                  <c:v>Март</c:v>
                </c:pt>
                <c:pt idx="15">
                  <c:v>Апрель</c:v>
                </c:pt>
                <c:pt idx="16">
                  <c:v>Май</c:v>
                </c:pt>
                <c:pt idx="17">
                  <c:v>Июнь</c:v>
                </c:pt>
                <c:pt idx="18">
                  <c:v>Июль</c:v>
                </c:pt>
                <c:pt idx="19">
                  <c:v>Август</c:v>
                </c:pt>
                <c:pt idx="20">
                  <c:v>Сентябрь</c:v>
                </c:pt>
                <c:pt idx="21">
                  <c:v>Октябрь</c:v>
                </c:pt>
                <c:pt idx="22">
                  <c:v>Ноябрь</c:v>
                </c:pt>
                <c:pt idx="23">
                  <c:v>Декабрь</c:v>
                </c:pt>
                <c:pt idx="24">
                  <c:v>Январь</c:v>
                </c:pt>
                <c:pt idx="25">
                  <c:v>Февраль</c:v>
                </c:pt>
                <c:pt idx="26">
                  <c:v>Март</c:v>
                </c:pt>
                <c:pt idx="27">
                  <c:v>Апрель</c:v>
                </c:pt>
                <c:pt idx="28">
                  <c:v>Май</c:v>
                </c:pt>
                <c:pt idx="29">
                  <c:v>Июнь</c:v>
                </c:pt>
                <c:pt idx="30">
                  <c:v>Июль</c:v>
                </c:pt>
                <c:pt idx="31">
                  <c:v>Август</c:v>
                </c:pt>
                <c:pt idx="32">
                  <c:v>Сентябрь</c:v>
                </c:pt>
                <c:pt idx="33">
                  <c:v>Октябрь</c:v>
                </c:pt>
                <c:pt idx="34">
                  <c:v>Ноябрь</c:v>
                </c:pt>
                <c:pt idx="35">
                  <c:v>Декабрь</c:v>
                </c:pt>
              </c:strCache>
            </c:strRef>
          </c:cat>
          <c:val>
            <c:numRef>
              <c:f>Прибыль_окупаемость!$E$29:$AN$29</c:f>
              <c:numCache>
                <c:formatCode>_-* #\ ##0_р_._-;\-* #\ ##0_р_._-;_-* "-"??_р_._-;_-@_-</c:formatCode>
                <c:ptCount val="36"/>
                <c:pt idx="0">
                  <c:v>-1636716.62</c:v>
                </c:pt>
                <c:pt idx="1">
                  <c:v>-1564550.2200000002</c:v>
                </c:pt>
                <c:pt idx="2">
                  <c:v>-1520543.62</c:v>
                </c:pt>
                <c:pt idx="3">
                  <c:v>-1456591.62</c:v>
                </c:pt>
                <c:pt idx="4">
                  <c:v>-1377369.32</c:v>
                </c:pt>
                <c:pt idx="5">
                  <c:v>-1274429.32</c:v>
                </c:pt>
                <c:pt idx="6">
                  <c:v>-1164991.32</c:v>
                </c:pt>
                <c:pt idx="7">
                  <c:v>-1055553.32</c:v>
                </c:pt>
                <c:pt idx="8">
                  <c:v>-991601.32000000007</c:v>
                </c:pt>
                <c:pt idx="9">
                  <c:v>-932522.82000000007</c:v>
                </c:pt>
                <c:pt idx="10">
                  <c:v>-878317.82000000007</c:v>
                </c:pt>
                <c:pt idx="11">
                  <c:v>-819239.32000000007</c:v>
                </c:pt>
                <c:pt idx="12">
                  <c:v>-790376.52</c:v>
                </c:pt>
                <c:pt idx="13">
                  <c:v>-773210.12</c:v>
                </c:pt>
                <c:pt idx="14">
                  <c:v>-1430199.12</c:v>
                </c:pt>
                <c:pt idx="15">
                  <c:v>-1262279.1200000001</c:v>
                </c:pt>
                <c:pt idx="16">
                  <c:v>-1068908.6200000001</c:v>
                </c:pt>
                <c:pt idx="17">
                  <c:v>-836008.62000000011</c:v>
                </c:pt>
                <c:pt idx="18">
                  <c:v>-592278.62000000011</c:v>
                </c:pt>
                <c:pt idx="19">
                  <c:v>-348548.62000000011</c:v>
                </c:pt>
                <c:pt idx="20">
                  <c:v>-180628.62000000011</c:v>
                </c:pt>
                <c:pt idx="21">
                  <c:v>-20831.120000000112</c:v>
                </c:pt>
                <c:pt idx="22">
                  <c:v>130843.87999999989</c:v>
                </c:pt>
                <c:pt idx="23">
                  <c:v>290641.37999999989</c:v>
                </c:pt>
                <c:pt idx="24">
                  <c:v>400079.37999999989</c:v>
                </c:pt>
                <c:pt idx="25">
                  <c:v>490023.37999999989</c:v>
                </c:pt>
                <c:pt idx="26">
                  <c:v>633034.37999999989</c:v>
                </c:pt>
                <c:pt idx="27">
                  <c:v>800954.37999999989</c:v>
                </c:pt>
                <c:pt idx="28">
                  <c:v>994324.87999999989</c:v>
                </c:pt>
                <c:pt idx="29">
                  <c:v>557184.87999999989</c:v>
                </c:pt>
                <c:pt idx="30">
                  <c:v>935206.87999999989</c:v>
                </c:pt>
                <c:pt idx="31">
                  <c:v>1313228.8799999999</c:v>
                </c:pt>
                <c:pt idx="32">
                  <c:v>1585116.88</c:v>
                </c:pt>
                <c:pt idx="33">
                  <c:v>1845633.38</c:v>
                </c:pt>
                <c:pt idx="34">
                  <c:v>2094778.38</c:v>
                </c:pt>
                <c:pt idx="35">
                  <c:v>2355294.88</c:v>
                </c:pt>
              </c:numCache>
            </c:numRef>
          </c:val>
          <c:extLst>
            <c:ext xmlns:c14="http://schemas.microsoft.com/office/drawing/2007/8/2/chart" uri="{6F2FDCE9-48DA-4B69-8628-5D25D57E5C99}">
              <c14:invertSolidFillFmt>
                <c14:spPr xmlns:c14="http://schemas.microsoft.com/office/drawing/2007/8/2/chart">
                  <a:solidFill>
                    <a:srgbClr val="FF0000"/>
                  </a:solidFill>
                  <a:ln>
                    <a:solidFill>
                      <a:schemeClr val="bg1"/>
                    </a:solidFill>
                  </a:ln>
                  <a:effectLst>
                    <a:outerShdw blurRad="40000" dist="23000" dir="5400000" rotWithShape="0">
                      <a:srgbClr val="000000">
                        <a:alpha val="35000"/>
                      </a:srgbClr>
                    </a:outerShdw>
                  </a:effectLst>
                  <a:scene3d>
                    <a:camera prst="orthographicFront"/>
                    <a:lightRig rig="balanced" dir="t"/>
                  </a:scene3d>
                  <a:sp3d prstMaterial="dkEdge">
                    <a:contourClr>
                      <a:srgbClr val="000000"/>
                    </a:contourClr>
                  </a:sp3d>
                </c14:spPr>
              </c14:invertSolidFillFmt>
            </c:ext>
            <c:ext xmlns:c16="http://schemas.microsoft.com/office/drawing/2014/chart" uri="{C3380CC4-5D6E-409C-BE32-E72D297353CC}">
              <c16:uniqueId val="{0000001D-5D9E-4F91-88A4-8839C9CA6824}"/>
            </c:ext>
          </c:extLst>
        </c:ser>
        <c:dLbls>
          <c:showLegendKey val="0"/>
          <c:showVal val="1"/>
          <c:showCatName val="0"/>
          <c:showSerName val="0"/>
          <c:showPercent val="0"/>
          <c:showBubbleSize val="0"/>
        </c:dLbls>
        <c:gapWidth val="50"/>
        <c:gapDepth val="50"/>
        <c:shape val="cylinder"/>
        <c:axId val="84136960"/>
        <c:axId val="208672384"/>
        <c:axId val="0"/>
      </c:bar3DChart>
      <c:catAx>
        <c:axId val="84136960"/>
        <c:scaling>
          <c:orientation val="minMax"/>
        </c:scaling>
        <c:delete val="1"/>
        <c:axPos val="b"/>
        <c:majorGridlines>
          <c:spPr>
            <a:ln>
              <a:solidFill>
                <a:schemeClr val="bg1">
                  <a:lumMod val="85000"/>
                </a:schemeClr>
              </a:solidFill>
            </a:ln>
          </c:spPr>
        </c:majorGridlines>
        <c:numFmt formatCode="General" sourceLinked="1"/>
        <c:majorTickMark val="out"/>
        <c:minorTickMark val="out"/>
        <c:tickLblPos val="low"/>
        <c:crossAx val="208672384"/>
        <c:crosses val="autoZero"/>
        <c:auto val="0"/>
        <c:lblAlgn val="ctr"/>
        <c:lblOffset val="10"/>
        <c:tickLblSkip val="1"/>
        <c:noMultiLvlLbl val="0"/>
      </c:catAx>
      <c:valAx>
        <c:axId val="208672384"/>
        <c:scaling>
          <c:orientation val="minMax"/>
        </c:scaling>
        <c:delete val="0"/>
        <c:axPos val="l"/>
        <c:majorGridlines>
          <c:spPr>
            <a:ln w="9525" cap="flat" cmpd="sng" algn="ctr">
              <a:solidFill>
                <a:schemeClr val="bg1">
                  <a:lumMod val="85000"/>
                </a:schemeClr>
              </a:solidFill>
              <a:round/>
            </a:ln>
            <a:effectLst/>
          </c:spPr>
        </c:majorGridlines>
        <c:title>
          <c:tx>
            <c:rich>
              <a:bodyPr rot="-5400000" vert="horz"/>
              <a:lstStyle/>
              <a:p>
                <a:pPr>
                  <a:defRPr b="0"/>
                </a:pPr>
                <a:r>
                  <a:rPr lang="ru-RU" b="0"/>
                  <a:t>рублей</a:t>
                </a:r>
              </a:p>
            </c:rich>
          </c:tx>
          <c:overlay val="0"/>
          <c:spPr>
            <a:noFill/>
            <a:ln>
              <a:noFill/>
            </a:ln>
            <a:effectLst/>
          </c:spPr>
        </c:title>
        <c:numFmt formatCode="_-* #\ ##0_р_._-;\-* #\ ##0_р_._-;_-* &quot;-&quot;??_р_._-;_-@_-" sourceLinked="1"/>
        <c:majorTickMark val="out"/>
        <c:minorTickMark val="none"/>
        <c:tickLblPos val="nextTo"/>
        <c:spPr>
          <a:noFill/>
          <a:ln>
            <a:noFill/>
          </a:ln>
          <a:effectLst/>
        </c:spPr>
        <c:txPr>
          <a:bodyPr rot="-60000000" vert="horz"/>
          <a:lstStyle/>
          <a:p>
            <a:pPr>
              <a:defRPr/>
            </a:pPr>
            <a:endParaRPr lang="ru-RU"/>
          </a:p>
        </c:txPr>
        <c:crossAx val="84136960"/>
        <c:crosses val="autoZero"/>
        <c:crossBetween val="between"/>
      </c:valAx>
      <c:dTable>
        <c:showHorzBorder val="1"/>
        <c:showVertBorder val="1"/>
        <c:showOutline val="1"/>
        <c:showKeys val="0"/>
      </c:dTable>
    </c:plotArea>
    <c:plotVisOnly val="1"/>
    <c:dispBlanksAs val="gap"/>
    <c:showDLblsOverMax val="0"/>
  </c:chart>
  <c:spPr>
    <a:gradFill flip="none" rotWithShape="1">
      <a:gsLst>
        <a:gs pos="0">
          <a:schemeClr val="bg1">
            <a:lumMod val="95000"/>
          </a:schemeClr>
        </a:gs>
        <a:gs pos="100000">
          <a:schemeClr val="bg1">
            <a:lumMod val="95000"/>
          </a:schemeClr>
        </a:gs>
      </a:gsLst>
      <a:path path="circle">
        <a:fillToRect l="50000" t="50000" r="50000" b="50000"/>
      </a:path>
      <a:tileRect/>
    </a:gradFill>
    <a:ln>
      <a:solidFill>
        <a:schemeClr val="bg1">
          <a:lumMod val="65000"/>
        </a:schemeClr>
      </a:solidFill>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000000000000144" l="0.70000000000000062" r="0.70000000000000062" t="0.75000000000000144" header="0.30000000000000032" footer="0.30000000000000032"/>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Изменение</a:t>
            </a:r>
            <a:r>
              <a:rPr lang="ru-RU" baseline="0"/>
              <a:t> выручки</a:t>
            </a:r>
            <a:endParaRPr lang="ru-RU"/>
          </a:p>
        </c:rich>
      </c:tx>
      <c:overlay val="0"/>
      <c:spPr>
        <a:noFill/>
        <a:ln>
          <a:noFill/>
        </a:ln>
        <a:effectLst/>
      </c:spPr>
    </c:title>
    <c:autoTitleDeleted val="0"/>
    <c:plotArea>
      <c:layout/>
      <c:lineChart>
        <c:grouping val="standard"/>
        <c:varyColors val="0"/>
        <c:ser>
          <c:idx val="0"/>
          <c:order val="0"/>
          <c:tx>
            <c:v>Выручка</c:v>
          </c:tx>
          <c:spPr>
            <a:ln w="28575" cap="rnd">
              <a:solidFill>
                <a:schemeClr val="accent1"/>
              </a:solidFill>
              <a:round/>
            </a:ln>
            <a:effectLst/>
          </c:spPr>
          <c:marker>
            <c:symbol val="none"/>
          </c:marker>
          <c:cat>
            <c:numRef>
              <c:f>Лист1!$Q$101:$Y$101</c:f>
              <c:numCache>
                <c:formatCode>0%</c:formatCode>
                <c:ptCount val="9"/>
                <c:pt idx="0">
                  <c:v>0.2</c:v>
                </c:pt>
                <c:pt idx="1">
                  <c:v>0.4</c:v>
                </c:pt>
                <c:pt idx="2">
                  <c:v>0.6</c:v>
                </c:pt>
                <c:pt idx="3">
                  <c:v>0.8</c:v>
                </c:pt>
                <c:pt idx="4">
                  <c:v>1</c:v>
                </c:pt>
                <c:pt idx="5">
                  <c:v>1.2</c:v>
                </c:pt>
                <c:pt idx="6">
                  <c:v>1.4</c:v>
                </c:pt>
                <c:pt idx="7">
                  <c:v>1.6</c:v>
                </c:pt>
                <c:pt idx="8">
                  <c:v>1.8</c:v>
                </c:pt>
              </c:numCache>
            </c:numRef>
          </c:cat>
          <c:val>
            <c:numRef>
              <c:f>Лист1!$Q$102:$Y$102</c:f>
              <c:numCache>
                <c:formatCode>#,##0</c:formatCode>
                <c:ptCount val="9"/>
                <c:pt idx="0">
                  <c:v>1776574.8600000003</c:v>
                </c:pt>
                <c:pt idx="1">
                  <c:v>3553149.7200000007</c:v>
                </c:pt>
                <c:pt idx="2">
                  <c:v>5329724.58</c:v>
                </c:pt>
                <c:pt idx="3">
                  <c:v>7106299.4400000013</c:v>
                </c:pt>
                <c:pt idx="4">
                  <c:v>8882874.3000000007</c:v>
                </c:pt>
                <c:pt idx="5">
                  <c:v>10659449.16</c:v>
                </c:pt>
                <c:pt idx="6">
                  <c:v>12436024.02</c:v>
                </c:pt>
                <c:pt idx="7">
                  <c:v>14212598.880000003</c:v>
                </c:pt>
                <c:pt idx="8">
                  <c:v>15989173.740000002</c:v>
                </c:pt>
              </c:numCache>
            </c:numRef>
          </c:val>
          <c:smooth val="0"/>
          <c:extLst>
            <c:ext xmlns:c16="http://schemas.microsoft.com/office/drawing/2014/chart" uri="{C3380CC4-5D6E-409C-BE32-E72D297353CC}">
              <c16:uniqueId val="{00000000-F413-4269-85C7-8C5365D84CE5}"/>
            </c:ext>
          </c:extLst>
        </c:ser>
        <c:ser>
          <c:idx val="1"/>
          <c:order val="1"/>
          <c:tx>
            <c:v>Затраты</c:v>
          </c:tx>
          <c:spPr>
            <a:ln w="28575" cap="rnd">
              <a:solidFill>
                <a:schemeClr val="accent2"/>
              </a:solidFill>
              <a:round/>
            </a:ln>
            <a:effectLst/>
          </c:spPr>
          <c:marker>
            <c:symbol val="none"/>
          </c:marker>
          <c:cat>
            <c:numRef>
              <c:f>Лист1!$Q$101:$Y$101</c:f>
              <c:numCache>
                <c:formatCode>0%</c:formatCode>
                <c:ptCount val="9"/>
                <c:pt idx="0">
                  <c:v>0.2</c:v>
                </c:pt>
                <c:pt idx="1">
                  <c:v>0.4</c:v>
                </c:pt>
                <c:pt idx="2">
                  <c:v>0.6</c:v>
                </c:pt>
                <c:pt idx="3">
                  <c:v>0.8</c:v>
                </c:pt>
                <c:pt idx="4">
                  <c:v>1</c:v>
                </c:pt>
                <c:pt idx="5">
                  <c:v>1.2</c:v>
                </c:pt>
                <c:pt idx="6">
                  <c:v>1.4</c:v>
                </c:pt>
                <c:pt idx="7">
                  <c:v>1.6</c:v>
                </c:pt>
                <c:pt idx="8">
                  <c:v>1.8</c:v>
                </c:pt>
              </c:numCache>
            </c:numRef>
          </c:cat>
          <c:val>
            <c:numRef>
              <c:f>Лист1!$Q$104:$Y$104</c:f>
              <c:numCache>
                <c:formatCode>General</c:formatCode>
                <c:ptCount val="9"/>
                <c:pt idx="0">
                  <c:v>1826660</c:v>
                </c:pt>
                <c:pt idx="1">
                  <c:v>2403500</c:v>
                </c:pt>
                <c:pt idx="2">
                  <c:v>3124550</c:v>
                </c:pt>
                <c:pt idx="3">
                  <c:v>3893670.0000000005</c:v>
                </c:pt>
                <c:pt idx="4">
                  <c:v>4807000</c:v>
                </c:pt>
                <c:pt idx="5">
                  <c:v>5768400</c:v>
                </c:pt>
                <c:pt idx="6">
                  <c:v>6970150</c:v>
                </c:pt>
                <c:pt idx="7">
                  <c:v>8171900</c:v>
                </c:pt>
                <c:pt idx="8">
                  <c:v>9614000</c:v>
                </c:pt>
              </c:numCache>
            </c:numRef>
          </c:val>
          <c:smooth val="1"/>
          <c:extLst>
            <c:ext xmlns:c16="http://schemas.microsoft.com/office/drawing/2014/chart" uri="{C3380CC4-5D6E-409C-BE32-E72D297353CC}">
              <c16:uniqueId val="{00000001-F413-4269-85C7-8C5365D84CE5}"/>
            </c:ext>
          </c:extLst>
        </c:ser>
        <c:ser>
          <c:idx val="2"/>
          <c:order val="2"/>
          <c:tx>
            <c:v>NPV</c:v>
          </c:tx>
          <c:spPr>
            <a:ln w="28575" cap="rnd">
              <a:solidFill>
                <a:schemeClr val="accent3"/>
              </a:solidFill>
              <a:round/>
            </a:ln>
            <a:effectLst/>
          </c:spPr>
          <c:marker>
            <c:symbol val="none"/>
          </c:marker>
          <c:cat>
            <c:numRef>
              <c:f>Лист1!$Q$101:$Y$101</c:f>
              <c:numCache>
                <c:formatCode>0%</c:formatCode>
                <c:ptCount val="9"/>
                <c:pt idx="0">
                  <c:v>0.2</c:v>
                </c:pt>
                <c:pt idx="1">
                  <c:v>0.4</c:v>
                </c:pt>
                <c:pt idx="2">
                  <c:v>0.6</c:v>
                </c:pt>
                <c:pt idx="3">
                  <c:v>0.8</c:v>
                </c:pt>
                <c:pt idx="4">
                  <c:v>1</c:v>
                </c:pt>
                <c:pt idx="5">
                  <c:v>1.2</c:v>
                </c:pt>
                <c:pt idx="6">
                  <c:v>1.4</c:v>
                </c:pt>
                <c:pt idx="7">
                  <c:v>1.6</c:v>
                </c:pt>
                <c:pt idx="8">
                  <c:v>1.8</c:v>
                </c:pt>
              </c:numCache>
            </c:numRef>
          </c:cat>
          <c:val>
            <c:numRef>
              <c:f>Лист1!$Q$106:$Y$106</c:f>
              <c:numCache>
                <c:formatCode>General</c:formatCode>
                <c:ptCount val="9"/>
                <c:pt idx="0">
                  <c:v>316578.14873116737</c:v>
                </c:pt>
                <c:pt idx="1">
                  <c:v>633156.29746233474</c:v>
                </c:pt>
                <c:pt idx="2">
                  <c:v>997221.16850317712</c:v>
                </c:pt>
                <c:pt idx="3">
                  <c:v>1361286.0395440196</c:v>
                </c:pt>
                <c:pt idx="4">
                  <c:v>1582890.7436558367</c:v>
                </c:pt>
                <c:pt idx="5">
                  <c:v>1820324.355204212</c:v>
                </c:pt>
                <c:pt idx="6">
                  <c:v>1899468.8923870039</c:v>
                </c:pt>
                <c:pt idx="7">
                  <c:v>1978613.4295697957</c:v>
                </c:pt>
                <c:pt idx="8">
                  <c:v>1994442.3370063542</c:v>
                </c:pt>
              </c:numCache>
            </c:numRef>
          </c:val>
          <c:smooth val="1"/>
          <c:extLst>
            <c:ext xmlns:c16="http://schemas.microsoft.com/office/drawing/2014/chart" uri="{C3380CC4-5D6E-409C-BE32-E72D297353CC}">
              <c16:uniqueId val="{00000002-F413-4269-85C7-8C5365D84CE5}"/>
            </c:ext>
          </c:extLst>
        </c:ser>
        <c:dLbls>
          <c:showLegendKey val="0"/>
          <c:showVal val="0"/>
          <c:showCatName val="0"/>
          <c:showSerName val="0"/>
          <c:showPercent val="0"/>
          <c:showBubbleSize val="0"/>
        </c:dLbls>
        <c:smooth val="0"/>
        <c:axId val="43301376"/>
        <c:axId val="209010688"/>
      </c:lineChart>
      <c:catAx>
        <c:axId val="43301376"/>
        <c:scaling>
          <c:orientation val="minMax"/>
        </c:scaling>
        <c:delete val="0"/>
        <c:axPos val="b"/>
        <c:title>
          <c:tx>
            <c:rich>
              <a:bodyPr/>
              <a:lstStyle/>
              <a:p>
                <a:pPr>
                  <a:defRPr/>
                </a:pPr>
                <a:r>
                  <a:rPr lang="ru-RU"/>
                  <a:t>Процентное изменени выручки</a:t>
                </a:r>
              </a:p>
            </c:rich>
          </c:tx>
          <c:overlay val="0"/>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9010688"/>
        <c:crosses val="autoZero"/>
        <c:auto val="1"/>
        <c:lblAlgn val="ctr"/>
        <c:lblOffset val="100"/>
        <c:noMultiLvlLbl val="0"/>
      </c:catAx>
      <c:valAx>
        <c:axId val="209010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301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view3D>
      <c:rotX val="5"/>
      <c:rotY val="0"/>
      <c:rAngAx val="0"/>
      <c:perspective val="0"/>
    </c:view3D>
    <c:floor>
      <c:thickness val="0"/>
    </c:floor>
    <c:sideWall>
      <c:thickness val="0"/>
      <c:spPr>
        <a:noFill/>
        <a:ln>
          <a:noFill/>
        </a:ln>
        <a:effectLst/>
      </c:spPr>
    </c:sideWall>
    <c:backWall>
      <c:thickness val="0"/>
      <c:spPr>
        <a:noFill/>
        <a:ln>
          <a:noFill/>
        </a:ln>
        <a:effectLst/>
      </c:spPr>
    </c:backWall>
    <c:plotArea>
      <c:layout>
        <c:manualLayout>
          <c:layoutTarget val="inner"/>
          <c:xMode val="edge"/>
          <c:yMode val="edge"/>
          <c:x val="3.7463809696873664E-2"/>
          <c:y val="5.230888981953595E-2"/>
          <c:w val="0.95431925470792311"/>
          <c:h val="0.84611265900849764"/>
        </c:manualLayout>
      </c:layout>
      <c:bar3DChart>
        <c:barDir val="col"/>
        <c:grouping val="clustered"/>
        <c:varyColors val="0"/>
        <c:ser>
          <c:idx val="1"/>
          <c:order val="0"/>
          <c:tx>
            <c:strRef>
              <c:f>Прибыль_окупаемость!$C$25</c:f>
              <c:strCache>
                <c:ptCount val="1"/>
                <c:pt idx="0">
                  <c:v>Прибыль до налогообложения</c:v>
                </c:pt>
              </c:strCache>
            </c:strRef>
          </c:tx>
          <c:spPr>
            <a:solidFill>
              <a:srgbClr val="507299"/>
            </a:solidFill>
            <a:ln>
              <a:solidFill>
                <a:schemeClr val="bg1"/>
              </a:solidFill>
            </a:ln>
            <a:effectLst>
              <a:outerShdw blurRad="40000" dist="23000" dir="5400000" rotWithShape="0">
                <a:srgbClr val="000000">
                  <a:alpha val="35000"/>
                </a:srgbClr>
              </a:outerShdw>
            </a:effectLst>
            <a:scene3d>
              <a:camera prst="orthographicFront"/>
              <a:lightRig rig="balanced" dir="t"/>
            </a:scene3d>
            <a:sp3d prstMaterial="dkEdge">
              <a:contourClr>
                <a:srgbClr val="000000"/>
              </a:contourClr>
            </a:sp3d>
          </c:spPr>
          <c:invertIfNegative val="1"/>
          <c:dLbls>
            <c:delete val="1"/>
          </c:dLbls>
          <c:cat>
            <c:strRef>
              <c:f>Прибыль_окупаемость!$E$14:$AN$14</c:f>
              <c:strCache>
                <c:ptCount val="36"/>
                <c:pt idx="0">
                  <c:v>Январь</c:v>
                </c:pt>
                <c:pt idx="1">
                  <c:v>Февраль</c:v>
                </c:pt>
                <c:pt idx="2">
                  <c:v>Март</c:v>
                </c:pt>
                <c:pt idx="3">
                  <c:v>Апрель</c:v>
                </c:pt>
                <c:pt idx="4">
                  <c:v>Май</c:v>
                </c:pt>
                <c:pt idx="5">
                  <c:v>Июнь</c:v>
                </c:pt>
                <c:pt idx="6">
                  <c:v>Июль</c:v>
                </c:pt>
                <c:pt idx="7">
                  <c:v>Август</c:v>
                </c:pt>
                <c:pt idx="8">
                  <c:v>Сентябрь</c:v>
                </c:pt>
                <c:pt idx="9">
                  <c:v>Октябрь</c:v>
                </c:pt>
                <c:pt idx="10">
                  <c:v>Ноябрь</c:v>
                </c:pt>
                <c:pt idx="11">
                  <c:v>Декабрь</c:v>
                </c:pt>
                <c:pt idx="12">
                  <c:v>Январь</c:v>
                </c:pt>
                <c:pt idx="13">
                  <c:v>Февраль</c:v>
                </c:pt>
                <c:pt idx="14">
                  <c:v>Март</c:v>
                </c:pt>
                <c:pt idx="15">
                  <c:v>Апрель</c:v>
                </c:pt>
                <c:pt idx="16">
                  <c:v>Май</c:v>
                </c:pt>
                <c:pt idx="17">
                  <c:v>Июнь</c:v>
                </c:pt>
                <c:pt idx="18">
                  <c:v>Июль</c:v>
                </c:pt>
                <c:pt idx="19">
                  <c:v>Август</c:v>
                </c:pt>
                <c:pt idx="20">
                  <c:v>Сентябрь</c:v>
                </c:pt>
                <c:pt idx="21">
                  <c:v>Октябрь</c:v>
                </c:pt>
                <c:pt idx="22">
                  <c:v>Ноябрь</c:v>
                </c:pt>
                <c:pt idx="23">
                  <c:v>Декабрь</c:v>
                </c:pt>
                <c:pt idx="24">
                  <c:v>Январь</c:v>
                </c:pt>
                <c:pt idx="25">
                  <c:v>Февраль</c:v>
                </c:pt>
                <c:pt idx="26">
                  <c:v>Март</c:v>
                </c:pt>
                <c:pt idx="27">
                  <c:v>Апрель</c:v>
                </c:pt>
                <c:pt idx="28">
                  <c:v>Май</c:v>
                </c:pt>
                <c:pt idx="29">
                  <c:v>Июнь</c:v>
                </c:pt>
                <c:pt idx="30">
                  <c:v>Июль</c:v>
                </c:pt>
                <c:pt idx="31">
                  <c:v>Август</c:v>
                </c:pt>
                <c:pt idx="32">
                  <c:v>Сентябрь</c:v>
                </c:pt>
                <c:pt idx="33">
                  <c:v>Октябрь</c:v>
                </c:pt>
                <c:pt idx="34">
                  <c:v>Ноябрь</c:v>
                </c:pt>
                <c:pt idx="35">
                  <c:v>Декабрь</c:v>
                </c:pt>
              </c:strCache>
            </c:strRef>
          </c:cat>
          <c:val>
            <c:numRef>
              <c:f>Прибыль_окупаемость!$E$25:$AN$25</c:f>
              <c:numCache>
                <c:formatCode>_-* #\ ##0_р_._-;\-* #\ ##0_р_._-;_-* "-"??_р_._-;_-@_-</c:formatCode>
                <c:ptCount val="36"/>
                <c:pt idx="0">
                  <c:v>83862.8</c:v>
                </c:pt>
                <c:pt idx="1">
                  <c:v>72166.399999999994</c:v>
                </c:pt>
                <c:pt idx="2">
                  <c:v>44006.599999999977</c:v>
                </c:pt>
                <c:pt idx="3">
                  <c:v>63952</c:v>
                </c:pt>
                <c:pt idx="4">
                  <c:v>79222.299999999988</c:v>
                </c:pt>
                <c:pt idx="5">
                  <c:v>102940</c:v>
                </c:pt>
                <c:pt idx="6">
                  <c:v>109438</c:v>
                </c:pt>
                <c:pt idx="7">
                  <c:v>109438</c:v>
                </c:pt>
                <c:pt idx="8">
                  <c:v>63952</c:v>
                </c:pt>
                <c:pt idx="9">
                  <c:v>59078.5</c:v>
                </c:pt>
                <c:pt idx="10">
                  <c:v>54205</c:v>
                </c:pt>
                <c:pt idx="11">
                  <c:v>59078.5</c:v>
                </c:pt>
                <c:pt idx="12">
                  <c:v>28862.800000000003</c:v>
                </c:pt>
                <c:pt idx="13">
                  <c:v>17166.399999999994</c:v>
                </c:pt>
                <c:pt idx="14">
                  <c:v>-656989</c:v>
                </c:pt>
                <c:pt idx="15">
                  <c:v>167920</c:v>
                </c:pt>
                <c:pt idx="16">
                  <c:v>193370.5</c:v>
                </c:pt>
                <c:pt idx="17">
                  <c:v>232900</c:v>
                </c:pt>
                <c:pt idx="18">
                  <c:v>243730</c:v>
                </c:pt>
                <c:pt idx="19">
                  <c:v>243730</c:v>
                </c:pt>
                <c:pt idx="20">
                  <c:v>167920</c:v>
                </c:pt>
                <c:pt idx="21">
                  <c:v>159797.5</c:v>
                </c:pt>
                <c:pt idx="22">
                  <c:v>151675</c:v>
                </c:pt>
                <c:pt idx="23">
                  <c:v>159797.5</c:v>
                </c:pt>
                <c:pt idx="24">
                  <c:v>109438</c:v>
                </c:pt>
                <c:pt idx="25">
                  <c:v>89944</c:v>
                </c:pt>
                <c:pt idx="26">
                  <c:v>143011</c:v>
                </c:pt>
                <c:pt idx="27">
                  <c:v>167920</c:v>
                </c:pt>
                <c:pt idx="28">
                  <c:v>193370.5</c:v>
                </c:pt>
                <c:pt idx="29">
                  <c:v>-437140</c:v>
                </c:pt>
                <c:pt idx="30">
                  <c:v>378022</c:v>
                </c:pt>
                <c:pt idx="31">
                  <c:v>378022</c:v>
                </c:pt>
                <c:pt idx="32">
                  <c:v>271888</c:v>
                </c:pt>
                <c:pt idx="33">
                  <c:v>260516.5</c:v>
                </c:pt>
                <c:pt idx="34">
                  <c:v>249145</c:v>
                </c:pt>
                <c:pt idx="35">
                  <c:v>260516.5</c:v>
                </c:pt>
              </c:numCache>
            </c:numRef>
          </c:val>
          <c:extLst>
            <c:ext xmlns:c14="http://schemas.microsoft.com/office/drawing/2007/8/2/chart" uri="{6F2FDCE9-48DA-4B69-8628-5D25D57E5C99}">
              <c14:invertSolidFillFmt>
                <c14:spPr xmlns:c14="http://schemas.microsoft.com/office/drawing/2007/8/2/chart">
                  <a:solidFill>
                    <a:srgbClr val="FF0000"/>
                  </a:solidFill>
                  <a:ln>
                    <a:solidFill>
                      <a:schemeClr val="bg1"/>
                    </a:solidFill>
                  </a:ln>
                  <a:effectLst>
                    <a:outerShdw blurRad="40000" dist="23000" dir="5400000" rotWithShape="0">
                      <a:srgbClr val="000000">
                        <a:alpha val="35000"/>
                      </a:srgbClr>
                    </a:outerShdw>
                  </a:effectLst>
                  <a:scene3d>
                    <a:camera prst="orthographicFront"/>
                    <a:lightRig rig="balanced" dir="t"/>
                  </a:scene3d>
                  <a:sp3d prstMaterial="dkEdge">
                    <a:contourClr>
                      <a:srgbClr val="000000"/>
                    </a:contourClr>
                  </a:sp3d>
                </c14:spPr>
              </c14:invertSolidFillFmt>
            </c:ext>
            <c:ext xmlns:c16="http://schemas.microsoft.com/office/drawing/2014/chart" uri="{C3380CC4-5D6E-409C-BE32-E72D297353CC}">
              <c16:uniqueId val="{0000001D-5D9E-4F91-88A4-8839C9CA6824}"/>
            </c:ext>
          </c:extLst>
        </c:ser>
        <c:dLbls>
          <c:showLegendKey val="0"/>
          <c:showVal val="1"/>
          <c:showCatName val="0"/>
          <c:showSerName val="0"/>
          <c:showPercent val="0"/>
          <c:showBubbleSize val="0"/>
        </c:dLbls>
        <c:gapWidth val="50"/>
        <c:gapDepth val="50"/>
        <c:shape val="cylinder"/>
        <c:axId val="42434048"/>
        <c:axId val="208674112"/>
        <c:axId val="0"/>
      </c:bar3DChart>
      <c:catAx>
        <c:axId val="42434048"/>
        <c:scaling>
          <c:orientation val="minMax"/>
        </c:scaling>
        <c:delete val="1"/>
        <c:axPos val="b"/>
        <c:majorGridlines>
          <c:spPr>
            <a:ln>
              <a:solidFill>
                <a:schemeClr val="bg1">
                  <a:lumMod val="85000"/>
                </a:schemeClr>
              </a:solidFill>
            </a:ln>
          </c:spPr>
        </c:majorGridlines>
        <c:numFmt formatCode="General" sourceLinked="1"/>
        <c:majorTickMark val="out"/>
        <c:minorTickMark val="out"/>
        <c:tickLblPos val="low"/>
        <c:crossAx val="208674112"/>
        <c:crosses val="autoZero"/>
        <c:auto val="0"/>
        <c:lblAlgn val="ctr"/>
        <c:lblOffset val="10"/>
        <c:tickLblSkip val="1"/>
        <c:noMultiLvlLbl val="0"/>
      </c:catAx>
      <c:valAx>
        <c:axId val="208674112"/>
        <c:scaling>
          <c:orientation val="minMax"/>
        </c:scaling>
        <c:delete val="0"/>
        <c:axPos val="l"/>
        <c:majorGridlines>
          <c:spPr>
            <a:ln w="9525" cap="flat" cmpd="sng" algn="ctr">
              <a:solidFill>
                <a:schemeClr val="bg1">
                  <a:lumMod val="85000"/>
                </a:schemeClr>
              </a:solidFill>
              <a:round/>
            </a:ln>
            <a:effectLst/>
          </c:spPr>
        </c:majorGridlines>
        <c:title>
          <c:tx>
            <c:rich>
              <a:bodyPr rot="-5400000" vert="horz"/>
              <a:lstStyle/>
              <a:p>
                <a:pPr>
                  <a:defRPr b="0"/>
                </a:pPr>
                <a:r>
                  <a:rPr lang="ru-RU" b="0"/>
                  <a:t>рублей</a:t>
                </a:r>
              </a:p>
            </c:rich>
          </c:tx>
          <c:layout/>
          <c:overlay val="0"/>
          <c:spPr>
            <a:noFill/>
            <a:ln>
              <a:noFill/>
            </a:ln>
            <a:effectLst/>
          </c:spPr>
        </c:title>
        <c:numFmt formatCode="_-* #\ ##0_р_._-;\-* #\ ##0_р_._-;_-* &quot;-&quot;??_р_._-;_-@_-" sourceLinked="1"/>
        <c:majorTickMark val="out"/>
        <c:minorTickMark val="none"/>
        <c:tickLblPos val="nextTo"/>
        <c:spPr>
          <a:noFill/>
          <a:ln>
            <a:noFill/>
          </a:ln>
          <a:effectLst/>
        </c:spPr>
        <c:txPr>
          <a:bodyPr rot="-60000000" vert="horz"/>
          <a:lstStyle/>
          <a:p>
            <a:pPr>
              <a:defRPr/>
            </a:pPr>
            <a:endParaRPr lang="ru-RU"/>
          </a:p>
        </c:txPr>
        <c:crossAx val="42434048"/>
        <c:crosses val="autoZero"/>
        <c:crossBetween val="between"/>
      </c:valAx>
      <c:dTable>
        <c:showHorzBorder val="1"/>
        <c:showVertBorder val="1"/>
        <c:showOutline val="1"/>
        <c:showKeys val="0"/>
      </c:dTable>
    </c:plotArea>
    <c:plotVisOnly val="1"/>
    <c:dispBlanksAs val="gap"/>
    <c:showDLblsOverMax val="0"/>
  </c:chart>
  <c:spPr>
    <a:gradFill flip="none" rotWithShape="1">
      <a:gsLst>
        <a:gs pos="0">
          <a:schemeClr val="bg1">
            <a:lumMod val="95000"/>
          </a:schemeClr>
        </a:gs>
        <a:gs pos="100000">
          <a:schemeClr val="bg1">
            <a:lumMod val="95000"/>
          </a:schemeClr>
        </a:gs>
      </a:gsLst>
      <a:path path="circle">
        <a:fillToRect l="50000" t="50000" r="50000" b="50000"/>
      </a:path>
      <a:tileRect/>
    </a:gradFill>
    <a:ln>
      <a:solidFill>
        <a:schemeClr val="bg1">
          <a:lumMod val="65000"/>
        </a:schemeClr>
      </a:solidFill>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000000000000144" l="0.70000000000000062" r="0.70000000000000062" t="0.750000000000001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Изменение цены продукта</a:t>
            </a:r>
          </a:p>
        </c:rich>
      </c:tx>
      <c:overlay val="0"/>
      <c:spPr>
        <a:noFill/>
        <a:ln>
          <a:noFill/>
        </a:ln>
        <a:effectLst/>
      </c:spPr>
    </c:title>
    <c:autoTitleDeleted val="0"/>
    <c:plotArea>
      <c:layout/>
      <c:lineChart>
        <c:grouping val="standard"/>
        <c:varyColors val="0"/>
        <c:ser>
          <c:idx val="0"/>
          <c:order val="0"/>
          <c:tx>
            <c:v>Выручка</c:v>
          </c:tx>
          <c:spPr>
            <a:ln w="28575" cap="rnd">
              <a:solidFill>
                <a:schemeClr val="accent1"/>
              </a:solidFill>
              <a:round/>
            </a:ln>
            <a:effectLst/>
          </c:spPr>
          <c:marker>
            <c:symbol val="none"/>
          </c:marker>
          <c:cat>
            <c:numRef>
              <c:f>Лист1!$E$53:$AE$53</c:f>
              <c:numCache>
                <c:formatCode>0%</c:formatCode>
                <c:ptCount val="27"/>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pt idx="23">
                  <c:v>1.4200000000000004</c:v>
                </c:pt>
                <c:pt idx="24">
                  <c:v>1.4500000000000004</c:v>
                </c:pt>
                <c:pt idx="25">
                  <c:v>1.4800000000000004</c:v>
                </c:pt>
                <c:pt idx="26">
                  <c:v>1.5100000000000005</c:v>
                </c:pt>
              </c:numCache>
            </c:numRef>
          </c:cat>
          <c:val>
            <c:numRef>
              <c:f>Лист1!$E$56:$AE$56</c:f>
              <c:numCache>
                <c:formatCode>General</c:formatCode>
                <c:ptCount val="27"/>
                <c:pt idx="0">
                  <c:v>6573326.9820000008</c:v>
                </c:pt>
                <c:pt idx="1">
                  <c:v>6750984.4680000003</c:v>
                </c:pt>
                <c:pt idx="2">
                  <c:v>7017470.6970000006</c:v>
                </c:pt>
                <c:pt idx="3">
                  <c:v>7239542.5545000015</c:v>
                </c:pt>
                <c:pt idx="4">
                  <c:v>7417200.0405000011</c:v>
                </c:pt>
                <c:pt idx="5">
                  <c:v>7550443.1550000012</c:v>
                </c:pt>
                <c:pt idx="6">
                  <c:v>7639271.8980000019</c:v>
                </c:pt>
                <c:pt idx="7">
                  <c:v>7683686.2695000013</c:v>
                </c:pt>
                <c:pt idx="8">
                  <c:v>7683686.2695000013</c:v>
                </c:pt>
                <c:pt idx="9">
                  <c:v>7639271.8980000019</c:v>
                </c:pt>
                <c:pt idx="10">
                  <c:v>7550443.1550000012</c:v>
                </c:pt>
                <c:pt idx="11">
                  <c:v>7417200.0405000011</c:v>
                </c:pt>
                <c:pt idx="12">
                  <c:v>7239542.5545000015</c:v>
                </c:pt>
                <c:pt idx="13">
                  <c:v>7017470.6970000006</c:v>
                </c:pt>
                <c:pt idx="14">
                  <c:v>6750984.4680000003</c:v>
                </c:pt>
                <c:pt idx="15">
                  <c:v>6440083.8675000006</c:v>
                </c:pt>
                <c:pt idx="16">
                  <c:v>6084768.8954999996</c:v>
                </c:pt>
                <c:pt idx="17">
                  <c:v>5685039.5519999992</c:v>
                </c:pt>
                <c:pt idx="18">
                  <c:v>5240895.8369999994</c:v>
                </c:pt>
                <c:pt idx="19">
                  <c:v>4752337.7504999992</c:v>
                </c:pt>
                <c:pt idx="20">
                  <c:v>4219365.2924999986</c:v>
                </c:pt>
                <c:pt idx="21">
                  <c:v>3641978.4629999995</c:v>
                </c:pt>
                <c:pt idx="22">
                  <c:v>3020177.2619999996</c:v>
                </c:pt>
                <c:pt idx="23">
                  <c:v>2353961.6894999994</c:v>
                </c:pt>
                <c:pt idx="24">
                  <c:v>1643331.745499999</c:v>
                </c:pt>
                <c:pt idx="25">
                  <c:v>888287.429999999</c:v>
                </c:pt>
                <c:pt idx="26">
                  <c:v>88828.742999998984</c:v>
                </c:pt>
              </c:numCache>
            </c:numRef>
          </c:val>
          <c:smooth val="0"/>
          <c:extLst>
            <c:ext xmlns:c16="http://schemas.microsoft.com/office/drawing/2014/chart" uri="{C3380CC4-5D6E-409C-BE32-E72D297353CC}">
              <c16:uniqueId val="{00000000-D388-4EFB-B89A-4090271A1983}"/>
            </c:ext>
          </c:extLst>
        </c:ser>
        <c:ser>
          <c:idx val="1"/>
          <c:order val="1"/>
          <c:tx>
            <c:v>Затраты</c:v>
          </c:tx>
          <c:spPr>
            <a:ln w="28575" cap="rnd">
              <a:solidFill>
                <a:schemeClr val="accent2"/>
              </a:solidFill>
              <a:round/>
            </a:ln>
            <a:effectLst/>
          </c:spPr>
          <c:marker>
            <c:symbol val="none"/>
          </c:marker>
          <c:cat>
            <c:numRef>
              <c:f>Лист1!$E$53:$AE$53</c:f>
              <c:numCache>
                <c:formatCode>0%</c:formatCode>
                <c:ptCount val="27"/>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pt idx="23">
                  <c:v>1.4200000000000004</c:v>
                </c:pt>
                <c:pt idx="24">
                  <c:v>1.4500000000000004</c:v>
                </c:pt>
                <c:pt idx="25">
                  <c:v>1.4800000000000004</c:v>
                </c:pt>
                <c:pt idx="26">
                  <c:v>1.5100000000000005</c:v>
                </c:pt>
              </c:numCache>
            </c:numRef>
          </c:cat>
          <c:val>
            <c:numRef>
              <c:f>Лист1!$E$59:$AE$59</c:f>
              <c:numCache>
                <c:formatCode>General</c:formatCode>
                <c:ptCount val="27"/>
                <c:pt idx="0">
                  <c:v>3557180</c:v>
                </c:pt>
                <c:pt idx="1">
                  <c:v>3653320</c:v>
                </c:pt>
                <c:pt idx="2">
                  <c:v>3797530</c:v>
                </c:pt>
                <c:pt idx="3">
                  <c:v>3917705.0000000005</c:v>
                </c:pt>
                <c:pt idx="4">
                  <c:v>4013845.0000000005</c:v>
                </c:pt>
                <c:pt idx="5">
                  <c:v>4085950.0000000005</c:v>
                </c:pt>
                <c:pt idx="6">
                  <c:v>4134020.0000000005</c:v>
                </c:pt>
                <c:pt idx="7">
                  <c:v>4158055.0000000005</c:v>
                </c:pt>
                <c:pt idx="8">
                  <c:v>4158055.0000000005</c:v>
                </c:pt>
                <c:pt idx="9">
                  <c:v>4134020.0000000005</c:v>
                </c:pt>
                <c:pt idx="10">
                  <c:v>4085950.0000000005</c:v>
                </c:pt>
                <c:pt idx="11">
                  <c:v>4013845.0000000005</c:v>
                </c:pt>
                <c:pt idx="12">
                  <c:v>3917705.0000000005</c:v>
                </c:pt>
                <c:pt idx="13">
                  <c:v>3797530</c:v>
                </c:pt>
                <c:pt idx="14">
                  <c:v>3653320</c:v>
                </c:pt>
                <c:pt idx="15">
                  <c:v>3485075</c:v>
                </c:pt>
                <c:pt idx="16">
                  <c:v>3292794.9999999995</c:v>
                </c:pt>
                <c:pt idx="17">
                  <c:v>3076479.9999999995</c:v>
                </c:pt>
                <c:pt idx="18">
                  <c:v>2836129.9999999995</c:v>
                </c:pt>
                <c:pt idx="19">
                  <c:v>2571744.9999999991</c:v>
                </c:pt>
                <c:pt idx="20">
                  <c:v>2283324.9999999991</c:v>
                </c:pt>
                <c:pt idx="21">
                  <c:v>2018939.9999999991</c:v>
                </c:pt>
                <c:pt idx="22">
                  <c:v>1730519.9999999991</c:v>
                </c:pt>
                <c:pt idx="23">
                  <c:v>1466134.9999999991</c:v>
                </c:pt>
                <c:pt idx="24">
                  <c:v>1177714.9999999991</c:v>
                </c:pt>
                <c:pt idx="25">
                  <c:v>913329.99999999919</c:v>
                </c:pt>
                <c:pt idx="26">
                  <c:v>624909.99999999919</c:v>
                </c:pt>
              </c:numCache>
            </c:numRef>
          </c:val>
          <c:smooth val="0"/>
          <c:extLst>
            <c:ext xmlns:c16="http://schemas.microsoft.com/office/drawing/2014/chart" uri="{C3380CC4-5D6E-409C-BE32-E72D297353CC}">
              <c16:uniqueId val="{00000001-D388-4EFB-B89A-4090271A1983}"/>
            </c:ext>
          </c:extLst>
        </c:ser>
        <c:ser>
          <c:idx val="2"/>
          <c:order val="2"/>
          <c:tx>
            <c:v>NPV</c:v>
          </c:tx>
          <c:spPr>
            <a:ln w="28575" cap="rnd">
              <a:solidFill>
                <a:schemeClr val="accent3"/>
              </a:solidFill>
              <a:round/>
            </a:ln>
            <a:effectLst/>
          </c:spPr>
          <c:marker>
            <c:symbol val="none"/>
          </c:marker>
          <c:cat>
            <c:numRef>
              <c:f>Лист1!$E$53:$AE$53</c:f>
              <c:numCache>
                <c:formatCode>0%</c:formatCode>
                <c:ptCount val="27"/>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pt idx="23">
                  <c:v>1.4200000000000004</c:v>
                </c:pt>
                <c:pt idx="24">
                  <c:v>1.4500000000000004</c:v>
                </c:pt>
                <c:pt idx="25">
                  <c:v>1.4800000000000004</c:v>
                </c:pt>
                <c:pt idx="26">
                  <c:v>1.5100000000000005</c:v>
                </c:pt>
              </c:numCache>
            </c:numRef>
          </c:cat>
          <c:val>
            <c:numRef>
              <c:f>Лист1!$E$62:$AE$62</c:f>
              <c:numCache>
                <c:formatCode>General</c:formatCode>
                <c:ptCount val="27"/>
                <c:pt idx="0">
                  <c:v>1171339.1503053191</c:v>
                </c:pt>
                <c:pt idx="1">
                  <c:v>1202996.9651784359</c:v>
                </c:pt>
                <c:pt idx="2">
                  <c:v>1247317.9060007993</c:v>
                </c:pt>
                <c:pt idx="3">
                  <c:v>1278975.7208739161</c:v>
                </c:pt>
                <c:pt idx="4">
                  <c:v>1297970.4097977863</c:v>
                </c:pt>
                <c:pt idx="5">
                  <c:v>1304301.9727724094</c:v>
                </c:pt>
                <c:pt idx="6">
                  <c:v>1297970.4097977863</c:v>
                </c:pt>
                <c:pt idx="7">
                  <c:v>1278975.7208739161</c:v>
                </c:pt>
                <c:pt idx="8">
                  <c:v>1247317.9060007993</c:v>
                </c:pt>
                <c:pt idx="9">
                  <c:v>1202996.9651784359</c:v>
                </c:pt>
                <c:pt idx="10">
                  <c:v>1146012.8984068257</c:v>
                </c:pt>
                <c:pt idx="11">
                  <c:v>1076365.7056859687</c:v>
                </c:pt>
                <c:pt idx="12">
                  <c:v>994055.3870158653</c:v>
                </c:pt>
                <c:pt idx="13">
                  <c:v>899081.94239651493</c:v>
                </c:pt>
                <c:pt idx="14">
                  <c:v>791445.3718279181</c:v>
                </c:pt>
                <c:pt idx="15">
                  <c:v>671145.67531007447</c:v>
                </c:pt>
                <c:pt idx="16">
                  <c:v>538182.85284298414</c:v>
                </c:pt>
                <c:pt idx="17">
                  <c:v>392556.90442664718</c:v>
                </c:pt>
                <c:pt idx="18">
                  <c:v>234267.83006106352</c:v>
                </c:pt>
                <c:pt idx="19">
                  <c:v>63315.629746233149</c:v>
                </c:pt>
                <c:pt idx="20">
                  <c:v>-120299.69651784391</c:v>
                </c:pt>
                <c:pt idx="21">
                  <c:v>-316578.14873116766</c:v>
                </c:pt>
                <c:pt idx="22">
                  <c:v>-525519.72689373803</c:v>
                </c:pt>
                <c:pt idx="23">
                  <c:v>-747124.43100555521</c:v>
                </c:pt>
                <c:pt idx="24">
                  <c:v>-981392.26106661907</c:v>
                </c:pt>
                <c:pt idx="25">
                  <c:v>-1228323.2170769298</c:v>
                </c:pt>
                <c:pt idx="26">
                  <c:v>-1487917.299036487</c:v>
                </c:pt>
              </c:numCache>
            </c:numRef>
          </c:val>
          <c:smooth val="0"/>
          <c:extLst>
            <c:ext xmlns:c16="http://schemas.microsoft.com/office/drawing/2014/chart" uri="{C3380CC4-5D6E-409C-BE32-E72D297353CC}">
              <c16:uniqueId val="{00000002-D388-4EFB-B89A-4090271A1983}"/>
            </c:ext>
          </c:extLst>
        </c:ser>
        <c:dLbls>
          <c:showLegendKey val="0"/>
          <c:showVal val="0"/>
          <c:showCatName val="0"/>
          <c:showSerName val="0"/>
          <c:showPercent val="0"/>
          <c:showBubbleSize val="0"/>
        </c:dLbls>
        <c:smooth val="0"/>
        <c:axId val="42487296"/>
        <c:axId val="169445632"/>
      </c:lineChart>
      <c:catAx>
        <c:axId val="4248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Процентное изменение цены продукта</a:t>
                </a:r>
              </a:p>
            </c:rich>
          </c:tx>
          <c:overlay val="0"/>
          <c:spPr>
            <a:noFill/>
            <a:ln>
              <a:noFill/>
            </a:ln>
            <a:effectLst/>
          </c:sp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9445632"/>
        <c:crosses val="autoZero"/>
        <c:auto val="1"/>
        <c:lblAlgn val="ctr"/>
        <c:lblOffset val="100"/>
        <c:noMultiLvlLbl val="0"/>
      </c:catAx>
      <c:valAx>
        <c:axId val="16944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2487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Изменение себестоимости</a:t>
            </a:r>
          </a:p>
        </c:rich>
      </c:tx>
      <c:overlay val="0"/>
      <c:spPr>
        <a:noFill/>
        <a:ln>
          <a:noFill/>
        </a:ln>
        <a:effectLst/>
      </c:spPr>
    </c:title>
    <c:autoTitleDeleted val="0"/>
    <c:plotArea>
      <c:layout/>
      <c:lineChart>
        <c:grouping val="standard"/>
        <c:varyColors val="0"/>
        <c:ser>
          <c:idx val="0"/>
          <c:order val="0"/>
          <c:tx>
            <c:v>Выручка</c:v>
          </c:tx>
          <c:spPr>
            <a:ln w="28575" cap="rnd">
              <a:solidFill>
                <a:schemeClr val="accent1"/>
              </a:solidFill>
              <a:round/>
            </a:ln>
            <a:effectLst/>
          </c:spPr>
          <c:marker>
            <c:symbol val="none"/>
          </c:marker>
          <c:cat>
            <c:numRef>
              <c:f>Лист1!$E$85:$AA$85</c:f>
              <c:numCache>
                <c:formatCode>0%</c:formatCode>
                <c:ptCount val="23"/>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numCache>
            </c:numRef>
          </c:cat>
          <c:val>
            <c:numRef>
              <c:f>Лист1!$E$88:$AA$88</c:f>
              <c:numCache>
                <c:formatCode>General</c:formatCode>
                <c:ptCount val="23"/>
                <c:pt idx="0">
                  <c:v>6573326.9820000008</c:v>
                </c:pt>
                <c:pt idx="1">
                  <c:v>6750984.4680000003</c:v>
                </c:pt>
                <c:pt idx="2">
                  <c:v>6973056.3255000012</c:v>
                </c:pt>
                <c:pt idx="3">
                  <c:v>7239542.5545000015</c:v>
                </c:pt>
                <c:pt idx="4">
                  <c:v>7461614.4120000014</c:v>
                </c:pt>
                <c:pt idx="5">
                  <c:v>7639271.8980000019</c:v>
                </c:pt>
                <c:pt idx="6">
                  <c:v>7772515.012500002</c:v>
                </c:pt>
                <c:pt idx="7">
                  <c:v>7861343.7555000018</c:v>
                </c:pt>
                <c:pt idx="8">
                  <c:v>7905758.1270000022</c:v>
                </c:pt>
                <c:pt idx="9">
                  <c:v>7905758.1270000022</c:v>
                </c:pt>
                <c:pt idx="10">
                  <c:v>7861343.7555000018</c:v>
                </c:pt>
                <c:pt idx="11">
                  <c:v>7772515.012500002</c:v>
                </c:pt>
                <c:pt idx="12">
                  <c:v>7639271.8980000019</c:v>
                </c:pt>
                <c:pt idx="13">
                  <c:v>7461614.4120000014</c:v>
                </c:pt>
                <c:pt idx="14">
                  <c:v>7239542.5545000015</c:v>
                </c:pt>
                <c:pt idx="15">
                  <c:v>6973056.3255000012</c:v>
                </c:pt>
                <c:pt idx="16">
                  <c:v>6662155.7250000006</c:v>
                </c:pt>
                <c:pt idx="17">
                  <c:v>6306840.7530000005</c:v>
                </c:pt>
                <c:pt idx="18">
                  <c:v>5907111.4095000001</c:v>
                </c:pt>
                <c:pt idx="19">
                  <c:v>5462967.6944999993</c:v>
                </c:pt>
                <c:pt idx="20">
                  <c:v>4974409.6079999991</c:v>
                </c:pt>
                <c:pt idx="21">
                  <c:v>4441437.1499999985</c:v>
                </c:pt>
                <c:pt idx="22">
                  <c:v>3864050.3204999999</c:v>
                </c:pt>
              </c:numCache>
            </c:numRef>
          </c:val>
          <c:smooth val="0"/>
          <c:extLst>
            <c:ext xmlns:c16="http://schemas.microsoft.com/office/drawing/2014/chart" uri="{C3380CC4-5D6E-409C-BE32-E72D297353CC}">
              <c16:uniqueId val="{00000000-001B-4C52-ACB5-40A024A3300F}"/>
            </c:ext>
          </c:extLst>
        </c:ser>
        <c:ser>
          <c:idx val="1"/>
          <c:order val="1"/>
          <c:tx>
            <c:v>Затраты</c:v>
          </c:tx>
          <c:spPr>
            <a:ln w="28575" cap="rnd">
              <a:solidFill>
                <a:schemeClr val="accent2"/>
              </a:solidFill>
              <a:round/>
            </a:ln>
            <a:effectLst/>
          </c:spPr>
          <c:marker>
            <c:symbol val="none"/>
          </c:marker>
          <c:cat>
            <c:numRef>
              <c:f>Лист1!$E$85:$AA$85</c:f>
              <c:numCache>
                <c:formatCode>0%</c:formatCode>
                <c:ptCount val="23"/>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numCache>
            </c:numRef>
          </c:cat>
          <c:val>
            <c:numRef>
              <c:f>Лист1!$E$91:$AA$91</c:f>
              <c:numCache>
                <c:formatCode>General</c:formatCode>
                <c:ptCount val="23"/>
                <c:pt idx="0">
                  <c:v>3557180</c:v>
                </c:pt>
                <c:pt idx="1">
                  <c:v>3653320</c:v>
                </c:pt>
                <c:pt idx="2">
                  <c:v>3754267</c:v>
                </c:pt>
                <c:pt idx="3">
                  <c:v>3860021</c:v>
                </c:pt>
                <c:pt idx="4">
                  <c:v>3970582.0000000005</c:v>
                </c:pt>
                <c:pt idx="5">
                  <c:v>4085950.0000000005</c:v>
                </c:pt>
                <c:pt idx="6">
                  <c:v>4206125.0000000009</c:v>
                </c:pt>
                <c:pt idx="7">
                  <c:v>4331107.0000000009</c:v>
                </c:pt>
                <c:pt idx="8">
                  <c:v>4460896.0000000009</c:v>
                </c:pt>
                <c:pt idx="9">
                  <c:v>4595492.0000000009</c:v>
                </c:pt>
                <c:pt idx="10">
                  <c:v>4734895.0000000009</c:v>
                </c:pt>
                <c:pt idx="11">
                  <c:v>4879105.0000000009</c:v>
                </c:pt>
                <c:pt idx="12">
                  <c:v>5028122</c:v>
                </c:pt>
                <c:pt idx="13">
                  <c:v>5181946</c:v>
                </c:pt>
                <c:pt idx="14">
                  <c:v>5340577</c:v>
                </c:pt>
                <c:pt idx="15">
                  <c:v>5504015</c:v>
                </c:pt>
                <c:pt idx="16">
                  <c:v>5672260</c:v>
                </c:pt>
                <c:pt idx="17">
                  <c:v>5845312</c:v>
                </c:pt>
                <c:pt idx="18">
                  <c:v>6023170.9999999991</c:v>
                </c:pt>
                <c:pt idx="19">
                  <c:v>6205837</c:v>
                </c:pt>
                <c:pt idx="20">
                  <c:v>6393309.9999999991</c:v>
                </c:pt>
                <c:pt idx="21">
                  <c:v>6585589.9999999991</c:v>
                </c:pt>
                <c:pt idx="22">
                  <c:v>6782676.9999999991</c:v>
                </c:pt>
              </c:numCache>
            </c:numRef>
          </c:val>
          <c:smooth val="0"/>
          <c:extLst>
            <c:ext xmlns:c16="http://schemas.microsoft.com/office/drawing/2014/chart" uri="{C3380CC4-5D6E-409C-BE32-E72D297353CC}">
              <c16:uniqueId val="{00000001-001B-4C52-ACB5-40A024A3300F}"/>
            </c:ext>
          </c:extLst>
        </c:ser>
        <c:ser>
          <c:idx val="2"/>
          <c:order val="2"/>
          <c:tx>
            <c:v>NPV</c:v>
          </c:tx>
          <c:spPr>
            <a:ln w="28575" cap="rnd">
              <a:solidFill>
                <a:schemeClr val="accent3"/>
              </a:solidFill>
              <a:round/>
            </a:ln>
            <a:effectLst/>
          </c:spPr>
          <c:marker>
            <c:symbol val="none"/>
          </c:marker>
          <c:cat>
            <c:numRef>
              <c:f>Лист1!$E$85:$AA$85</c:f>
              <c:numCache>
                <c:formatCode>0%</c:formatCode>
                <c:ptCount val="23"/>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numCache>
            </c:numRef>
          </c:cat>
          <c:val>
            <c:numRef>
              <c:f>Лист1!$E$94:$AA$94</c:f>
              <c:numCache>
                <c:formatCode>General</c:formatCode>
                <c:ptCount val="23"/>
                <c:pt idx="0">
                  <c:v>1171339.1503053191</c:v>
                </c:pt>
                <c:pt idx="1">
                  <c:v>1202996.9651784359</c:v>
                </c:pt>
                <c:pt idx="2">
                  <c:v>1258398.1412063902</c:v>
                </c:pt>
                <c:pt idx="3">
                  <c:v>1337542.6783891821</c:v>
                </c:pt>
                <c:pt idx="4">
                  <c:v>1440430.5767268117</c:v>
                </c:pt>
                <c:pt idx="5">
                  <c:v>1567061.8362192784</c:v>
                </c:pt>
                <c:pt idx="6">
                  <c:v>1669949.734556908</c:v>
                </c:pt>
                <c:pt idx="7">
                  <c:v>1749094.2717396999</c:v>
                </c:pt>
                <c:pt idx="8">
                  <c:v>1804495.447767654</c:v>
                </c:pt>
                <c:pt idx="9">
                  <c:v>1836153.2626407708</c:v>
                </c:pt>
                <c:pt idx="10">
                  <c:v>1844067.7163590498</c:v>
                </c:pt>
                <c:pt idx="11">
                  <c:v>1828238.8089224915</c:v>
                </c:pt>
                <c:pt idx="12">
                  <c:v>1788666.5403310957</c:v>
                </c:pt>
                <c:pt idx="13">
                  <c:v>1725350.9105848621</c:v>
                </c:pt>
                <c:pt idx="14">
                  <c:v>1638291.9196837912</c:v>
                </c:pt>
                <c:pt idx="15">
                  <c:v>1527489.5676278826</c:v>
                </c:pt>
                <c:pt idx="16">
                  <c:v>1392943.8544171364</c:v>
                </c:pt>
                <c:pt idx="17">
                  <c:v>1234654.7800515529</c:v>
                </c:pt>
                <c:pt idx="18">
                  <c:v>1052622.3445311317</c:v>
                </c:pt>
                <c:pt idx="19">
                  <c:v>846846.54785587289</c:v>
                </c:pt>
                <c:pt idx="20">
                  <c:v>617327.39002577646</c:v>
                </c:pt>
                <c:pt idx="21">
                  <c:v>364064.87104084261</c:v>
                </c:pt>
                <c:pt idx="22">
                  <c:v>87058.990901071229</c:v>
                </c:pt>
              </c:numCache>
            </c:numRef>
          </c:val>
          <c:smooth val="0"/>
          <c:extLst>
            <c:ext xmlns:c16="http://schemas.microsoft.com/office/drawing/2014/chart" uri="{C3380CC4-5D6E-409C-BE32-E72D297353CC}">
              <c16:uniqueId val="{00000002-001B-4C52-ACB5-40A024A3300F}"/>
            </c:ext>
          </c:extLst>
        </c:ser>
        <c:dLbls>
          <c:showLegendKey val="0"/>
          <c:showVal val="0"/>
          <c:showCatName val="0"/>
          <c:showSerName val="0"/>
          <c:showPercent val="0"/>
          <c:showBubbleSize val="0"/>
        </c:dLbls>
        <c:smooth val="0"/>
        <c:axId val="42903040"/>
        <c:axId val="193667072"/>
      </c:lineChart>
      <c:catAx>
        <c:axId val="42903040"/>
        <c:scaling>
          <c:orientation val="minMax"/>
        </c:scaling>
        <c:delete val="0"/>
        <c:axPos val="b"/>
        <c:title>
          <c:tx>
            <c:rich>
              <a:bodyPr/>
              <a:lstStyle/>
              <a:p>
                <a:pPr>
                  <a:defRPr/>
                </a:pPr>
                <a:r>
                  <a:rPr lang="ru-RU"/>
                  <a:t>Процентное изменение себестоисмости продукции</a:t>
                </a:r>
              </a:p>
            </c:rich>
          </c:tx>
          <c:overlay val="0"/>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667072"/>
        <c:crosses val="autoZero"/>
        <c:auto val="1"/>
        <c:lblAlgn val="ctr"/>
        <c:lblOffset val="100"/>
        <c:noMultiLvlLbl val="0"/>
      </c:catAx>
      <c:valAx>
        <c:axId val="19366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2903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Изменение</a:t>
            </a:r>
            <a:r>
              <a:rPr lang="ru-RU" baseline="0"/>
              <a:t> выручки</a:t>
            </a:r>
            <a:endParaRPr lang="ru-RU"/>
          </a:p>
        </c:rich>
      </c:tx>
      <c:overlay val="0"/>
      <c:spPr>
        <a:noFill/>
        <a:ln>
          <a:noFill/>
        </a:ln>
        <a:effectLst/>
      </c:spPr>
    </c:title>
    <c:autoTitleDeleted val="0"/>
    <c:plotArea>
      <c:layout/>
      <c:lineChart>
        <c:grouping val="standard"/>
        <c:varyColors val="0"/>
        <c:ser>
          <c:idx val="0"/>
          <c:order val="0"/>
          <c:tx>
            <c:v>Выручка</c:v>
          </c:tx>
          <c:spPr>
            <a:ln w="28575" cap="rnd">
              <a:solidFill>
                <a:schemeClr val="accent1"/>
              </a:solidFill>
              <a:round/>
            </a:ln>
            <a:effectLst/>
          </c:spPr>
          <c:marker>
            <c:symbol val="none"/>
          </c:marker>
          <c:cat>
            <c:numRef>
              <c:f>Лист1!$Q$101:$Y$101</c:f>
              <c:numCache>
                <c:formatCode>0%</c:formatCode>
                <c:ptCount val="9"/>
                <c:pt idx="0">
                  <c:v>0.2</c:v>
                </c:pt>
                <c:pt idx="1">
                  <c:v>0.4</c:v>
                </c:pt>
                <c:pt idx="2">
                  <c:v>0.6</c:v>
                </c:pt>
                <c:pt idx="3">
                  <c:v>0.8</c:v>
                </c:pt>
                <c:pt idx="4">
                  <c:v>1</c:v>
                </c:pt>
                <c:pt idx="5">
                  <c:v>1.2</c:v>
                </c:pt>
                <c:pt idx="6">
                  <c:v>1.4</c:v>
                </c:pt>
                <c:pt idx="7">
                  <c:v>1.6</c:v>
                </c:pt>
                <c:pt idx="8">
                  <c:v>1.8</c:v>
                </c:pt>
              </c:numCache>
            </c:numRef>
          </c:cat>
          <c:val>
            <c:numRef>
              <c:f>Лист1!$Q$102:$Y$102</c:f>
              <c:numCache>
                <c:formatCode>#,##0</c:formatCode>
                <c:ptCount val="9"/>
                <c:pt idx="0">
                  <c:v>1776574.8600000003</c:v>
                </c:pt>
                <c:pt idx="1">
                  <c:v>3553149.7200000007</c:v>
                </c:pt>
                <c:pt idx="2">
                  <c:v>5329724.58</c:v>
                </c:pt>
                <c:pt idx="3">
                  <c:v>7106299.4400000013</c:v>
                </c:pt>
                <c:pt idx="4">
                  <c:v>8882874.3000000007</c:v>
                </c:pt>
                <c:pt idx="5">
                  <c:v>10659449.16</c:v>
                </c:pt>
                <c:pt idx="6">
                  <c:v>12436024.02</c:v>
                </c:pt>
                <c:pt idx="7">
                  <c:v>14212598.880000003</c:v>
                </c:pt>
                <c:pt idx="8">
                  <c:v>15989173.740000002</c:v>
                </c:pt>
              </c:numCache>
            </c:numRef>
          </c:val>
          <c:smooth val="0"/>
          <c:extLst>
            <c:ext xmlns:c16="http://schemas.microsoft.com/office/drawing/2014/chart" uri="{C3380CC4-5D6E-409C-BE32-E72D297353CC}">
              <c16:uniqueId val="{00000000-C361-43E0-8108-4F8F90E72F33}"/>
            </c:ext>
          </c:extLst>
        </c:ser>
        <c:ser>
          <c:idx val="1"/>
          <c:order val="1"/>
          <c:tx>
            <c:v>Затраты</c:v>
          </c:tx>
          <c:spPr>
            <a:ln w="28575" cap="rnd">
              <a:solidFill>
                <a:schemeClr val="accent2"/>
              </a:solidFill>
              <a:round/>
            </a:ln>
            <a:effectLst/>
          </c:spPr>
          <c:marker>
            <c:symbol val="none"/>
          </c:marker>
          <c:cat>
            <c:numRef>
              <c:f>Лист1!$Q$101:$Y$101</c:f>
              <c:numCache>
                <c:formatCode>0%</c:formatCode>
                <c:ptCount val="9"/>
                <c:pt idx="0">
                  <c:v>0.2</c:v>
                </c:pt>
                <c:pt idx="1">
                  <c:v>0.4</c:v>
                </c:pt>
                <c:pt idx="2">
                  <c:v>0.6</c:v>
                </c:pt>
                <c:pt idx="3">
                  <c:v>0.8</c:v>
                </c:pt>
                <c:pt idx="4">
                  <c:v>1</c:v>
                </c:pt>
                <c:pt idx="5">
                  <c:v>1.2</c:v>
                </c:pt>
                <c:pt idx="6">
                  <c:v>1.4</c:v>
                </c:pt>
                <c:pt idx="7">
                  <c:v>1.6</c:v>
                </c:pt>
                <c:pt idx="8">
                  <c:v>1.8</c:v>
                </c:pt>
              </c:numCache>
            </c:numRef>
          </c:cat>
          <c:val>
            <c:numRef>
              <c:f>Лист1!$Q$104:$Y$104</c:f>
              <c:numCache>
                <c:formatCode>General</c:formatCode>
                <c:ptCount val="9"/>
                <c:pt idx="0">
                  <c:v>1826660</c:v>
                </c:pt>
                <c:pt idx="1">
                  <c:v>2403500</c:v>
                </c:pt>
                <c:pt idx="2">
                  <c:v>3124550</c:v>
                </c:pt>
                <c:pt idx="3">
                  <c:v>3893670.0000000005</c:v>
                </c:pt>
                <c:pt idx="4">
                  <c:v>4807000</c:v>
                </c:pt>
                <c:pt idx="5">
                  <c:v>5768400</c:v>
                </c:pt>
                <c:pt idx="6">
                  <c:v>6970150</c:v>
                </c:pt>
                <c:pt idx="7">
                  <c:v>8171900</c:v>
                </c:pt>
                <c:pt idx="8">
                  <c:v>9614000</c:v>
                </c:pt>
              </c:numCache>
            </c:numRef>
          </c:val>
          <c:smooth val="1"/>
          <c:extLst>
            <c:ext xmlns:c16="http://schemas.microsoft.com/office/drawing/2014/chart" uri="{C3380CC4-5D6E-409C-BE32-E72D297353CC}">
              <c16:uniqueId val="{00000001-C361-43E0-8108-4F8F90E72F33}"/>
            </c:ext>
          </c:extLst>
        </c:ser>
        <c:ser>
          <c:idx val="2"/>
          <c:order val="2"/>
          <c:tx>
            <c:v>NPV</c:v>
          </c:tx>
          <c:spPr>
            <a:ln w="28575" cap="rnd">
              <a:solidFill>
                <a:schemeClr val="accent3"/>
              </a:solidFill>
              <a:round/>
            </a:ln>
            <a:effectLst/>
          </c:spPr>
          <c:marker>
            <c:symbol val="none"/>
          </c:marker>
          <c:cat>
            <c:numRef>
              <c:f>Лист1!$Q$101:$Y$101</c:f>
              <c:numCache>
                <c:formatCode>0%</c:formatCode>
                <c:ptCount val="9"/>
                <c:pt idx="0">
                  <c:v>0.2</c:v>
                </c:pt>
                <c:pt idx="1">
                  <c:v>0.4</c:v>
                </c:pt>
                <c:pt idx="2">
                  <c:v>0.6</c:v>
                </c:pt>
                <c:pt idx="3">
                  <c:v>0.8</c:v>
                </c:pt>
                <c:pt idx="4">
                  <c:v>1</c:v>
                </c:pt>
                <c:pt idx="5">
                  <c:v>1.2</c:v>
                </c:pt>
                <c:pt idx="6">
                  <c:v>1.4</c:v>
                </c:pt>
                <c:pt idx="7">
                  <c:v>1.6</c:v>
                </c:pt>
                <c:pt idx="8">
                  <c:v>1.8</c:v>
                </c:pt>
              </c:numCache>
            </c:numRef>
          </c:cat>
          <c:val>
            <c:numRef>
              <c:f>Лист1!$Q$106:$Y$106</c:f>
              <c:numCache>
                <c:formatCode>General</c:formatCode>
                <c:ptCount val="9"/>
                <c:pt idx="0">
                  <c:v>316578.14873116737</c:v>
                </c:pt>
                <c:pt idx="1">
                  <c:v>633156.29746233474</c:v>
                </c:pt>
                <c:pt idx="2">
                  <c:v>997221.16850317712</c:v>
                </c:pt>
                <c:pt idx="3">
                  <c:v>1361286.0395440196</c:v>
                </c:pt>
                <c:pt idx="4">
                  <c:v>1582890.7436558367</c:v>
                </c:pt>
                <c:pt idx="5">
                  <c:v>1820324.355204212</c:v>
                </c:pt>
                <c:pt idx="6">
                  <c:v>1899468.8923870039</c:v>
                </c:pt>
                <c:pt idx="7">
                  <c:v>1978613.4295697957</c:v>
                </c:pt>
                <c:pt idx="8">
                  <c:v>1994442.3370063542</c:v>
                </c:pt>
              </c:numCache>
            </c:numRef>
          </c:val>
          <c:smooth val="1"/>
          <c:extLst>
            <c:ext xmlns:c16="http://schemas.microsoft.com/office/drawing/2014/chart" uri="{C3380CC4-5D6E-409C-BE32-E72D297353CC}">
              <c16:uniqueId val="{00000002-C361-43E0-8108-4F8F90E72F33}"/>
            </c:ext>
          </c:extLst>
        </c:ser>
        <c:dLbls>
          <c:showLegendKey val="0"/>
          <c:showVal val="0"/>
          <c:showCatName val="0"/>
          <c:showSerName val="0"/>
          <c:showPercent val="0"/>
          <c:showBubbleSize val="0"/>
        </c:dLbls>
        <c:smooth val="0"/>
        <c:axId val="42903552"/>
        <c:axId val="169447936"/>
      </c:lineChart>
      <c:catAx>
        <c:axId val="42903552"/>
        <c:scaling>
          <c:orientation val="minMax"/>
        </c:scaling>
        <c:delete val="0"/>
        <c:axPos val="b"/>
        <c:title>
          <c:tx>
            <c:rich>
              <a:bodyPr/>
              <a:lstStyle/>
              <a:p>
                <a:pPr>
                  <a:defRPr/>
                </a:pPr>
                <a:r>
                  <a:rPr lang="ru-RU"/>
                  <a:t>Процентное изменени выручки</a:t>
                </a:r>
              </a:p>
            </c:rich>
          </c:tx>
          <c:overlay val="0"/>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9447936"/>
        <c:crosses val="autoZero"/>
        <c:auto val="1"/>
        <c:lblAlgn val="ctr"/>
        <c:lblOffset val="100"/>
        <c:noMultiLvlLbl val="0"/>
      </c:catAx>
      <c:valAx>
        <c:axId val="169447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290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Lit>
              <c:formatCode>General</c:formatCode>
              <c:ptCount val="15"/>
              <c:pt idx="0">
                <c:v>1</c:v>
              </c:pt>
              <c:pt idx="1">
                <c:v>2</c:v>
              </c:pt>
              <c:pt idx="2">
                <c:v>3</c:v>
              </c:pt>
              <c:pt idx="3">
                <c:v>5</c:v>
              </c:pt>
              <c:pt idx="4">
                <c:v>8</c:v>
              </c:pt>
              <c:pt idx="5">
                <c:v>13</c:v>
              </c:pt>
              <c:pt idx="6">
                <c:v>21</c:v>
              </c:pt>
              <c:pt idx="7">
                <c:v>34</c:v>
              </c:pt>
              <c:pt idx="8">
                <c:v>55</c:v>
              </c:pt>
              <c:pt idx="9">
                <c:v>89</c:v>
              </c:pt>
              <c:pt idx="10">
                <c:v>144</c:v>
              </c:pt>
              <c:pt idx="11">
                <c:v>233</c:v>
              </c:pt>
              <c:pt idx="12">
                <c:v>377</c:v>
              </c:pt>
              <c:pt idx="13">
                <c:v>610</c:v>
              </c:pt>
              <c:pt idx="14">
                <c:v>987</c:v>
              </c:pt>
            </c:numLit>
          </c:yVal>
          <c:smooth val="1"/>
          <c:extLst>
            <c:ext xmlns:c16="http://schemas.microsoft.com/office/drawing/2014/chart" uri="{C3380CC4-5D6E-409C-BE32-E72D297353CC}">
              <c16:uniqueId val="{00000000-E3AD-4FFB-927E-F3F08C05C943}"/>
            </c:ext>
          </c:extLst>
        </c:ser>
        <c:dLbls>
          <c:showLegendKey val="0"/>
          <c:showVal val="0"/>
          <c:showCatName val="0"/>
          <c:showSerName val="0"/>
          <c:showPercent val="0"/>
          <c:showBubbleSize val="0"/>
        </c:dLbls>
        <c:axId val="193671104"/>
        <c:axId val="193671680"/>
      </c:scatterChart>
      <c:valAx>
        <c:axId val="1936711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671680"/>
        <c:crosses val="autoZero"/>
        <c:crossBetween val="midCat"/>
      </c:valAx>
      <c:valAx>
        <c:axId val="19367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6711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Lit>
              <c:formatCode>General</c:formatCode>
              <c:ptCount val="4"/>
              <c:pt idx="0">
                <c:v>987</c:v>
              </c:pt>
              <c:pt idx="1">
                <c:v>810</c:v>
              </c:pt>
              <c:pt idx="2">
                <c:v>400</c:v>
              </c:pt>
              <c:pt idx="3">
                <c:v>233</c:v>
              </c:pt>
            </c:numLit>
          </c:yVal>
          <c:smooth val="1"/>
          <c:extLst>
            <c:ext xmlns:c16="http://schemas.microsoft.com/office/drawing/2014/chart" uri="{C3380CC4-5D6E-409C-BE32-E72D297353CC}">
              <c16:uniqueId val="{00000000-3942-4B8E-977A-7337FA786DB6}"/>
            </c:ext>
          </c:extLst>
        </c:ser>
        <c:dLbls>
          <c:showLegendKey val="0"/>
          <c:showVal val="0"/>
          <c:showCatName val="0"/>
          <c:showSerName val="0"/>
          <c:showPercent val="0"/>
          <c:showBubbleSize val="0"/>
        </c:dLbls>
        <c:axId val="193673408"/>
        <c:axId val="193673984"/>
      </c:scatterChart>
      <c:valAx>
        <c:axId val="1936734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673984"/>
        <c:crosses val="autoZero"/>
        <c:crossBetween val="midCat"/>
      </c:valAx>
      <c:valAx>
        <c:axId val="19367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673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Изменение цены продукта</a:t>
            </a:r>
          </a:p>
        </c:rich>
      </c:tx>
      <c:overlay val="0"/>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Лист1!$E$53:$AE$53</c:f>
              <c:numCache>
                <c:formatCode>0%</c:formatCode>
                <c:ptCount val="27"/>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pt idx="23">
                  <c:v>1.4200000000000004</c:v>
                </c:pt>
                <c:pt idx="24">
                  <c:v>1.4500000000000004</c:v>
                </c:pt>
                <c:pt idx="25">
                  <c:v>1.4800000000000004</c:v>
                </c:pt>
                <c:pt idx="26">
                  <c:v>1.5100000000000005</c:v>
                </c:pt>
              </c:numCache>
            </c:numRef>
          </c:cat>
          <c:val>
            <c:numRef>
              <c:f>Лист1!$E$56:$AE$56</c:f>
              <c:numCache>
                <c:formatCode>General</c:formatCode>
                <c:ptCount val="27"/>
                <c:pt idx="0">
                  <c:v>6573326.9820000008</c:v>
                </c:pt>
                <c:pt idx="1">
                  <c:v>6750984.4680000003</c:v>
                </c:pt>
                <c:pt idx="2">
                  <c:v>7017470.6970000006</c:v>
                </c:pt>
                <c:pt idx="3">
                  <c:v>7239542.5545000015</c:v>
                </c:pt>
                <c:pt idx="4">
                  <c:v>7417200.0405000011</c:v>
                </c:pt>
                <c:pt idx="5">
                  <c:v>7550443.1550000012</c:v>
                </c:pt>
                <c:pt idx="6">
                  <c:v>7639271.8980000019</c:v>
                </c:pt>
                <c:pt idx="7">
                  <c:v>7683686.2695000013</c:v>
                </c:pt>
                <c:pt idx="8">
                  <c:v>7683686.2695000013</c:v>
                </c:pt>
                <c:pt idx="9">
                  <c:v>7639271.8980000019</c:v>
                </c:pt>
                <c:pt idx="10">
                  <c:v>7550443.1550000012</c:v>
                </c:pt>
                <c:pt idx="11">
                  <c:v>7417200.0405000011</c:v>
                </c:pt>
                <c:pt idx="12">
                  <c:v>7239542.5545000015</c:v>
                </c:pt>
                <c:pt idx="13">
                  <c:v>7017470.6970000006</c:v>
                </c:pt>
                <c:pt idx="14">
                  <c:v>6750984.4680000003</c:v>
                </c:pt>
                <c:pt idx="15">
                  <c:v>6440083.8675000006</c:v>
                </c:pt>
                <c:pt idx="16">
                  <c:v>6084768.8954999996</c:v>
                </c:pt>
                <c:pt idx="17">
                  <c:v>5685039.5519999992</c:v>
                </c:pt>
                <c:pt idx="18">
                  <c:v>5240895.8369999994</c:v>
                </c:pt>
                <c:pt idx="19">
                  <c:v>4752337.7504999992</c:v>
                </c:pt>
                <c:pt idx="20">
                  <c:v>4219365.2924999986</c:v>
                </c:pt>
                <c:pt idx="21">
                  <c:v>3641978.4629999995</c:v>
                </c:pt>
                <c:pt idx="22">
                  <c:v>3020177.2619999996</c:v>
                </c:pt>
                <c:pt idx="23">
                  <c:v>2353961.6894999994</c:v>
                </c:pt>
                <c:pt idx="24">
                  <c:v>1643331.745499999</c:v>
                </c:pt>
                <c:pt idx="25">
                  <c:v>888287.429999999</c:v>
                </c:pt>
                <c:pt idx="26">
                  <c:v>88828.742999998984</c:v>
                </c:pt>
              </c:numCache>
            </c:numRef>
          </c:val>
          <c:smooth val="0"/>
          <c:extLst>
            <c:ext xmlns:c16="http://schemas.microsoft.com/office/drawing/2014/chart" uri="{C3380CC4-5D6E-409C-BE32-E72D297353CC}">
              <c16:uniqueId val="{00000000-DF46-4453-8F8A-B21B31BA39D4}"/>
            </c:ext>
          </c:extLst>
        </c:ser>
        <c:ser>
          <c:idx val="1"/>
          <c:order val="1"/>
          <c:tx>
            <c:v>Затраты</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Лист1!$E$53:$AE$53</c:f>
              <c:numCache>
                <c:formatCode>0%</c:formatCode>
                <c:ptCount val="27"/>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pt idx="23">
                  <c:v>1.4200000000000004</c:v>
                </c:pt>
                <c:pt idx="24">
                  <c:v>1.4500000000000004</c:v>
                </c:pt>
                <c:pt idx="25">
                  <c:v>1.4800000000000004</c:v>
                </c:pt>
                <c:pt idx="26">
                  <c:v>1.5100000000000005</c:v>
                </c:pt>
              </c:numCache>
            </c:numRef>
          </c:cat>
          <c:val>
            <c:numRef>
              <c:f>Лист1!$E$59:$AE$59</c:f>
              <c:numCache>
                <c:formatCode>General</c:formatCode>
                <c:ptCount val="27"/>
                <c:pt idx="0">
                  <c:v>3557180</c:v>
                </c:pt>
                <c:pt idx="1">
                  <c:v>3653320</c:v>
                </c:pt>
                <c:pt idx="2">
                  <c:v>3797530</c:v>
                </c:pt>
                <c:pt idx="3">
                  <c:v>3917705.0000000005</c:v>
                </c:pt>
                <c:pt idx="4">
                  <c:v>4013845.0000000005</c:v>
                </c:pt>
                <c:pt idx="5">
                  <c:v>4085950.0000000005</c:v>
                </c:pt>
                <c:pt idx="6">
                  <c:v>4134020.0000000005</c:v>
                </c:pt>
                <c:pt idx="7">
                  <c:v>4158055.0000000005</c:v>
                </c:pt>
                <c:pt idx="8">
                  <c:v>4158055.0000000005</c:v>
                </c:pt>
                <c:pt idx="9">
                  <c:v>4134020.0000000005</c:v>
                </c:pt>
                <c:pt idx="10">
                  <c:v>4085950.0000000005</c:v>
                </c:pt>
                <c:pt idx="11">
                  <c:v>4013845.0000000005</c:v>
                </c:pt>
                <c:pt idx="12">
                  <c:v>3917705.0000000005</c:v>
                </c:pt>
                <c:pt idx="13">
                  <c:v>3797530</c:v>
                </c:pt>
                <c:pt idx="14">
                  <c:v>3653320</c:v>
                </c:pt>
                <c:pt idx="15">
                  <c:v>3485075</c:v>
                </c:pt>
                <c:pt idx="16">
                  <c:v>3292794.9999999995</c:v>
                </c:pt>
                <c:pt idx="17">
                  <c:v>3076479.9999999995</c:v>
                </c:pt>
                <c:pt idx="18">
                  <c:v>2836129.9999999995</c:v>
                </c:pt>
                <c:pt idx="19">
                  <c:v>2571744.9999999991</c:v>
                </c:pt>
                <c:pt idx="20">
                  <c:v>2283324.9999999991</c:v>
                </c:pt>
                <c:pt idx="21">
                  <c:v>2018939.9999999991</c:v>
                </c:pt>
                <c:pt idx="22">
                  <c:v>1730519.9999999991</c:v>
                </c:pt>
                <c:pt idx="23">
                  <c:v>1466134.9999999991</c:v>
                </c:pt>
                <c:pt idx="24">
                  <c:v>1177714.9999999991</c:v>
                </c:pt>
                <c:pt idx="25">
                  <c:v>913329.99999999919</c:v>
                </c:pt>
                <c:pt idx="26">
                  <c:v>624909.99999999919</c:v>
                </c:pt>
              </c:numCache>
            </c:numRef>
          </c:val>
          <c:smooth val="0"/>
          <c:extLst>
            <c:ext xmlns:c16="http://schemas.microsoft.com/office/drawing/2014/chart" uri="{C3380CC4-5D6E-409C-BE32-E72D297353CC}">
              <c16:uniqueId val="{00000001-DF46-4453-8F8A-B21B31BA39D4}"/>
            </c:ext>
          </c:extLst>
        </c:ser>
        <c:ser>
          <c:idx val="2"/>
          <c:order val="2"/>
          <c:tx>
            <c:v>NPV</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Лист1!$E$53:$AE$53</c:f>
              <c:numCache>
                <c:formatCode>0%</c:formatCode>
                <c:ptCount val="27"/>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pt idx="23">
                  <c:v>1.4200000000000004</c:v>
                </c:pt>
                <c:pt idx="24">
                  <c:v>1.4500000000000004</c:v>
                </c:pt>
                <c:pt idx="25">
                  <c:v>1.4800000000000004</c:v>
                </c:pt>
                <c:pt idx="26">
                  <c:v>1.5100000000000005</c:v>
                </c:pt>
              </c:numCache>
            </c:numRef>
          </c:cat>
          <c:val>
            <c:numRef>
              <c:f>Лист1!$E$62:$AE$62</c:f>
              <c:numCache>
                <c:formatCode>General</c:formatCode>
                <c:ptCount val="27"/>
                <c:pt idx="0">
                  <c:v>1171339.1503053191</c:v>
                </c:pt>
                <c:pt idx="1">
                  <c:v>1202996.9651784359</c:v>
                </c:pt>
                <c:pt idx="2">
                  <c:v>1247317.9060007993</c:v>
                </c:pt>
                <c:pt idx="3">
                  <c:v>1278975.7208739161</c:v>
                </c:pt>
                <c:pt idx="4">
                  <c:v>1297970.4097977863</c:v>
                </c:pt>
                <c:pt idx="5">
                  <c:v>1304301.9727724094</c:v>
                </c:pt>
                <c:pt idx="6">
                  <c:v>1297970.4097977863</c:v>
                </c:pt>
                <c:pt idx="7">
                  <c:v>1278975.7208739161</c:v>
                </c:pt>
                <c:pt idx="8">
                  <c:v>1247317.9060007993</c:v>
                </c:pt>
                <c:pt idx="9">
                  <c:v>1202996.9651784359</c:v>
                </c:pt>
                <c:pt idx="10">
                  <c:v>1146012.8984068257</c:v>
                </c:pt>
                <c:pt idx="11">
                  <c:v>1076365.7056859687</c:v>
                </c:pt>
                <c:pt idx="12">
                  <c:v>994055.3870158653</c:v>
                </c:pt>
                <c:pt idx="13">
                  <c:v>899081.94239651493</c:v>
                </c:pt>
                <c:pt idx="14">
                  <c:v>791445.3718279181</c:v>
                </c:pt>
                <c:pt idx="15">
                  <c:v>671145.67531007447</c:v>
                </c:pt>
                <c:pt idx="16">
                  <c:v>538182.85284298414</c:v>
                </c:pt>
                <c:pt idx="17">
                  <c:v>392556.90442664718</c:v>
                </c:pt>
                <c:pt idx="18">
                  <c:v>234267.83006106352</c:v>
                </c:pt>
                <c:pt idx="19">
                  <c:v>63315.629746233149</c:v>
                </c:pt>
                <c:pt idx="20">
                  <c:v>-120299.69651784391</c:v>
                </c:pt>
                <c:pt idx="21">
                  <c:v>-316578.14873116766</c:v>
                </c:pt>
                <c:pt idx="22">
                  <c:v>-525519.72689373803</c:v>
                </c:pt>
                <c:pt idx="23">
                  <c:v>-747124.43100555521</c:v>
                </c:pt>
                <c:pt idx="24">
                  <c:v>-981392.26106661907</c:v>
                </c:pt>
                <c:pt idx="25">
                  <c:v>-1228323.2170769298</c:v>
                </c:pt>
                <c:pt idx="26">
                  <c:v>-1487917.299036487</c:v>
                </c:pt>
              </c:numCache>
            </c:numRef>
          </c:val>
          <c:smooth val="0"/>
          <c:extLst>
            <c:ext xmlns:c16="http://schemas.microsoft.com/office/drawing/2014/chart" uri="{C3380CC4-5D6E-409C-BE32-E72D297353CC}">
              <c16:uniqueId val="{00000002-DF46-4453-8F8A-B21B31BA39D4}"/>
            </c:ext>
          </c:extLst>
        </c:ser>
        <c:dLbls>
          <c:showLegendKey val="0"/>
          <c:showVal val="0"/>
          <c:showCatName val="0"/>
          <c:showSerName val="0"/>
          <c:showPercent val="0"/>
          <c:showBubbleSize val="0"/>
        </c:dLbls>
        <c:marker val="1"/>
        <c:smooth val="0"/>
        <c:axId val="43300352"/>
        <c:axId val="193806912"/>
      </c:lineChart>
      <c:catAx>
        <c:axId val="43300352"/>
        <c:scaling>
          <c:orientation val="minMax"/>
        </c:scaling>
        <c:delete val="0"/>
        <c:axPos val="b"/>
        <c:title>
          <c:tx>
            <c:rich>
              <a:bodyPr/>
              <a:lstStyle/>
              <a:p>
                <a:pPr>
                  <a:defRPr/>
                </a:pPr>
                <a:r>
                  <a:rPr lang="ru-RU"/>
                  <a:t>Процентное изменение цены продукта</a:t>
                </a:r>
              </a:p>
            </c:rich>
          </c:tx>
          <c:overlay val="0"/>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806912"/>
        <c:crosses val="autoZero"/>
        <c:auto val="1"/>
        <c:lblAlgn val="ctr"/>
        <c:lblOffset val="100"/>
        <c:noMultiLvlLbl val="0"/>
      </c:catAx>
      <c:valAx>
        <c:axId val="19380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300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v>Выручка</c:v>
          </c:tx>
          <c:spPr>
            <a:ln w="28575" cap="rnd">
              <a:solidFill>
                <a:schemeClr val="accent1"/>
              </a:solidFill>
              <a:round/>
            </a:ln>
            <a:effectLst/>
          </c:spPr>
          <c:marker>
            <c:symbol val="none"/>
          </c:marker>
          <c:cat>
            <c:numRef>
              <c:f>Лист1!$E$85:$AA$85</c:f>
              <c:numCache>
                <c:formatCode>0%</c:formatCode>
                <c:ptCount val="23"/>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numCache>
            </c:numRef>
          </c:cat>
          <c:val>
            <c:numRef>
              <c:f>Лист1!$E$88:$AA$88</c:f>
              <c:numCache>
                <c:formatCode>General</c:formatCode>
                <c:ptCount val="23"/>
                <c:pt idx="0">
                  <c:v>6573326.9820000008</c:v>
                </c:pt>
                <c:pt idx="1">
                  <c:v>6750984.4680000003</c:v>
                </c:pt>
                <c:pt idx="2">
                  <c:v>6973056.3255000012</c:v>
                </c:pt>
                <c:pt idx="3">
                  <c:v>7239542.5545000015</c:v>
                </c:pt>
                <c:pt idx="4">
                  <c:v>7461614.4120000014</c:v>
                </c:pt>
                <c:pt idx="5">
                  <c:v>7639271.8980000019</c:v>
                </c:pt>
                <c:pt idx="6">
                  <c:v>7772515.012500002</c:v>
                </c:pt>
                <c:pt idx="7">
                  <c:v>7861343.7555000018</c:v>
                </c:pt>
                <c:pt idx="8">
                  <c:v>7905758.1270000022</c:v>
                </c:pt>
                <c:pt idx="9">
                  <c:v>7905758.1270000022</c:v>
                </c:pt>
                <c:pt idx="10">
                  <c:v>7861343.7555000018</c:v>
                </c:pt>
                <c:pt idx="11">
                  <c:v>7772515.012500002</c:v>
                </c:pt>
                <c:pt idx="12">
                  <c:v>7639271.8980000019</c:v>
                </c:pt>
                <c:pt idx="13">
                  <c:v>7461614.4120000014</c:v>
                </c:pt>
                <c:pt idx="14">
                  <c:v>7239542.5545000015</c:v>
                </c:pt>
                <c:pt idx="15">
                  <c:v>6973056.3255000012</c:v>
                </c:pt>
                <c:pt idx="16">
                  <c:v>6662155.7250000006</c:v>
                </c:pt>
                <c:pt idx="17">
                  <c:v>6306840.7530000005</c:v>
                </c:pt>
                <c:pt idx="18">
                  <c:v>5907111.4095000001</c:v>
                </c:pt>
                <c:pt idx="19">
                  <c:v>5462967.6944999993</c:v>
                </c:pt>
                <c:pt idx="20">
                  <c:v>4974409.6079999991</c:v>
                </c:pt>
                <c:pt idx="21">
                  <c:v>4441437.1499999985</c:v>
                </c:pt>
                <c:pt idx="22">
                  <c:v>3864050.3204999999</c:v>
                </c:pt>
              </c:numCache>
            </c:numRef>
          </c:val>
          <c:smooth val="0"/>
          <c:extLst>
            <c:ext xmlns:c16="http://schemas.microsoft.com/office/drawing/2014/chart" uri="{C3380CC4-5D6E-409C-BE32-E72D297353CC}">
              <c16:uniqueId val="{00000000-75B9-4A04-A3E9-96C56FE7E284}"/>
            </c:ext>
          </c:extLst>
        </c:ser>
        <c:ser>
          <c:idx val="1"/>
          <c:order val="1"/>
          <c:tx>
            <c:v>Затраты</c:v>
          </c:tx>
          <c:spPr>
            <a:ln w="28575" cap="rnd">
              <a:solidFill>
                <a:schemeClr val="accent2"/>
              </a:solidFill>
              <a:round/>
            </a:ln>
            <a:effectLst/>
          </c:spPr>
          <c:marker>
            <c:symbol val="none"/>
          </c:marker>
          <c:cat>
            <c:numRef>
              <c:f>Лист1!$E$85:$AA$85</c:f>
              <c:numCache>
                <c:formatCode>0%</c:formatCode>
                <c:ptCount val="23"/>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numCache>
            </c:numRef>
          </c:cat>
          <c:val>
            <c:numRef>
              <c:f>Лист1!$E$91:$AA$91</c:f>
              <c:numCache>
                <c:formatCode>General</c:formatCode>
                <c:ptCount val="23"/>
                <c:pt idx="0">
                  <c:v>3557180</c:v>
                </c:pt>
                <c:pt idx="1">
                  <c:v>3653320</c:v>
                </c:pt>
                <c:pt idx="2">
                  <c:v>3754267</c:v>
                </c:pt>
                <c:pt idx="3">
                  <c:v>3860021</c:v>
                </c:pt>
                <c:pt idx="4">
                  <c:v>3970582.0000000005</c:v>
                </c:pt>
                <c:pt idx="5">
                  <c:v>4085950.0000000005</c:v>
                </c:pt>
                <c:pt idx="6">
                  <c:v>4206125.0000000009</c:v>
                </c:pt>
                <c:pt idx="7">
                  <c:v>4331107.0000000009</c:v>
                </c:pt>
                <c:pt idx="8">
                  <c:v>4460896.0000000009</c:v>
                </c:pt>
                <c:pt idx="9">
                  <c:v>4595492.0000000009</c:v>
                </c:pt>
                <c:pt idx="10">
                  <c:v>4734895.0000000009</c:v>
                </c:pt>
                <c:pt idx="11">
                  <c:v>4879105.0000000009</c:v>
                </c:pt>
                <c:pt idx="12">
                  <c:v>5028122</c:v>
                </c:pt>
                <c:pt idx="13">
                  <c:v>5181946</c:v>
                </c:pt>
                <c:pt idx="14">
                  <c:v>5340577</c:v>
                </c:pt>
                <c:pt idx="15">
                  <c:v>5504015</c:v>
                </c:pt>
                <c:pt idx="16">
                  <c:v>5672260</c:v>
                </c:pt>
                <c:pt idx="17">
                  <c:v>5845312</c:v>
                </c:pt>
                <c:pt idx="18">
                  <c:v>6023170.9999999991</c:v>
                </c:pt>
                <c:pt idx="19">
                  <c:v>6205837</c:v>
                </c:pt>
                <c:pt idx="20">
                  <c:v>6393309.9999999991</c:v>
                </c:pt>
                <c:pt idx="21">
                  <c:v>6585589.9999999991</c:v>
                </c:pt>
                <c:pt idx="22">
                  <c:v>6782676.9999999991</c:v>
                </c:pt>
              </c:numCache>
            </c:numRef>
          </c:val>
          <c:smooth val="0"/>
          <c:extLst>
            <c:ext xmlns:c16="http://schemas.microsoft.com/office/drawing/2014/chart" uri="{C3380CC4-5D6E-409C-BE32-E72D297353CC}">
              <c16:uniqueId val="{00000001-75B9-4A04-A3E9-96C56FE7E284}"/>
            </c:ext>
          </c:extLst>
        </c:ser>
        <c:ser>
          <c:idx val="2"/>
          <c:order val="2"/>
          <c:tx>
            <c:v>NPV</c:v>
          </c:tx>
          <c:spPr>
            <a:ln w="28575" cap="rnd">
              <a:solidFill>
                <a:schemeClr val="accent3"/>
              </a:solidFill>
              <a:round/>
            </a:ln>
            <a:effectLst/>
          </c:spPr>
          <c:marker>
            <c:symbol val="none"/>
          </c:marker>
          <c:cat>
            <c:numRef>
              <c:f>Лист1!$E$85:$AA$85</c:f>
              <c:numCache>
                <c:formatCode>0%</c:formatCode>
                <c:ptCount val="23"/>
                <c:pt idx="0">
                  <c:v>0.72999999999999976</c:v>
                </c:pt>
                <c:pt idx="1">
                  <c:v>0.75999999999999979</c:v>
                </c:pt>
                <c:pt idx="2">
                  <c:v>0.78999999999999981</c:v>
                </c:pt>
                <c:pt idx="3">
                  <c:v>0.81999999999999984</c:v>
                </c:pt>
                <c:pt idx="4">
                  <c:v>0.84999999999999987</c:v>
                </c:pt>
                <c:pt idx="5">
                  <c:v>0.87999999999999989</c:v>
                </c:pt>
                <c:pt idx="6">
                  <c:v>0.90999999999999992</c:v>
                </c:pt>
                <c:pt idx="7">
                  <c:v>0.94</c:v>
                </c:pt>
                <c:pt idx="8">
                  <c:v>0.97</c:v>
                </c:pt>
                <c:pt idx="9">
                  <c:v>1</c:v>
                </c:pt>
                <c:pt idx="10">
                  <c:v>1.03</c:v>
                </c:pt>
                <c:pt idx="11">
                  <c:v>1.06</c:v>
                </c:pt>
                <c:pt idx="12">
                  <c:v>1.0900000000000001</c:v>
                </c:pt>
                <c:pt idx="13">
                  <c:v>1.1200000000000001</c:v>
                </c:pt>
                <c:pt idx="14">
                  <c:v>1.1500000000000001</c:v>
                </c:pt>
                <c:pt idx="15">
                  <c:v>1.1800000000000002</c:v>
                </c:pt>
                <c:pt idx="16">
                  <c:v>1.2100000000000002</c:v>
                </c:pt>
                <c:pt idx="17">
                  <c:v>1.2400000000000002</c:v>
                </c:pt>
                <c:pt idx="18">
                  <c:v>1.2700000000000002</c:v>
                </c:pt>
                <c:pt idx="19">
                  <c:v>1.3000000000000003</c:v>
                </c:pt>
                <c:pt idx="20">
                  <c:v>1.3300000000000003</c:v>
                </c:pt>
                <c:pt idx="21">
                  <c:v>1.3600000000000003</c:v>
                </c:pt>
                <c:pt idx="22">
                  <c:v>1.3900000000000003</c:v>
                </c:pt>
              </c:numCache>
            </c:numRef>
          </c:cat>
          <c:val>
            <c:numRef>
              <c:f>Лист1!$E$94:$AA$94</c:f>
              <c:numCache>
                <c:formatCode>General</c:formatCode>
                <c:ptCount val="23"/>
                <c:pt idx="0">
                  <c:v>1171339.1503053191</c:v>
                </c:pt>
                <c:pt idx="1">
                  <c:v>1202996.9651784359</c:v>
                </c:pt>
                <c:pt idx="2">
                  <c:v>1258398.1412063902</c:v>
                </c:pt>
                <c:pt idx="3">
                  <c:v>1337542.6783891821</c:v>
                </c:pt>
                <c:pt idx="4">
                  <c:v>1440430.5767268117</c:v>
                </c:pt>
                <c:pt idx="5">
                  <c:v>1567061.8362192784</c:v>
                </c:pt>
                <c:pt idx="6">
                  <c:v>1669949.734556908</c:v>
                </c:pt>
                <c:pt idx="7">
                  <c:v>1749094.2717396999</c:v>
                </c:pt>
                <c:pt idx="8">
                  <c:v>1804495.447767654</c:v>
                </c:pt>
                <c:pt idx="9">
                  <c:v>1836153.2626407708</c:v>
                </c:pt>
                <c:pt idx="10">
                  <c:v>1844067.7163590498</c:v>
                </c:pt>
                <c:pt idx="11">
                  <c:v>1828238.8089224915</c:v>
                </c:pt>
                <c:pt idx="12">
                  <c:v>1788666.5403310957</c:v>
                </c:pt>
                <c:pt idx="13">
                  <c:v>1725350.9105848621</c:v>
                </c:pt>
                <c:pt idx="14">
                  <c:v>1638291.9196837912</c:v>
                </c:pt>
                <c:pt idx="15">
                  <c:v>1527489.5676278826</c:v>
                </c:pt>
                <c:pt idx="16">
                  <c:v>1392943.8544171364</c:v>
                </c:pt>
                <c:pt idx="17">
                  <c:v>1234654.7800515529</c:v>
                </c:pt>
                <c:pt idx="18">
                  <c:v>1052622.3445311317</c:v>
                </c:pt>
                <c:pt idx="19">
                  <c:v>846846.54785587289</c:v>
                </c:pt>
                <c:pt idx="20">
                  <c:v>617327.39002577646</c:v>
                </c:pt>
                <c:pt idx="21">
                  <c:v>364064.87104084261</c:v>
                </c:pt>
                <c:pt idx="22">
                  <c:v>87058.990901071229</c:v>
                </c:pt>
              </c:numCache>
            </c:numRef>
          </c:val>
          <c:smooth val="0"/>
          <c:extLst>
            <c:ext xmlns:c16="http://schemas.microsoft.com/office/drawing/2014/chart" uri="{C3380CC4-5D6E-409C-BE32-E72D297353CC}">
              <c16:uniqueId val="{00000002-75B9-4A04-A3E9-96C56FE7E284}"/>
            </c:ext>
          </c:extLst>
        </c:ser>
        <c:dLbls>
          <c:showLegendKey val="0"/>
          <c:showVal val="0"/>
          <c:showCatName val="0"/>
          <c:showSerName val="0"/>
          <c:showPercent val="0"/>
          <c:showBubbleSize val="0"/>
        </c:dLbls>
        <c:smooth val="0"/>
        <c:axId val="43300864"/>
        <c:axId val="193812672"/>
      </c:lineChart>
      <c:catAx>
        <c:axId val="43300864"/>
        <c:scaling>
          <c:orientation val="minMax"/>
        </c:scaling>
        <c:delete val="0"/>
        <c:axPos val="b"/>
        <c:title>
          <c:tx>
            <c:rich>
              <a:bodyPr/>
              <a:lstStyle/>
              <a:p>
                <a:pPr>
                  <a:defRPr/>
                </a:pPr>
                <a:r>
                  <a:rPr lang="ru-RU"/>
                  <a:t>Процентное изменение себестоисмости продукции</a:t>
                </a:r>
              </a:p>
            </c:rich>
          </c:tx>
          <c:overlay val="0"/>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3812672"/>
        <c:crosses val="autoZero"/>
        <c:auto val="1"/>
        <c:lblAlgn val="ctr"/>
        <c:lblOffset val="100"/>
        <c:noMultiLvlLbl val="0"/>
      </c:catAx>
      <c:valAx>
        <c:axId val="19381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30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chart" Target="../charts/chart5.xml"/><Relationship Id="rId7" Type="http://schemas.openxmlformats.org/officeDocument/2006/relationships/hyperlink" Target="#&#1057;&#1090;&#1088;&#1091;&#1082;&#1090;&#1091;&#1088;&#1072;!A1"/><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17.png"/><Relationship Id="rId5" Type="http://schemas.openxmlformats.org/officeDocument/2006/relationships/image" Target="../media/image3.png"/><Relationship Id="rId4" Type="http://schemas.openxmlformats.org/officeDocument/2006/relationships/image" Target="../media/image26.png"/></Relationships>
</file>

<file path=xl/drawings/_rels/drawing11.xml.rels><?xml version="1.0" encoding="UTF-8" standalone="yes"?>
<Relationships xmlns="http://schemas.openxmlformats.org/package/2006/relationships"><Relationship Id="rId3" Type="http://schemas.openxmlformats.org/officeDocument/2006/relationships/hyperlink" Target="#&#1057;&#1090;&#1088;&#1091;&#1082;&#1090;&#1091;&#1088;&#1072;!A1"/><Relationship Id="rId2" Type="http://schemas.openxmlformats.org/officeDocument/2006/relationships/image" Target="../media/image3.png"/><Relationship Id="rId1" Type="http://schemas.openxmlformats.org/officeDocument/2006/relationships/image" Target="../media/image27.png"/><Relationship Id="rId4" Type="http://schemas.openxmlformats.org/officeDocument/2006/relationships/image" Target="../media/image13.png"/></Relationships>
</file>

<file path=xl/drawings/_rels/drawing1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hyperlink" Target="#'&#1045;&#1078;&#1077;&#1084;&#1077;&#1089;&#1103;&#1095;&#1085;&#1099;&#1077; &#1079;&#1072;&#1090;&#1088;&#1072;&#1090;&#1099;'!A1"/><Relationship Id="rId13"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6.png"/><Relationship Id="rId12" Type="http://schemas.openxmlformats.org/officeDocument/2006/relationships/hyperlink" Target="#&#1055;&#1088;&#1080;&#1073;&#1099;&#1083;&#1100;_&#1086;&#1082;&#1091;&#1087;&#1072;&#1077;&#1084;&#1086;&#1089;&#1090;&#1100;!A1"/><Relationship Id="rId17" Type="http://schemas.openxmlformats.org/officeDocument/2006/relationships/image" Target="../media/image11.png"/><Relationship Id="rId2" Type="http://schemas.openxmlformats.org/officeDocument/2006/relationships/hyperlink" Target="#'&#1042;&#1093;&#1086;&#1076;&#1103;&#1097;&#1080;&#1077; &#1076;&#1072;&#1085;&#1085;&#1099;&#1077;'!A1"/><Relationship Id="rId16" Type="http://schemas.openxmlformats.org/officeDocument/2006/relationships/hyperlink" Target="#&#1043;&#1083;&#1086;&#1089;&#1089;&#1072;&#1088;&#1080;&#1081;!A1"/><Relationship Id="rId1" Type="http://schemas.openxmlformats.org/officeDocument/2006/relationships/image" Target="../media/image1.png"/><Relationship Id="rId6" Type="http://schemas.openxmlformats.org/officeDocument/2006/relationships/hyperlink" Target="#'&#1048;&#1085;&#1074;&#1077;&#1089;&#1090;&#1080;&#1094;&#1080;&#1080; &#1085;&#1072; &#1086;&#1088;&#1075;-&#1094;&#1080;&#1102; &#1073;&#1080;&#1079;&#1085;&#1077;&#1089;&#1072;'!A1"/><Relationship Id="rId11" Type="http://schemas.openxmlformats.org/officeDocument/2006/relationships/image" Target="../media/image8.png"/><Relationship Id="rId5" Type="http://schemas.openxmlformats.org/officeDocument/2006/relationships/image" Target="../media/image5.png"/><Relationship Id="rId15" Type="http://schemas.openxmlformats.org/officeDocument/2006/relationships/image" Target="../media/image10.png"/><Relationship Id="rId10" Type="http://schemas.openxmlformats.org/officeDocument/2006/relationships/hyperlink" Target="#&#1055;&#1088;&#1086;&#1076;&#1072;&#1078;&#1080;!A1"/><Relationship Id="rId4" Type="http://schemas.openxmlformats.org/officeDocument/2006/relationships/hyperlink" Target="#'&#1069;&#1090;&#1072;&#1087;&#1099; &#1079;&#1072;&#1087;&#1091;&#1089;&#1082;&#1072; &#1055;&#1088;&#1086;&#1077;&#1082;&#1090;&#1072;'!A1"/><Relationship Id="rId9" Type="http://schemas.openxmlformats.org/officeDocument/2006/relationships/image" Target="../media/image7.png"/><Relationship Id="rId14" Type="http://schemas.openxmlformats.org/officeDocument/2006/relationships/hyperlink" Target="#&#1043;&#1080;&#1073;&#1082;&#1086;&#1089;&#1090;&#1100;!A1"/></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hyperlink" Target="#&#1057;&#1090;&#1088;&#1091;&#1082;&#1090;&#1091;&#1088;&#1072;!A1"/><Relationship Id="rId1" Type="http://schemas.openxmlformats.org/officeDocument/2006/relationships/image" Target="../media/image12.png"/><Relationship Id="rId5" Type="http://schemas.openxmlformats.org/officeDocument/2006/relationships/image" Target="../media/image3.png"/><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openxmlformats.org/officeDocument/2006/relationships/hyperlink" Target="#&#1057;&#1090;&#1088;&#1091;&#1082;&#1090;&#1091;&#1088;&#1072;!A1"/><Relationship Id="rId7" Type="http://schemas.openxmlformats.org/officeDocument/2006/relationships/image" Target="../media/image3.png"/><Relationship Id="rId2" Type="http://schemas.microsoft.com/office/2007/relationships/hdphoto" Target="../media/hdphoto1.wdp"/><Relationship Id="rId1" Type="http://schemas.openxmlformats.org/officeDocument/2006/relationships/image" Target="../media/image15.png"/><Relationship Id="rId6" Type="http://schemas.openxmlformats.org/officeDocument/2006/relationships/image" Target="../media/image16.png"/><Relationship Id="rId5" Type="http://schemas.openxmlformats.org/officeDocument/2006/relationships/image" Target="../media/image12.png"/><Relationship Id="rId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hyperlink" Target="#&#1057;&#1090;&#1088;&#1091;&#1082;&#1090;&#1091;&#1088;&#1072;!A1"/><Relationship Id="rId1" Type="http://schemas.openxmlformats.org/officeDocument/2006/relationships/image" Target="../media/image17.png"/><Relationship Id="rId5" Type="http://schemas.openxmlformats.org/officeDocument/2006/relationships/image" Target="../media/image3.png"/><Relationship Id="rId4" Type="http://schemas.openxmlformats.org/officeDocument/2006/relationships/image" Target="../media/image1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hyperlink" Target="#&#1057;&#1090;&#1088;&#1091;&#1082;&#1090;&#1091;&#1088;&#1072;!A1"/><Relationship Id="rId1" Type="http://schemas.openxmlformats.org/officeDocument/2006/relationships/image" Target="../media/image17.png"/><Relationship Id="rId5" Type="http://schemas.openxmlformats.org/officeDocument/2006/relationships/image" Target="../media/image3.png"/><Relationship Id="rId4" Type="http://schemas.openxmlformats.org/officeDocument/2006/relationships/image" Target="../media/image19.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3.png"/><Relationship Id="rId1" Type="http://schemas.openxmlformats.org/officeDocument/2006/relationships/image" Target="../media/image20.png"/><Relationship Id="rId5" Type="http://schemas.openxmlformats.org/officeDocument/2006/relationships/image" Target="../media/image13.png"/><Relationship Id="rId4" Type="http://schemas.openxmlformats.org/officeDocument/2006/relationships/hyperlink" Target="#&#1057;&#1090;&#1088;&#1091;&#1082;&#1090;&#1091;&#1088;&#1072;!A1"/></Relationships>
</file>

<file path=xl/drawings/_rels/drawing8.xml.rels><?xml version="1.0" encoding="UTF-8" standalone="yes"?>
<Relationships xmlns="http://schemas.openxmlformats.org/package/2006/relationships"><Relationship Id="rId3" Type="http://schemas.openxmlformats.org/officeDocument/2006/relationships/hyperlink" Target="#&#1057;&#1090;&#1088;&#1091;&#1082;&#1090;&#1091;&#1088;&#1072;!A1"/><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image" Target="../media/image2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7.png"/><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hyperlink" Target="#&#1057;&#1090;&#1088;&#1091;&#1082;&#1090;&#1091;&#1088;&#1072;!A1"/></Relationships>
</file>

<file path=xl/drawings/drawing1.xml><?xml version="1.0" encoding="utf-8"?>
<xdr:wsDr xmlns:xdr="http://schemas.openxmlformats.org/drawingml/2006/spreadsheetDrawing" xmlns:a="http://schemas.openxmlformats.org/drawingml/2006/main">
  <xdr:twoCellAnchor editAs="oneCell">
    <xdr:from>
      <xdr:col>5</xdr:col>
      <xdr:colOff>54428</xdr:colOff>
      <xdr:row>9</xdr:row>
      <xdr:rowOff>68036</xdr:rowOff>
    </xdr:from>
    <xdr:to>
      <xdr:col>13</xdr:col>
      <xdr:colOff>472539</xdr:colOff>
      <xdr:row>26</xdr:row>
      <xdr:rowOff>184722</xdr:rowOff>
    </xdr:to>
    <xdr:pic>
      <xdr:nvPicPr>
        <xdr:cNvPr id="5" name="Рисунок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16035" y="1782536"/>
          <a:ext cx="5316683" cy="3355186"/>
        </a:xfrm>
        <a:prstGeom prst="rect">
          <a:avLst/>
        </a:prstGeom>
      </xdr:spPr>
    </xdr:pic>
    <xdr:clientData/>
  </xdr:twoCellAnchor>
  <xdr:twoCellAnchor>
    <xdr:from>
      <xdr:col>11</xdr:col>
      <xdr:colOff>449035</xdr:colOff>
      <xdr:row>7</xdr:row>
      <xdr:rowOff>68036</xdr:rowOff>
    </xdr:from>
    <xdr:to>
      <xdr:col>12</xdr:col>
      <xdr:colOff>40822</xdr:colOff>
      <xdr:row>8</xdr:row>
      <xdr:rowOff>176893</xdr:rowOff>
    </xdr:to>
    <xdr:sp macro="" textlink="">
      <xdr:nvSpPr>
        <xdr:cNvPr id="6" name="Прямоугольник 5"/>
        <xdr:cNvSpPr/>
      </xdr:nvSpPr>
      <xdr:spPr>
        <a:xfrm>
          <a:off x="7184571" y="1401536"/>
          <a:ext cx="204108" cy="299357"/>
        </a:xfrm>
        <a:prstGeom prst="rect">
          <a:avLst/>
        </a:prstGeom>
        <a:solidFill>
          <a:srgbClr val="125D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3</xdr:col>
      <xdr:colOff>217713</xdr:colOff>
      <xdr:row>3</xdr:row>
      <xdr:rowOff>190499</xdr:rowOff>
    </xdr:from>
    <xdr:to>
      <xdr:col>15</xdr:col>
      <xdr:colOff>101883</xdr:colOff>
      <xdr:row>9</xdr:row>
      <xdr:rowOff>143300</xdr:rowOff>
    </xdr:to>
    <xdr:grpSp>
      <xdr:nvGrpSpPr>
        <xdr:cNvPr id="7" name="Группа 6"/>
        <xdr:cNvGrpSpPr/>
      </xdr:nvGrpSpPr>
      <xdr:grpSpPr>
        <a:xfrm>
          <a:off x="2033066" y="761999"/>
          <a:ext cx="7145582" cy="1095801"/>
          <a:chOff x="2033066" y="761999"/>
          <a:chExt cx="7145582" cy="1095801"/>
        </a:xfrm>
      </xdr:grpSpPr>
      <xdr:pic>
        <xdr:nvPicPr>
          <xdr:cNvPr id="2" name="Рисунок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33066" y="761999"/>
            <a:ext cx="7145582" cy="1088571"/>
          </a:xfrm>
          <a:prstGeom prst="rect">
            <a:avLst/>
          </a:prstGeom>
        </xdr:spPr>
      </xdr:pic>
      <xdr:pic>
        <xdr:nvPicPr>
          <xdr:cNvPr id="4" name="Рисунок 3"/>
          <xdr:cNvPicPr>
            <a:picLocks noChangeAspect="1"/>
          </xdr:cNvPicPr>
        </xdr:nvPicPr>
        <xdr:blipFill>
          <a:blip xmlns:r="http://schemas.openxmlformats.org/officeDocument/2006/relationships" r:embed="rId3"/>
          <a:stretch>
            <a:fillRect/>
          </a:stretch>
        </xdr:blipFill>
        <xdr:spPr>
          <a:xfrm>
            <a:off x="7066873" y="1333499"/>
            <a:ext cx="912264" cy="524301"/>
          </a:xfrm>
          <a:prstGeom prst="rect">
            <a:avLst/>
          </a:prstGeom>
        </xdr:spPr>
      </xdr:pic>
    </xdr:grp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238125</xdr:colOff>
      <xdr:row>10</xdr:row>
      <xdr:rowOff>71437</xdr:rowOff>
    </xdr:from>
    <xdr:to>
      <xdr:col>12</xdr:col>
      <xdr:colOff>761999</xdr:colOff>
      <xdr:row>17</xdr:row>
      <xdr:rowOff>2595562</xdr:rowOff>
    </xdr:to>
    <xdr:graphicFrame macro="">
      <xdr:nvGraphicFramePr>
        <xdr:cNvPr id="9" name="Диаграмма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238124</xdr:colOff>
      <xdr:row>18</xdr:row>
      <xdr:rowOff>333374</xdr:rowOff>
    </xdr:from>
    <xdr:to>
      <xdr:col>12</xdr:col>
      <xdr:colOff>761998</xdr:colOff>
      <xdr:row>26</xdr:row>
      <xdr:rowOff>142873</xdr:rowOff>
    </xdr:to>
    <xdr:graphicFrame macro="">
      <xdr:nvGraphicFramePr>
        <xdr:cNvPr id="10" name="Диаграмма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261936</xdr:colOff>
      <xdr:row>26</xdr:row>
      <xdr:rowOff>428624</xdr:rowOff>
    </xdr:from>
    <xdr:to>
      <xdr:col>12</xdr:col>
      <xdr:colOff>761998</xdr:colOff>
      <xdr:row>33</xdr:row>
      <xdr:rowOff>380999</xdr:rowOff>
    </xdr:to>
    <xdr:graphicFrame macro="">
      <xdr:nvGraphicFramePr>
        <xdr:cNvPr id="11" name="Диаграмма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653143</xdr:colOff>
      <xdr:row>2</xdr:row>
      <xdr:rowOff>13607</xdr:rowOff>
    </xdr:from>
    <xdr:to>
      <xdr:col>11</xdr:col>
      <xdr:colOff>469079</xdr:colOff>
      <xdr:row>5</xdr:row>
      <xdr:rowOff>233065</xdr:rowOff>
    </xdr:to>
    <xdr:grpSp>
      <xdr:nvGrpSpPr>
        <xdr:cNvPr id="3" name="Группа 2"/>
        <xdr:cNvGrpSpPr/>
      </xdr:nvGrpSpPr>
      <xdr:grpSpPr>
        <a:xfrm>
          <a:off x="2530929" y="394607"/>
          <a:ext cx="6333757" cy="981458"/>
          <a:chOff x="2538436" y="394607"/>
          <a:chExt cx="6273229" cy="968320"/>
        </a:xfrm>
      </xdr:grpSpPr>
      <xdr:pic>
        <xdr:nvPicPr>
          <xdr:cNvPr id="2" name="Рисунок 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38436" y="394607"/>
            <a:ext cx="6273229" cy="968320"/>
          </a:xfrm>
          <a:prstGeom prst="rect">
            <a:avLst/>
          </a:prstGeom>
        </xdr:spPr>
      </xdr:pic>
      <xdr:sp macro="" textlink="">
        <xdr:nvSpPr>
          <xdr:cNvPr id="6" name="Прямоугольник 5"/>
          <xdr:cNvSpPr/>
        </xdr:nvSpPr>
        <xdr:spPr>
          <a:xfrm>
            <a:off x="6893661" y="967985"/>
            <a:ext cx="204108" cy="297011"/>
          </a:xfrm>
          <a:prstGeom prst="rect">
            <a:avLst/>
          </a:prstGeom>
          <a:solidFill>
            <a:srgbClr val="125D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pSp>
    <xdr:clientData/>
  </xdr:twoCellAnchor>
  <xdr:twoCellAnchor editAs="oneCell">
    <xdr:from>
      <xdr:col>9</xdr:col>
      <xdr:colOff>95720</xdr:colOff>
      <xdr:row>4</xdr:row>
      <xdr:rowOff>74135</xdr:rowOff>
    </xdr:from>
    <xdr:to>
      <xdr:col>10</xdr:col>
      <xdr:colOff>62183</xdr:colOff>
      <xdr:row>6</xdr:row>
      <xdr:rowOff>1</xdr:rowOff>
    </xdr:to>
    <xdr:pic>
      <xdr:nvPicPr>
        <xdr:cNvPr id="7" name="Рисунок 6"/>
        <xdr:cNvPicPr>
          <a:picLocks noChangeAspect="1"/>
        </xdr:cNvPicPr>
      </xdr:nvPicPr>
      <xdr:blipFill>
        <a:blip xmlns:r="http://schemas.openxmlformats.org/officeDocument/2006/relationships" r:embed="rId5"/>
        <a:stretch>
          <a:fillRect/>
        </a:stretch>
      </xdr:blipFill>
      <xdr:spPr>
        <a:xfrm>
          <a:off x="6822341" y="947807"/>
          <a:ext cx="774445" cy="438246"/>
        </a:xfrm>
        <a:prstGeom prst="rect">
          <a:avLst/>
        </a:prstGeom>
      </xdr:spPr>
    </xdr:pic>
    <xdr:clientData/>
  </xdr:twoCellAnchor>
  <xdr:twoCellAnchor editAs="oneCell">
    <xdr:from>
      <xdr:col>5</xdr:col>
      <xdr:colOff>748394</xdr:colOff>
      <xdr:row>6</xdr:row>
      <xdr:rowOff>27214</xdr:rowOff>
    </xdr:from>
    <xdr:to>
      <xdr:col>9</xdr:col>
      <xdr:colOff>503466</xdr:colOff>
      <xdr:row>6</xdr:row>
      <xdr:rowOff>1904536</xdr:rowOff>
    </xdr:to>
    <xdr:pic>
      <xdr:nvPicPr>
        <xdr:cNvPr id="8" name="Рисунок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259037" y="1428750"/>
          <a:ext cx="3007179" cy="1877322"/>
        </a:xfrm>
        <a:prstGeom prst="rect">
          <a:avLst/>
        </a:prstGeom>
      </xdr:spPr>
    </xdr:pic>
    <xdr:clientData/>
  </xdr:twoCellAnchor>
  <xdr:twoCellAnchor editAs="oneCell">
    <xdr:from>
      <xdr:col>1</xdr:col>
      <xdr:colOff>244928</xdr:colOff>
      <xdr:row>6</xdr:row>
      <xdr:rowOff>1796143</xdr:rowOff>
    </xdr:from>
    <xdr:to>
      <xdr:col>3</xdr:col>
      <xdr:colOff>748072</xdr:colOff>
      <xdr:row>7</xdr:row>
      <xdr:rowOff>446061</xdr:rowOff>
    </xdr:to>
    <xdr:pic>
      <xdr:nvPicPr>
        <xdr:cNvPr id="12" name="Рисунок 11">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30678" y="3197679"/>
          <a:ext cx="2095180" cy="6637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2694214</xdr:colOff>
      <xdr:row>1</xdr:row>
      <xdr:rowOff>149679</xdr:rowOff>
    </xdr:from>
    <xdr:to>
      <xdr:col>1</xdr:col>
      <xdr:colOff>6647478</xdr:colOff>
      <xdr:row>7</xdr:row>
      <xdr:rowOff>58875</xdr:rowOff>
    </xdr:to>
    <xdr:grpSp>
      <xdr:nvGrpSpPr>
        <xdr:cNvPr id="10" name="Группа 9"/>
        <xdr:cNvGrpSpPr/>
      </xdr:nvGrpSpPr>
      <xdr:grpSpPr>
        <a:xfrm>
          <a:off x="4572000" y="340179"/>
          <a:ext cx="3953264" cy="1052196"/>
          <a:chOff x="4569906" y="340179"/>
          <a:chExt cx="3953264" cy="1052196"/>
        </a:xfrm>
      </xdr:grpSpPr>
      <xdr:grpSp>
        <xdr:nvGrpSpPr>
          <xdr:cNvPr id="9" name="Группа 8"/>
          <xdr:cNvGrpSpPr/>
        </xdr:nvGrpSpPr>
        <xdr:grpSpPr>
          <a:xfrm>
            <a:off x="4569906" y="340179"/>
            <a:ext cx="3953264" cy="1027178"/>
            <a:chOff x="4572938" y="340179"/>
            <a:chExt cx="3953264" cy="1027178"/>
          </a:xfrm>
        </xdr:grpSpPr>
        <xdr:pic>
          <xdr:nvPicPr>
            <xdr:cNvPr id="3" name="Рисунок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2938" y="340179"/>
              <a:ext cx="3953264" cy="1027178"/>
            </a:xfrm>
            <a:prstGeom prst="rect">
              <a:avLst/>
            </a:prstGeom>
          </xdr:spPr>
        </xdr:pic>
        <xdr:sp macro="" textlink="">
          <xdr:nvSpPr>
            <xdr:cNvPr id="5" name="Прямоугольник 4"/>
            <xdr:cNvSpPr/>
          </xdr:nvSpPr>
          <xdr:spPr>
            <a:xfrm>
              <a:off x="7770617" y="1003176"/>
              <a:ext cx="204108" cy="299357"/>
            </a:xfrm>
            <a:prstGeom prst="rect">
              <a:avLst/>
            </a:prstGeom>
            <a:solidFill>
              <a:srgbClr val="125D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pSp>
      <xdr:pic>
        <xdr:nvPicPr>
          <xdr:cNvPr id="6" name="Рисунок 5"/>
          <xdr:cNvPicPr>
            <a:picLocks noChangeAspect="1"/>
          </xdr:cNvPicPr>
        </xdr:nvPicPr>
        <xdr:blipFill>
          <a:blip xmlns:r="http://schemas.openxmlformats.org/officeDocument/2006/relationships" r:embed="rId2"/>
          <a:stretch>
            <a:fillRect/>
          </a:stretch>
        </xdr:blipFill>
        <xdr:spPr>
          <a:xfrm>
            <a:off x="7708646" y="949216"/>
            <a:ext cx="783258" cy="443159"/>
          </a:xfrm>
          <a:prstGeom prst="rect">
            <a:avLst/>
          </a:prstGeom>
        </xdr:spPr>
      </xdr:pic>
    </xdr:grpSp>
    <xdr:clientData/>
  </xdr:twoCellAnchor>
  <xdr:twoCellAnchor editAs="oneCell">
    <xdr:from>
      <xdr:col>0</xdr:col>
      <xdr:colOff>217714</xdr:colOff>
      <xdr:row>3</xdr:row>
      <xdr:rowOff>176893</xdr:rowOff>
    </xdr:from>
    <xdr:to>
      <xdr:col>1</xdr:col>
      <xdr:colOff>435108</xdr:colOff>
      <xdr:row>7</xdr:row>
      <xdr:rowOff>78668</xdr:rowOff>
    </xdr:to>
    <xdr:pic>
      <xdr:nvPicPr>
        <xdr:cNvPr id="8" name="Рисунок 7">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17714" y="748393"/>
          <a:ext cx="2095180" cy="6637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190499</xdr:colOff>
      <xdr:row>24</xdr:row>
      <xdr:rowOff>138112</xdr:rowOff>
    </xdr:from>
    <xdr:to>
      <xdr:col>14</xdr:col>
      <xdr:colOff>628649</xdr:colOff>
      <xdr:row>38</xdr:row>
      <xdr:rowOff>114300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22</xdr:row>
      <xdr:rowOff>42862</xdr:rowOff>
    </xdr:from>
    <xdr:to>
      <xdr:col>7</xdr:col>
      <xdr:colOff>295275</xdr:colOff>
      <xdr:row>36</xdr:row>
      <xdr:rowOff>119062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449036</xdr:colOff>
      <xdr:row>64</xdr:row>
      <xdr:rowOff>9524</xdr:rowOff>
    </xdr:from>
    <xdr:to>
      <xdr:col>9</xdr:col>
      <xdr:colOff>408215</xdr:colOff>
      <xdr:row>78</xdr:row>
      <xdr:rowOff>85724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526676</xdr:colOff>
      <xdr:row>99</xdr:row>
      <xdr:rowOff>89647</xdr:rowOff>
    </xdr:from>
    <xdr:to>
      <xdr:col>13</xdr:col>
      <xdr:colOff>145678</xdr:colOff>
      <xdr:row>114</xdr:row>
      <xdr:rowOff>190499</xdr:rowOff>
    </xdr:to>
    <xdr:graphicFrame macro="">
      <xdr:nvGraphicFramePr>
        <xdr:cNvPr id="5" name="Диаграмма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1145961</xdr:colOff>
      <xdr:row>109</xdr:row>
      <xdr:rowOff>112138</xdr:rowOff>
    </xdr:from>
    <xdr:to>
      <xdr:col>26</xdr:col>
      <xdr:colOff>332974</xdr:colOff>
      <xdr:row>131</xdr:row>
      <xdr:rowOff>56109</xdr:rowOff>
    </xdr:to>
    <xdr:graphicFrame macro="">
      <xdr:nvGraphicFramePr>
        <xdr:cNvPr id="6" name="Диаграмма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103906</xdr:colOff>
      <xdr:row>13</xdr:row>
      <xdr:rowOff>55075</xdr:rowOff>
    </xdr:from>
    <xdr:to>
      <xdr:col>16</xdr:col>
      <xdr:colOff>571498</xdr:colOff>
      <xdr:row>30</xdr:row>
      <xdr:rowOff>171761</xdr:rowOff>
    </xdr:to>
    <xdr:pic>
      <xdr:nvPicPr>
        <xdr:cNvPr id="2" name="Рисунок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52997" y="2531575"/>
          <a:ext cx="5316683" cy="3355186"/>
        </a:xfrm>
        <a:prstGeom prst="rect">
          <a:avLst/>
        </a:prstGeom>
      </xdr:spPr>
    </xdr:pic>
    <xdr:clientData/>
  </xdr:twoCellAnchor>
  <xdr:twoCellAnchor editAs="oneCell">
    <xdr:from>
      <xdr:col>4</xdr:col>
      <xdr:colOff>138546</xdr:colOff>
      <xdr:row>10</xdr:row>
      <xdr:rowOff>51954</xdr:rowOff>
    </xdr:from>
    <xdr:to>
      <xdr:col>10</xdr:col>
      <xdr:colOff>165430</xdr:colOff>
      <xdr:row>12</xdr:row>
      <xdr:rowOff>152539</xdr:rowOff>
    </xdr:to>
    <xdr:pic>
      <xdr:nvPicPr>
        <xdr:cNvPr id="3" name="Рисунок 2">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63091" y="1956954"/>
          <a:ext cx="3663703" cy="481585"/>
        </a:xfrm>
        <a:prstGeom prst="rect">
          <a:avLst/>
        </a:prstGeom>
      </xdr:spPr>
    </xdr:pic>
    <xdr:clientData/>
  </xdr:twoCellAnchor>
  <xdr:twoCellAnchor editAs="oneCell">
    <xdr:from>
      <xdr:col>15</xdr:col>
      <xdr:colOff>132683</xdr:colOff>
      <xdr:row>10</xdr:row>
      <xdr:rowOff>46091</xdr:rowOff>
    </xdr:from>
    <xdr:to>
      <xdr:col>23</xdr:col>
      <xdr:colOff>212218</xdr:colOff>
      <xdr:row>12</xdr:row>
      <xdr:rowOff>146676</xdr:rowOff>
    </xdr:to>
    <xdr:pic>
      <xdr:nvPicPr>
        <xdr:cNvPr id="4" name="Рисунок 3">
          <a:hlinkClick xmlns:r="http://schemas.openxmlformats.org/officeDocument/2006/relationships" r:id="rId4"/>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224728" y="1951091"/>
          <a:ext cx="4928626" cy="481585"/>
        </a:xfrm>
        <a:prstGeom prst="rect">
          <a:avLst/>
        </a:prstGeom>
      </xdr:spPr>
    </xdr:pic>
    <xdr:clientData/>
  </xdr:twoCellAnchor>
  <xdr:twoCellAnchor editAs="oneCell">
    <xdr:from>
      <xdr:col>18</xdr:col>
      <xdr:colOff>92182</xdr:colOff>
      <xdr:row>16</xdr:row>
      <xdr:rowOff>40227</xdr:rowOff>
    </xdr:from>
    <xdr:to>
      <xdr:col>28</xdr:col>
      <xdr:colOff>452968</xdr:colOff>
      <xdr:row>18</xdr:row>
      <xdr:rowOff>143860</xdr:rowOff>
    </xdr:to>
    <xdr:pic>
      <xdr:nvPicPr>
        <xdr:cNvPr id="5" name="Рисунок 4">
          <a:hlinkClick xmlns:r="http://schemas.openxmlformats.org/officeDocument/2006/relationships" r:id="rId6"/>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02637" y="3088227"/>
          <a:ext cx="6422149" cy="484633"/>
        </a:xfrm>
        <a:prstGeom prst="rect">
          <a:avLst/>
        </a:prstGeom>
      </xdr:spPr>
    </xdr:pic>
    <xdr:clientData/>
  </xdr:twoCellAnchor>
  <xdr:twoCellAnchor editAs="oneCell">
    <xdr:from>
      <xdr:col>18</xdr:col>
      <xdr:colOff>120954</xdr:colOff>
      <xdr:row>23</xdr:row>
      <xdr:rowOff>190227</xdr:rowOff>
    </xdr:from>
    <xdr:to>
      <xdr:col>24</xdr:col>
      <xdr:colOff>522744</xdr:colOff>
      <xdr:row>26</xdr:row>
      <xdr:rowOff>100312</xdr:rowOff>
    </xdr:to>
    <xdr:pic>
      <xdr:nvPicPr>
        <xdr:cNvPr id="6" name="Рисунок 5">
          <a:hlinkClick xmlns:r="http://schemas.openxmlformats.org/officeDocument/2006/relationships" r:id="rId8"/>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031409" y="4571727"/>
          <a:ext cx="4038608" cy="481585"/>
        </a:xfrm>
        <a:prstGeom prst="rect">
          <a:avLst/>
        </a:prstGeom>
      </xdr:spPr>
    </xdr:pic>
    <xdr:clientData/>
  </xdr:twoCellAnchor>
  <xdr:twoCellAnchor editAs="oneCell">
    <xdr:from>
      <xdr:col>15</xdr:col>
      <xdr:colOff>132410</xdr:colOff>
      <xdr:row>31</xdr:row>
      <xdr:rowOff>149728</xdr:rowOff>
    </xdr:from>
    <xdr:to>
      <xdr:col>18</xdr:col>
      <xdr:colOff>484180</xdr:colOff>
      <xdr:row>34</xdr:row>
      <xdr:rowOff>59813</xdr:rowOff>
    </xdr:to>
    <xdr:pic>
      <xdr:nvPicPr>
        <xdr:cNvPr id="7" name="Рисунок 6">
          <a:hlinkClick xmlns:r="http://schemas.openxmlformats.org/officeDocument/2006/relationships" r:id="rId10"/>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224455" y="6055228"/>
          <a:ext cx="2170180" cy="481585"/>
        </a:xfrm>
        <a:prstGeom prst="rect">
          <a:avLst/>
        </a:prstGeom>
      </xdr:spPr>
    </xdr:pic>
    <xdr:clientData/>
  </xdr:twoCellAnchor>
  <xdr:twoCellAnchor editAs="oneCell">
    <xdr:from>
      <xdr:col>4</xdr:col>
      <xdr:colOff>143864</xdr:colOff>
      <xdr:row>31</xdr:row>
      <xdr:rowOff>161182</xdr:rowOff>
    </xdr:from>
    <xdr:to>
      <xdr:col>11</xdr:col>
      <xdr:colOff>299182</xdr:colOff>
      <xdr:row>34</xdr:row>
      <xdr:rowOff>71267</xdr:rowOff>
    </xdr:to>
    <xdr:pic>
      <xdr:nvPicPr>
        <xdr:cNvPr id="8" name="Рисунок 7">
          <a:hlinkClick xmlns:r="http://schemas.openxmlformats.org/officeDocument/2006/relationships" r:id="rId12"/>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568409" y="6066682"/>
          <a:ext cx="4398273" cy="481585"/>
        </a:xfrm>
        <a:prstGeom prst="rect">
          <a:avLst/>
        </a:prstGeom>
      </xdr:spPr>
    </xdr:pic>
    <xdr:clientData/>
  </xdr:twoCellAnchor>
  <xdr:twoCellAnchor editAs="oneCell">
    <xdr:from>
      <xdr:col>1</xdr:col>
      <xdr:colOff>449728</xdr:colOff>
      <xdr:row>23</xdr:row>
      <xdr:rowOff>172637</xdr:rowOff>
    </xdr:from>
    <xdr:to>
      <xdr:col>7</xdr:col>
      <xdr:colOff>199244</xdr:colOff>
      <xdr:row>26</xdr:row>
      <xdr:rowOff>82722</xdr:rowOff>
    </xdr:to>
    <xdr:pic>
      <xdr:nvPicPr>
        <xdr:cNvPr id="9" name="Рисунок 8">
          <a:hlinkClick xmlns:r="http://schemas.openxmlformats.org/officeDocument/2006/relationships" r:id="rId14"/>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055864" y="4554137"/>
          <a:ext cx="3386335" cy="481585"/>
        </a:xfrm>
        <a:prstGeom prst="rect">
          <a:avLst/>
        </a:prstGeom>
      </xdr:spPr>
    </xdr:pic>
    <xdr:clientData/>
  </xdr:twoCellAnchor>
  <xdr:twoCellAnchor editAs="oneCell">
    <xdr:from>
      <xdr:col>1</xdr:col>
      <xdr:colOff>461183</xdr:colOff>
      <xdr:row>16</xdr:row>
      <xdr:rowOff>62865</xdr:rowOff>
    </xdr:from>
    <xdr:to>
      <xdr:col>5</xdr:col>
      <xdr:colOff>447610</xdr:colOff>
      <xdr:row>18</xdr:row>
      <xdr:rowOff>166498</xdr:rowOff>
    </xdr:to>
    <xdr:pic>
      <xdr:nvPicPr>
        <xdr:cNvPr id="10" name="Рисунок 9">
          <a:hlinkClick xmlns:r="http://schemas.openxmlformats.org/officeDocument/2006/relationships" r:id="rId16"/>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067319" y="3110865"/>
          <a:ext cx="2410973" cy="4846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517071</xdr:colOff>
      <xdr:row>4</xdr:row>
      <xdr:rowOff>312964</xdr:rowOff>
    </xdr:from>
    <xdr:to>
      <xdr:col>5</xdr:col>
      <xdr:colOff>1700893</xdr:colOff>
      <xdr:row>5</xdr:row>
      <xdr:rowOff>482590</xdr:rowOff>
    </xdr:to>
    <xdr:pic>
      <xdr:nvPicPr>
        <xdr:cNvPr id="6" name="Рисунок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52107" y="1224643"/>
          <a:ext cx="3007179" cy="1897733"/>
        </a:xfrm>
        <a:prstGeom prst="rect">
          <a:avLst/>
        </a:prstGeom>
      </xdr:spPr>
    </xdr:pic>
    <xdr:clientData/>
  </xdr:twoCellAnchor>
  <xdr:twoCellAnchor editAs="oneCell">
    <xdr:from>
      <xdr:col>2</xdr:col>
      <xdr:colOff>41142</xdr:colOff>
      <xdr:row>6</xdr:row>
      <xdr:rowOff>1339</xdr:rowOff>
    </xdr:from>
    <xdr:to>
      <xdr:col>3</xdr:col>
      <xdr:colOff>81643</xdr:colOff>
      <xdr:row>9</xdr:row>
      <xdr:rowOff>93614</xdr:rowOff>
    </xdr:to>
    <xdr:pic>
      <xdr:nvPicPr>
        <xdr:cNvPr id="3" name="Рисунок 2">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21499" y="3171803"/>
          <a:ext cx="2095180" cy="663775"/>
        </a:xfrm>
        <a:prstGeom prst="rect">
          <a:avLst/>
        </a:prstGeom>
      </xdr:spPr>
    </xdr:pic>
    <xdr:clientData/>
  </xdr:twoCellAnchor>
  <xdr:twoCellAnchor>
    <xdr:from>
      <xdr:col>1</xdr:col>
      <xdr:colOff>95250</xdr:colOff>
      <xdr:row>1</xdr:row>
      <xdr:rowOff>136073</xdr:rowOff>
    </xdr:from>
    <xdr:to>
      <xdr:col>6</xdr:col>
      <xdr:colOff>1798664</xdr:colOff>
      <xdr:row>4</xdr:row>
      <xdr:rowOff>324615</xdr:rowOff>
    </xdr:to>
    <xdr:grpSp>
      <xdr:nvGrpSpPr>
        <xdr:cNvPr id="4" name="Группа 3"/>
        <xdr:cNvGrpSpPr/>
      </xdr:nvGrpSpPr>
      <xdr:grpSpPr>
        <a:xfrm>
          <a:off x="544286" y="340180"/>
          <a:ext cx="8506985" cy="896114"/>
          <a:chOff x="542192" y="333900"/>
          <a:chExt cx="8495472" cy="891927"/>
        </a:xfrm>
      </xdr:grpSpPr>
      <xdr:pic>
        <xdr:nvPicPr>
          <xdr:cNvPr id="2" name="Рисунок 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42192" y="333900"/>
            <a:ext cx="8495472" cy="891927"/>
          </a:xfrm>
          <a:prstGeom prst="rect">
            <a:avLst/>
          </a:prstGeom>
        </xdr:spPr>
      </xdr:pic>
      <xdr:sp macro="" textlink="">
        <xdr:nvSpPr>
          <xdr:cNvPr id="5" name="Прямоугольник 4"/>
          <xdr:cNvSpPr/>
        </xdr:nvSpPr>
        <xdr:spPr>
          <a:xfrm>
            <a:off x="6016451" y="875047"/>
            <a:ext cx="204108" cy="297264"/>
          </a:xfrm>
          <a:prstGeom prst="rect">
            <a:avLst/>
          </a:prstGeom>
          <a:solidFill>
            <a:srgbClr val="125D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pSp>
    <xdr:clientData/>
  </xdr:twoCellAnchor>
  <xdr:twoCellAnchor editAs="oneCell">
    <xdr:from>
      <xdr:col>5</xdr:col>
      <xdr:colOff>1416189</xdr:colOff>
      <xdr:row>3</xdr:row>
      <xdr:rowOff>158054</xdr:rowOff>
    </xdr:from>
    <xdr:to>
      <xdr:col>5</xdr:col>
      <xdr:colOff>2201867</xdr:colOff>
      <xdr:row>4</xdr:row>
      <xdr:rowOff>344365</xdr:rowOff>
    </xdr:to>
    <xdr:pic>
      <xdr:nvPicPr>
        <xdr:cNvPr id="7" name="Рисунок 6"/>
        <xdr:cNvPicPr>
          <a:picLocks noChangeAspect="1"/>
        </xdr:cNvPicPr>
      </xdr:nvPicPr>
      <xdr:blipFill>
        <a:blip xmlns:r="http://schemas.openxmlformats.org/officeDocument/2006/relationships" r:embed="rId5"/>
        <a:stretch>
          <a:fillRect/>
        </a:stretch>
      </xdr:blipFill>
      <xdr:spPr>
        <a:xfrm>
          <a:off x="5958881" y="802823"/>
          <a:ext cx="785678" cy="44275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839314</xdr:colOff>
      <xdr:row>6</xdr:row>
      <xdr:rowOff>1017546</xdr:rowOff>
    </xdr:from>
    <xdr:to>
      <xdr:col>9</xdr:col>
      <xdr:colOff>1020535</xdr:colOff>
      <xdr:row>20</xdr:row>
      <xdr:rowOff>22202</xdr:rowOff>
    </xdr:to>
    <xdr:pic>
      <xdr:nvPicPr>
        <xdr:cNvPr id="2" name="Рисунок 1"/>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contrast="40000"/>
                  </a14:imgEffect>
                </a14:imgLayer>
              </a14:imgProps>
            </a:ext>
          </a:extLst>
        </a:blip>
        <a:stretch>
          <a:fillRect/>
        </a:stretch>
      </xdr:blipFill>
      <xdr:spPr>
        <a:xfrm>
          <a:off x="1519671" y="3330760"/>
          <a:ext cx="5991471" cy="6175621"/>
        </a:xfrm>
        <a:prstGeom prst="rect">
          <a:avLst/>
        </a:prstGeom>
      </xdr:spPr>
    </xdr:pic>
    <xdr:clientData/>
  </xdr:twoCellAnchor>
  <xdr:twoCellAnchor editAs="oneCell">
    <xdr:from>
      <xdr:col>2</xdr:col>
      <xdr:colOff>27214</xdr:colOff>
      <xdr:row>6</xdr:row>
      <xdr:rowOff>204107</xdr:rowOff>
    </xdr:from>
    <xdr:to>
      <xdr:col>2</xdr:col>
      <xdr:colOff>2122394</xdr:colOff>
      <xdr:row>6</xdr:row>
      <xdr:rowOff>867882</xdr:rowOff>
    </xdr:to>
    <xdr:pic>
      <xdr:nvPicPr>
        <xdr:cNvPr id="4" name="Рисунок 3">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7571" y="2517321"/>
          <a:ext cx="2095180" cy="663775"/>
        </a:xfrm>
        <a:prstGeom prst="rect">
          <a:avLst/>
        </a:prstGeom>
      </xdr:spPr>
    </xdr:pic>
    <xdr:clientData/>
  </xdr:twoCellAnchor>
  <xdr:twoCellAnchor editAs="oneCell">
    <xdr:from>
      <xdr:col>2</xdr:col>
      <xdr:colOff>2299607</xdr:colOff>
      <xdr:row>4</xdr:row>
      <xdr:rowOff>299356</xdr:rowOff>
    </xdr:from>
    <xdr:to>
      <xdr:col>7</xdr:col>
      <xdr:colOff>489857</xdr:colOff>
      <xdr:row>6</xdr:row>
      <xdr:rowOff>795554</xdr:rowOff>
    </xdr:to>
    <xdr:pic>
      <xdr:nvPicPr>
        <xdr:cNvPr id="5" name="Рисунок 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979964" y="1211035"/>
          <a:ext cx="3007179" cy="1897733"/>
        </a:xfrm>
        <a:prstGeom prst="rect">
          <a:avLst/>
        </a:prstGeom>
      </xdr:spPr>
    </xdr:pic>
    <xdr:clientData/>
  </xdr:twoCellAnchor>
  <xdr:twoCellAnchor>
    <xdr:from>
      <xdr:col>2</xdr:col>
      <xdr:colOff>1</xdr:colOff>
      <xdr:row>1</xdr:row>
      <xdr:rowOff>108857</xdr:rowOff>
    </xdr:from>
    <xdr:to>
      <xdr:col>9</xdr:col>
      <xdr:colOff>1714501</xdr:colOff>
      <xdr:row>4</xdr:row>
      <xdr:rowOff>342900</xdr:rowOff>
    </xdr:to>
    <xdr:grpSp>
      <xdr:nvGrpSpPr>
        <xdr:cNvPr id="10" name="Группа 9"/>
        <xdr:cNvGrpSpPr/>
      </xdr:nvGrpSpPr>
      <xdr:grpSpPr>
        <a:xfrm>
          <a:off x="680358" y="312964"/>
          <a:ext cx="7524750" cy="941615"/>
          <a:chOff x="674915" y="310243"/>
          <a:chExt cx="7494815" cy="936171"/>
        </a:xfrm>
      </xdr:grpSpPr>
      <xdr:grpSp>
        <xdr:nvGrpSpPr>
          <xdr:cNvPr id="9" name="Группа 8"/>
          <xdr:cNvGrpSpPr/>
        </xdr:nvGrpSpPr>
        <xdr:grpSpPr>
          <a:xfrm>
            <a:off x="674915" y="310243"/>
            <a:ext cx="7494815" cy="921263"/>
            <a:chOff x="674078" y="306684"/>
            <a:chExt cx="7495442" cy="922520"/>
          </a:xfrm>
        </xdr:grpSpPr>
        <xdr:pic>
          <xdr:nvPicPr>
            <xdr:cNvPr id="3" name="Рисунок 2"/>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4078" y="306684"/>
              <a:ext cx="7495442" cy="922520"/>
            </a:xfrm>
            <a:prstGeom prst="rect">
              <a:avLst/>
            </a:prstGeom>
          </xdr:spPr>
        </xdr:pic>
        <xdr:sp macro="" textlink="">
          <xdr:nvSpPr>
            <xdr:cNvPr id="6" name="Прямоугольник 5"/>
            <xdr:cNvSpPr/>
          </xdr:nvSpPr>
          <xdr:spPr>
            <a:xfrm>
              <a:off x="5511943" y="836317"/>
              <a:ext cx="200968" cy="297264"/>
            </a:xfrm>
            <a:prstGeom prst="rect">
              <a:avLst/>
            </a:prstGeom>
            <a:solidFill>
              <a:srgbClr val="125D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pSp>
      <xdr:pic>
        <xdr:nvPicPr>
          <xdr:cNvPr id="7" name="Рисунок 6"/>
          <xdr:cNvPicPr>
            <a:picLocks noChangeAspect="1"/>
          </xdr:cNvPicPr>
        </xdr:nvPicPr>
        <xdr:blipFill>
          <a:blip xmlns:r="http://schemas.openxmlformats.org/officeDocument/2006/relationships" r:embed="rId7"/>
          <a:stretch>
            <a:fillRect/>
          </a:stretch>
        </xdr:blipFill>
        <xdr:spPr>
          <a:xfrm>
            <a:off x="5451024" y="859971"/>
            <a:ext cx="680533" cy="386443"/>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2245178</xdr:colOff>
      <xdr:row>4</xdr:row>
      <xdr:rowOff>244930</xdr:rowOff>
    </xdr:from>
    <xdr:to>
      <xdr:col>3</xdr:col>
      <xdr:colOff>707571</xdr:colOff>
      <xdr:row>7</xdr:row>
      <xdr:rowOff>122002</xdr:rowOff>
    </xdr:to>
    <xdr:pic>
      <xdr:nvPicPr>
        <xdr:cNvPr id="5" name="Рисунок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03071" y="1129394"/>
          <a:ext cx="3007179" cy="1877322"/>
        </a:xfrm>
        <a:prstGeom prst="rect">
          <a:avLst/>
        </a:prstGeom>
      </xdr:spPr>
    </xdr:pic>
    <xdr:clientData/>
  </xdr:twoCellAnchor>
  <xdr:twoCellAnchor editAs="oneCell">
    <xdr:from>
      <xdr:col>2</xdr:col>
      <xdr:colOff>68036</xdr:colOff>
      <xdr:row>8</xdr:row>
      <xdr:rowOff>149679</xdr:rowOff>
    </xdr:from>
    <xdr:to>
      <xdr:col>2</xdr:col>
      <xdr:colOff>2163216</xdr:colOff>
      <xdr:row>11</xdr:row>
      <xdr:rowOff>241954</xdr:rowOff>
    </xdr:to>
    <xdr:pic>
      <xdr:nvPicPr>
        <xdr:cNvPr id="3" name="Рисунок 2">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25929" y="3224893"/>
          <a:ext cx="2095180" cy="663775"/>
        </a:xfrm>
        <a:prstGeom prst="rect">
          <a:avLst/>
        </a:prstGeom>
      </xdr:spPr>
    </xdr:pic>
    <xdr:clientData/>
  </xdr:twoCellAnchor>
  <xdr:twoCellAnchor>
    <xdr:from>
      <xdr:col>1</xdr:col>
      <xdr:colOff>95251</xdr:colOff>
      <xdr:row>1</xdr:row>
      <xdr:rowOff>108858</xdr:rowOff>
    </xdr:from>
    <xdr:to>
      <xdr:col>5</xdr:col>
      <xdr:colOff>258537</xdr:colOff>
      <xdr:row>4</xdr:row>
      <xdr:rowOff>250031</xdr:rowOff>
    </xdr:to>
    <xdr:grpSp>
      <xdr:nvGrpSpPr>
        <xdr:cNvPr id="8" name="Группа 7"/>
        <xdr:cNvGrpSpPr/>
      </xdr:nvGrpSpPr>
      <xdr:grpSpPr>
        <a:xfrm>
          <a:off x="381001" y="299358"/>
          <a:ext cx="7810500" cy="835137"/>
          <a:chOff x="381001" y="299358"/>
          <a:chExt cx="7801145" cy="825782"/>
        </a:xfrm>
      </xdr:grpSpPr>
      <xdr:grpSp>
        <xdr:nvGrpSpPr>
          <xdr:cNvPr id="4" name="Группа 3"/>
          <xdr:cNvGrpSpPr/>
        </xdr:nvGrpSpPr>
        <xdr:grpSpPr>
          <a:xfrm>
            <a:off x="381001" y="299358"/>
            <a:ext cx="7801145" cy="810162"/>
            <a:chOff x="381001" y="299358"/>
            <a:chExt cx="7801145" cy="810162"/>
          </a:xfrm>
        </xdr:grpSpPr>
        <xdr:pic>
          <xdr:nvPicPr>
            <xdr:cNvPr id="2" name="Рисунок 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1001" y="299358"/>
              <a:ext cx="7801145" cy="810162"/>
            </a:xfrm>
            <a:prstGeom prst="rect">
              <a:avLst/>
            </a:prstGeom>
          </xdr:spPr>
        </xdr:pic>
        <xdr:sp macro="" textlink="">
          <xdr:nvSpPr>
            <xdr:cNvPr id="6" name="Прямоугольник 5"/>
            <xdr:cNvSpPr/>
          </xdr:nvSpPr>
          <xdr:spPr>
            <a:xfrm>
              <a:off x="5391831" y="741591"/>
              <a:ext cx="204108" cy="296806"/>
            </a:xfrm>
            <a:prstGeom prst="rect">
              <a:avLst/>
            </a:prstGeom>
            <a:solidFill>
              <a:srgbClr val="125D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pSp>
      <xdr:pic>
        <xdr:nvPicPr>
          <xdr:cNvPr id="7" name="Рисунок 6"/>
          <xdr:cNvPicPr>
            <a:picLocks noChangeAspect="1"/>
          </xdr:cNvPicPr>
        </xdr:nvPicPr>
        <xdr:blipFill>
          <a:blip xmlns:r="http://schemas.openxmlformats.org/officeDocument/2006/relationships" r:embed="rId5"/>
          <a:stretch>
            <a:fillRect/>
          </a:stretch>
        </xdr:blipFill>
        <xdr:spPr>
          <a:xfrm>
            <a:off x="5342505" y="733935"/>
            <a:ext cx="689713" cy="391205"/>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1959430</xdr:colOff>
      <xdr:row>4</xdr:row>
      <xdr:rowOff>476245</xdr:rowOff>
    </xdr:from>
    <xdr:to>
      <xdr:col>4</xdr:col>
      <xdr:colOff>557895</xdr:colOff>
      <xdr:row>8</xdr:row>
      <xdr:rowOff>149210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17323" y="1292674"/>
          <a:ext cx="3007179" cy="1877322"/>
        </a:xfrm>
        <a:prstGeom prst="rect">
          <a:avLst/>
        </a:prstGeom>
      </xdr:spPr>
    </xdr:pic>
    <xdr:clientData/>
  </xdr:twoCellAnchor>
  <xdr:twoCellAnchor editAs="oneCell">
    <xdr:from>
      <xdr:col>2</xdr:col>
      <xdr:colOff>0</xdr:colOff>
      <xdr:row>9</xdr:row>
      <xdr:rowOff>27210</xdr:rowOff>
    </xdr:from>
    <xdr:to>
      <xdr:col>2</xdr:col>
      <xdr:colOff>2095180</xdr:colOff>
      <xdr:row>12</xdr:row>
      <xdr:rowOff>119485</xdr:rowOff>
    </xdr:to>
    <xdr:pic>
      <xdr:nvPicPr>
        <xdr:cNvPr id="3" name="Рисунок 2">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57893" y="3238496"/>
          <a:ext cx="2095180" cy="663775"/>
        </a:xfrm>
        <a:prstGeom prst="rect">
          <a:avLst/>
        </a:prstGeom>
      </xdr:spPr>
    </xdr:pic>
    <xdr:clientData/>
  </xdr:twoCellAnchor>
  <xdr:twoCellAnchor>
    <xdr:from>
      <xdr:col>2</xdr:col>
      <xdr:colOff>122465</xdr:colOff>
      <xdr:row>1</xdr:row>
      <xdr:rowOff>149680</xdr:rowOff>
    </xdr:from>
    <xdr:to>
      <xdr:col>6</xdr:col>
      <xdr:colOff>8396</xdr:colOff>
      <xdr:row>4</xdr:row>
      <xdr:rowOff>491204</xdr:rowOff>
    </xdr:to>
    <xdr:grpSp>
      <xdr:nvGrpSpPr>
        <xdr:cNvPr id="8" name="Группа 7"/>
        <xdr:cNvGrpSpPr/>
      </xdr:nvGrpSpPr>
      <xdr:grpSpPr>
        <a:xfrm>
          <a:off x="680358" y="340180"/>
          <a:ext cx="6580645" cy="967453"/>
          <a:chOff x="676106" y="340180"/>
          <a:chExt cx="6571290" cy="960649"/>
        </a:xfrm>
      </xdr:grpSpPr>
      <xdr:grpSp>
        <xdr:nvGrpSpPr>
          <xdr:cNvPr id="7" name="Группа 6"/>
          <xdr:cNvGrpSpPr/>
        </xdr:nvGrpSpPr>
        <xdr:grpSpPr>
          <a:xfrm>
            <a:off x="676106" y="340180"/>
            <a:ext cx="6571290" cy="941126"/>
            <a:chOff x="676106" y="340180"/>
            <a:chExt cx="6571290" cy="941126"/>
          </a:xfrm>
        </xdr:grpSpPr>
        <xdr:pic>
          <xdr:nvPicPr>
            <xdr:cNvPr id="4" name="Рисунок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6106" y="340180"/>
              <a:ext cx="6571290" cy="941126"/>
            </a:xfrm>
            <a:prstGeom prst="rect">
              <a:avLst/>
            </a:prstGeom>
          </xdr:spPr>
        </xdr:pic>
        <xdr:sp macro="" textlink="">
          <xdr:nvSpPr>
            <xdr:cNvPr id="5" name="Прямоугольник 4"/>
            <xdr:cNvSpPr/>
          </xdr:nvSpPr>
          <xdr:spPr>
            <a:xfrm>
              <a:off x="5193679" y="868308"/>
              <a:ext cx="201556" cy="299357"/>
            </a:xfrm>
            <a:prstGeom prst="rect">
              <a:avLst/>
            </a:prstGeom>
            <a:solidFill>
              <a:srgbClr val="125D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pSp>
      <xdr:pic>
        <xdr:nvPicPr>
          <xdr:cNvPr id="6" name="Рисунок 5"/>
          <xdr:cNvPicPr>
            <a:picLocks noChangeAspect="1"/>
          </xdr:cNvPicPr>
        </xdr:nvPicPr>
        <xdr:blipFill>
          <a:blip xmlns:r="http://schemas.openxmlformats.org/officeDocument/2006/relationships" r:embed="rId5"/>
          <a:stretch>
            <a:fillRect/>
          </a:stretch>
        </xdr:blipFill>
        <xdr:spPr>
          <a:xfrm>
            <a:off x="5123942" y="860652"/>
            <a:ext cx="781558" cy="440177"/>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xdr:from>
      <xdr:col>19</xdr:col>
      <xdr:colOff>121227</xdr:colOff>
      <xdr:row>1</xdr:row>
      <xdr:rowOff>190501</xdr:rowOff>
    </xdr:from>
    <xdr:to>
      <xdr:col>25</xdr:col>
      <xdr:colOff>349560</xdr:colOff>
      <xdr:row>4</xdr:row>
      <xdr:rowOff>366005</xdr:rowOff>
    </xdr:to>
    <xdr:grpSp>
      <xdr:nvGrpSpPr>
        <xdr:cNvPr id="8" name="Группа 7"/>
        <xdr:cNvGrpSpPr/>
      </xdr:nvGrpSpPr>
      <xdr:grpSpPr>
        <a:xfrm>
          <a:off x="16599477" y="381001"/>
          <a:ext cx="4881976" cy="951111"/>
          <a:chOff x="16511554" y="381001"/>
          <a:chExt cx="4844294" cy="944831"/>
        </a:xfrm>
      </xdr:grpSpPr>
      <xdr:grpSp>
        <xdr:nvGrpSpPr>
          <xdr:cNvPr id="7" name="Группа 6"/>
          <xdr:cNvGrpSpPr/>
        </xdr:nvGrpSpPr>
        <xdr:grpSpPr>
          <a:xfrm>
            <a:off x="16511554" y="381001"/>
            <a:ext cx="4844294" cy="937939"/>
            <a:chOff x="16511554" y="381001"/>
            <a:chExt cx="4844294" cy="937939"/>
          </a:xfrm>
        </xdr:grpSpPr>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11554" y="381001"/>
              <a:ext cx="4844294" cy="937939"/>
            </a:xfrm>
            <a:prstGeom prst="rect">
              <a:avLst/>
            </a:prstGeom>
          </xdr:spPr>
        </xdr:pic>
        <xdr:sp macro="" textlink="">
          <xdr:nvSpPr>
            <xdr:cNvPr id="3" name="Прямоугольник 2"/>
            <xdr:cNvSpPr/>
          </xdr:nvSpPr>
          <xdr:spPr>
            <a:xfrm>
              <a:off x="20144376" y="926811"/>
              <a:ext cx="204108" cy="296026"/>
            </a:xfrm>
            <a:prstGeom prst="rect">
              <a:avLst/>
            </a:prstGeom>
            <a:solidFill>
              <a:srgbClr val="125D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pSp>
      <xdr:pic>
        <xdr:nvPicPr>
          <xdr:cNvPr id="4" name="Рисунок 3"/>
          <xdr:cNvPicPr>
            <a:picLocks noChangeAspect="1"/>
          </xdr:cNvPicPr>
        </xdr:nvPicPr>
        <xdr:blipFill>
          <a:blip xmlns:r="http://schemas.openxmlformats.org/officeDocument/2006/relationships" r:embed="rId2"/>
          <a:stretch>
            <a:fillRect/>
          </a:stretch>
        </xdr:blipFill>
        <xdr:spPr>
          <a:xfrm>
            <a:off x="20079482" y="898550"/>
            <a:ext cx="743634" cy="427282"/>
          </a:xfrm>
          <a:prstGeom prst="rect">
            <a:avLst/>
          </a:prstGeom>
        </xdr:spPr>
      </xdr:pic>
    </xdr:grpSp>
    <xdr:clientData/>
  </xdr:twoCellAnchor>
  <xdr:twoCellAnchor editAs="oneCell">
    <xdr:from>
      <xdr:col>20</xdr:col>
      <xdr:colOff>418110</xdr:colOff>
      <xdr:row>4</xdr:row>
      <xdr:rowOff>311727</xdr:rowOff>
    </xdr:from>
    <xdr:to>
      <xdr:col>24</xdr:col>
      <xdr:colOff>308016</xdr:colOff>
      <xdr:row>10</xdr:row>
      <xdr:rowOff>145503</xdr:rowOff>
    </xdr:to>
    <xdr:pic>
      <xdr:nvPicPr>
        <xdr:cNvPr id="5" name="Рисунок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736292" y="1281545"/>
          <a:ext cx="3007179" cy="1877322"/>
        </a:xfrm>
        <a:prstGeom prst="rect">
          <a:avLst/>
        </a:prstGeom>
      </xdr:spPr>
    </xdr:pic>
    <xdr:clientData/>
  </xdr:twoCellAnchor>
  <xdr:twoCellAnchor editAs="oneCell">
    <xdr:from>
      <xdr:col>2</xdr:col>
      <xdr:colOff>51953</xdr:colOff>
      <xdr:row>6</xdr:row>
      <xdr:rowOff>40822</xdr:rowOff>
    </xdr:from>
    <xdr:to>
      <xdr:col>2</xdr:col>
      <xdr:colOff>2147133</xdr:colOff>
      <xdr:row>10</xdr:row>
      <xdr:rowOff>63824</xdr:rowOff>
    </xdr:to>
    <xdr:pic>
      <xdr:nvPicPr>
        <xdr:cNvPr id="6" name="Рисунок 5">
          <a:hlinkClick xmlns:r="http://schemas.openxmlformats.org/officeDocument/2006/relationships" r:id="rId4"/>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56408" y="2413413"/>
          <a:ext cx="2095180" cy="6637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15</xdr:col>
      <xdr:colOff>0</xdr:colOff>
      <xdr:row>1</xdr:row>
      <xdr:rowOff>152400</xdr:rowOff>
    </xdr:from>
    <xdr:to>
      <xdr:col>24</xdr:col>
      <xdr:colOff>251466</xdr:colOff>
      <xdr:row>4</xdr:row>
      <xdr:rowOff>266700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00" y="342900"/>
          <a:ext cx="7195191" cy="885825"/>
        </a:xfrm>
        <a:prstGeom prst="rect">
          <a:avLst/>
        </a:prstGeom>
      </xdr:spPr>
    </xdr:pic>
    <xdr:clientData/>
  </xdr:twoCellAnchor>
  <xdr:twoCellAnchor editAs="oneCell">
    <xdr:from>
      <xdr:col>17</xdr:col>
      <xdr:colOff>645300</xdr:colOff>
      <xdr:row>4</xdr:row>
      <xdr:rowOff>226200</xdr:rowOff>
    </xdr:from>
    <xdr:to>
      <xdr:col>21</xdr:col>
      <xdr:colOff>345404</xdr:colOff>
      <xdr:row>10</xdr:row>
      <xdr:rowOff>444136</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523350" y="1188225"/>
          <a:ext cx="2786204" cy="2189611"/>
        </a:xfrm>
        <a:prstGeom prst="rect">
          <a:avLst/>
        </a:prstGeom>
      </xdr:spPr>
    </xdr:pic>
    <xdr:clientData/>
  </xdr:twoCellAnchor>
  <xdr:twoCellAnchor editAs="oneCell">
    <xdr:from>
      <xdr:col>2</xdr:col>
      <xdr:colOff>38100</xdr:colOff>
      <xdr:row>4</xdr:row>
      <xdr:rowOff>609600</xdr:rowOff>
    </xdr:from>
    <xdr:to>
      <xdr:col>2</xdr:col>
      <xdr:colOff>1398493</xdr:colOff>
      <xdr:row>9</xdr:row>
      <xdr:rowOff>45004</xdr:rowOff>
    </xdr:to>
    <xdr:pic>
      <xdr:nvPicPr>
        <xdr:cNvPr id="4" name="Рисунок 3">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47750" y="1571625"/>
          <a:ext cx="1360393" cy="129277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285751</xdr:colOff>
      <xdr:row>45</xdr:row>
      <xdr:rowOff>1900238</xdr:rowOff>
    </xdr:from>
    <xdr:to>
      <xdr:col>39</xdr:col>
      <xdr:colOff>357186</xdr:colOff>
      <xdr:row>46</xdr:row>
      <xdr:rowOff>1745456</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309561</xdr:colOff>
      <xdr:row>39</xdr:row>
      <xdr:rowOff>59532</xdr:rowOff>
    </xdr:from>
    <xdr:to>
      <xdr:col>39</xdr:col>
      <xdr:colOff>380996</xdr:colOff>
      <xdr:row>45</xdr:row>
      <xdr:rowOff>797719</xdr:rowOff>
    </xdr:to>
    <xdr:graphicFrame macro="">
      <xdr:nvGraphicFramePr>
        <xdr:cNvPr id="5" name="Диаграмма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488157</xdr:colOff>
      <xdr:row>34</xdr:row>
      <xdr:rowOff>105835</xdr:rowOff>
    </xdr:from>
    <xdr:to>
      <xdr:col>14</xdr:col>
      <xdr:colOff>750094</xdr:colOff>
      <xdr:row>38</xdr:row>
      <xdr:rowOff>127001</xdr:rowOff>
    </xdr:to>
    <xdr:sp macro="" textlink="">
      <xdr:nvSpPr>
        <xdr:cNvPr id="3" name="TextBox 2"/>
        <xdr:cNvSpPr txBox="1"/>
      </xdr:nvSpPr>
      <xdr:spPr>
        <a:xfrm>
          <a:off x="7324990" y="6847418"/>
          <a:ext cx="7532687" cy="7831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1100" i="1">
              <a:latin typeface="Times New Roman" pitchFamily="18" charset="0"/>
              <a:cs typeface="Times New Roman" pitchFamily="18" charset="0"/>
            </a:rPr>
            <a:t>На графике представлена  динамика показателя "Ежемесячная прибыль" за 36</a:t>
          </a:r>
          <a:r>
            <a:rPr lang="ru-RU" sz="1100" i="1" baseline="0">
              <a:latin typeface="Times New Roman" pitchFamily="18" charset="0"/>
              <a:cs typeface="Times New Roman" pitchFamily="18" charset="0"/>
            </a:rPr>
            <a:t> месяцев реализации проекта. Данный показатель подвержен влиянию сезонных факторов и наглядно отображает величину прибыли в каждый конкретный  месяц.</a:t>
          </a:r>
          <a:endParaRPr lang="ru-RU" sz="1100" i="1">
            <a:latin typeface="Times New Roman" pitchFamily="18" charset="0"/>
            <a:cs typeface="Times New Roman" pitchFamily="18" charset="0"/>
          </a:endParaRPr>
        </a:p>
      </xdr:txBody>
    </xdr:sp>
    <xdr:clientData/>
  </xdr:twoCellAnchor>
  <xdr:twoCellAnchor>
    <xdr:from>
      <xdr:col>6</xdr:col>
      <xdr:colOff>485775</xdr:colOff>
      <xdr:row>45</xdr:row>
      <xdr:rowOff>1045369</xdr:rowOff>
    </xdr:from>
    <xdr:to>
      <xdr:col>14</xdr:col>
      <xdr:colOff>747712</xdr:colOff>
      <xdr:row>45</xdr:row>
      <xdr:rowOff>1473994</xdr:rowOff>
    </xdr:to>
    <xdr:sp macro="" textlink="">
      <xdr:nvSpPr>
        <xdr:cNvPr id="6" name="TextBox 5"/>
        <xdr:cNvSpPr txBox="1"/>
      </xdr:nvSpPr>
      <xdr:spPr>
        <a:xfrm>
          <a:off x="8546306" y="10856119"/>
          <a:ext cx="8346281"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1100" i="1">
              <a:latin typeface="Times New Roman" pitchFamily="18" charset="0"/>
              <a:cs typeface="Times New Roman" pitchFamily="18" charset="0"/>
            </a:rPr>
            <a:t>На графике представлена динамика показателя "Денежный поток по проекту".</a:t>
          </a:r>
          <a:r>
            <a:rPr lang="ru-RU" sz="1100" i="1" baseline="0">
              <a:latin typeface="Times New Roman" pitchFamily="18" charset="0"/>
              <a:cs typeface="Times New Roman" pitchFamily="18" charset="0"/>
            </a:rPr>
            <a:t> Данный показатель отражает финансовый результат предпринимательской деятельности на каждый конкретный период нарастающим итогом.</a:t>
          </a:r>
          <a:endParaRPr lang="ru-RU" sz="1100" i="1">
            <a:latin typeface="Times New Roman" pitchFamily="18" charset="0"/>
            <a:cs typeface="Times New Roman" pitchFamily="18" charset="0"/>
          </a:endParaRPr>
        </a:p>
      </xdr:txBody>
    </xdr:sp>
    <xdr:clientData/>
  </xdr:twoCellAnchor>
  <xdr:twoCellAnchor>
    <xdr:from>
      <xdr:col>21</xdr:col>
      <xdr:colOff>870857</xdr:colOff>
      <xdr:row>36</xdr:row>
      <xdr:rowOff>81643</xdr:rowOff>
    </xdr:from>
    <xdr:to>
      <xdr:col>25</xdr:col>
      <xdr:colOff>503464</xdr:colOff>
      <xdr:row>38</xdr:row>
      <xdr:rowOff>27214</xdr:rowOff>
    </xdr:to>
    <xdr:sp macro="" textlink="">
      <xdr:nvSpPr>
        <xdr:cNvPr id="8" name="TextBox 7"/>
        <xdr:cNvSpPr txBox="1"/>
      </xdr:nvSpPr>
      <xdr:spPr>
        <a:xfrm>
          <a:off x="21989143" y="7198179"/>
          <a:ext cx="3388178" cy="3265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1800">
              <a:latin typeface="Times New Roman" panose="02020603050405020304" pitchFamily="18" charset="0"/>
              <a:cs typeface="Times New Roman" panose="02020603050405020304" pitchFamily="18" charset="0"/>
            </a:rPr>
            <a:t>Динамика прибыли по проекту</a:t>
          </a:r>
        </a:p>
      </xdr:txBody>
    </xdr:sp>
    <xdr:clientData/>
  </xdr:twoCellAnchor>
  <xdr:twoCellAnchor>
    <xdr:from>
      <xdr:col>21</xdr:col>
      <xdr:colOff>870857</xdr:colOff>
      <xdr:row>45</xdr:row>
      <xdr:rowOff>1347107</xdr:rowOff>
    </xdr:from>
    <xdr:to>
      <xdr:col>25</xdr:col>
      <xdr:colOff>503464</xdr:colOff>
      <xdr:row>45</xdr:row>
      <xdr:rowOff>1673678</xdr:rowOff>
    </xdr:to>
    <xdr:sp macro="" textlink="">
      <xdr:nvSpPr>
        <xdr:cNvPr id="12" name="TextBox 11"/>
        <xdr:cNvSpPr txBox="1"/>
      </xdr:nvSpPr>
      <xdr:spPr>
        <a:xfrm>
          <a:off x="21989143" y="11511643"/>
          <a:ext cx="3388178" cy="3265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ru-RU" sz="1800">
              <a:latin typeface="Times New Roman" panose="02020603050405020304" pitchFamily="18" charset="0"/>
              <a:cs typeface="Times New Roman" panose="02020603050405020304" pitchFamily="18" charset="0"/>
            </a:rPr>
            <a:t>Денежный</a:t>
          </a:r>
          <a:r>
            <a:rPr lang="ru-RU" sz="1800" baseline="0">
              <a:latin typeface="Times New Roman" panose="02020603050405020304" pitchFamily="18" charset="0"/>
              <a:cs typeface="Times New Roman" panose="02020603050405020304" pitchFamily="18" charset="0"/>
            </a:rPr>
            <a:t> поток по проекту</a:t>
          </a:r>
          <a:endParaRPr lang="ru-RU" sz="1800">
            <a:latin typeface="Times New Roman" panose="02020603050405020304" pitchFamily="18" charset="0"/>
            <a:cs typeface="Times New Roman" panose="02020603050405020304" pitchFamily="18" charset="0"/>
          </a:endParaRPr>
        </a:p>
      </xdr:txBody>
    </xdr:sp>
    <xdr:clientData/>
  </xdr:twoCellAnchor>
  <xdr:twoCellAnchor editAs="oneCell">
    <xdr:from>
      <xdr:col>18</xdr:col>
      <xdr:colOff>441703</xdr:colOff>
      <xdr:row>4</xdr:row>
      <xdr:rowOff>492816</xdr:rowOff>
    </xdr:from>
    <xdr:to>
      <xdr:col>21</xdr:col>
      <xdr:colOff>553282</xdr:colOff>
      <xdr:row>9</xdr:row>
      <xdr:rowOff>179388</xdr:rowOff>
    </xdr:to>
    <xdr:pic>
      <xdr:nvPicPr>
        <xdr:cNvPr id="14" name="Рисунок 1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8721420" y="1387338"/>
          <a:ext cx="2993927" cy="1831767"/>
        </a:xfrm>
        <a:prstGeom prst="rect">
          <a:avLst/>
        </a:prstGeom>
      </xdr:spPr>
    </xdr:pic>
    <xdr:clientData/>
  </xdr:twoCellAnchor>
  <xdr:twoCellAnchor editAs="oneCell">
    <xdr:from>
      <xdr:col>2</xdr:col>
      <xdr:colOff>57150</xdr:colOff>
      <xdr:row>8</xdr:row>
      <xdr:rowOff>59872</xdr:rowOff>
    </xdr:from>
    <xdr:to>
      <xdr:col>2</xdr:col>
      <xdr:colOff>2152330</xdr:colOff>
      <xdr:row>11</xdr:row>
      <xdr:rowOff>171197</xdr:rowOff>
    </xdr:to>
    <xdr:pic>
      <xdr:nvPicPr>
        <xdr:cNvPr id="15" name="Рисунок 14">
          <a:hlinkClick xmlns:r="http://schemas.openxmlformats.org/officeDocument/2006/relationships" r:id="rId4"/>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81050" y="2955472"/>
          <a:ext cx="2095180" cy="663775"/>
        </a:xfrm>
        <a:prstGeom prst="rect">
          <a:avLst/>
        </a:prstGeom>
      </xdr:spPr>
    </xdr:pic>
    <xdr:clientData/>
  </xdr:twoCellAnchor>
  <xdr:twoCellAnchor>
    <xdr:from>
      <xdr:col>17</xdr:col>
      <xdr:colOff>704850</xdr:colOff>
      <xdr:row>2</xdr:row>
      <xdr:rowOff>19050</xdr:rowOff>
    </xdr:from>
    <xdr:to>
      <xdr:col>21</xdr:col>
      <xdr:colOff>962668</xdr:colOff>
      <xdr:row>4</xdr:row>
      <xdr:rowOff>472109</xdr:rowOff>
    </xdr:to>
    <xdr:grpSp>
      <xdr:nvGrpSpPr>
        <xdr:cNvPr id="9" name="Группа 8"/>
        <xdr:cNvGrpSpPr/>
      </xdr:nvGrpSpPr>
      <xdr:grpSpPr>
        <a:xfrm>
          <a:off x="18067564" y="400050"/>
          <a:ext cx="4081425" cy="970130"/>
          <a:chOff x="18048633" y="400050"/>
          <a:chExt cx="4076100" cy="966581"/>
        </a:xfrm>
      </xdr:grpSpPr>
      <xdr:grpSp>
        <xdr:nvGrpSpPr>
          <xdr:cNvPr id="7" name="Группа 6"/>
          <xdr:cNvGrpSpPr/>
        </xdr:nvGrpSpPr>
        <xdr:grpSpPr>
          <a:xfrm>
            <a:off x="18048633" y="400050"/>
            <a:ext cx="4076100" cy="940244"/>
            <a:chOff x="18048633" y="400050"/>
            <a:chExt cx="4076100" cy="940244"/>
          </a:xfrm>
        </xdr:grpSpPr>
        <xdr:pic>
          <xdr:nvPicPr>
            <xdr:cNvPr id="4" name="Рисунок 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048633" y="400050"/>
              <a:ext cx="4076100" cy="940244"/>
            </a:xfrm>
            <a:prstGeom prst="rect">
              <a:avLst/>
            </a:prstGeom>
          </xdr:spPr>
        </xdr:pic>
        <xdr:sp macro="" textlink="">
          <xdr:nvSpPr>
            <xdr:cNvPr id="11" name="Прямоугольник 10"/>
            <xdr:cNvSpPr/>
          </xdr:nvSpPr>
          <xdr:spPr>
            <a:xfrm>
              <a:off x="21302318" y="1001725"/>
              <a:ext cx="204108" cy="299357"/>
            </a:xfrm>
            <a:prstGeom prst="rect">
              <a:avLst/>
            </a:prstGeom>
            <a:solidFill>
              <a:srgbClr val="125D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pSp>
      <xdr:pic>
        <xdr:nvPicPr>
          <xdr:cNvPr id="13" name="Рисунок 12"/>
          <xdr:cNvPicPr>
            <a:picLocks noChangeAspect="1"/>
          </xdr:cNvPicPr>
        </xdr:nvPicPr>
        <xdr:blipFill>
          <a:blip xmlns:r="http://schemas.openxmlformats.org/officeDocument/2006/relationships" r:embed="rId7"/>
          <a:stretch>
            <a:fillRect/>
          </a:stretch>
        </xdr:blipFill>
        <xdr:spPr>
          <a:xfrm>
            <a:off x="21240897" y="930138"/>
            <a:ext cx="776492" cy="436493"/>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055;&#1086;&#1083;&#1100;&#1079;&#1086;&#1074;&#1072;&#1090;&#1077;&#1083;&#1100;/Downloads/Telegram%20Desktop/&#1060;&#1080;&#1085;&#1084;&#1086;&#1076;&#1077;&#1083;&#1100;%20&#1048;&#1076;&#1077;&#1072;&#1083;&#1100;&#1085;&#1099;&#1081;%20&#1076;&#1077;&#1085;&#1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1055;&#1086;&#1083;&#1100;&#1079;&#1086;&#1074;&#1072;&#1090;&#1077;&#1083;&#1100;/Dropbox/&#1060;&#1088;&#1072;&#1085;&#1095;&#1072;&#1081;&#1079;&#1080;&#1085;&#1075;5/ReActive/&#1060;&#1080;&#1085;&#1072;&#1085;&#1089;&#1086;&#1074;&#1072;&#1103;%20&#1084;&#1086;&#1076;&#1077;&#1083;&#1100;%20ReActive%20(version%201).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1052;&#1072;&#1088;&#1080;&#1103;/Dropbox/&#1060;&#1088;&#1072;&#1085;&#1095;&#1072;&#1081;&#1079;&#1080;&#1085;&#1075;5/&#1047;&#1040;&#1050;&#1056;&#1067;&#1058;&#1054;/&#1052;&#1072;&#1075;&#1072;&#1088;&#1099;&#1095;/&#1060;&#1080;&#1085;&#1084;&#1086;&#1076;&#1077;&#1083;&#1100;%20&#1052;&#1072;&#1075;&#1072;&#1088;&#1099;&#1095;%201.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1051;&#1080;&#1089;&#1090;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итульная страница"/>
      <sheetName val="Структура"/>
      <sheetName val="Входящие данные"/>
      <sheetName val="Этапы запуска Проекта"/>
      <sheetName val="Инвестиции на орг-цию бизнеса"/>
      <sheetName val="Ежемесячные затраты"/>
      <sheetName val="Продажи"/>
      <sheetName val="Прибыль_окупаемость"/>
      <sheetName val="Гибкость"/>
      <sheetName val="Лист1"/>
      <sheetName val="Глоссарий"/>
      <sheetName val="Гибкость2"/>
      <sheetName val="Кредитование"/>
      <sheetName val="20"/>
      <sheetName val="40"/>
      <sheetName val="60"/>
      <sheetName val="80"/>
      <sheetName val="100"/>
      <sheetName val="120"/>
      <sheetName val="140"/>
      <sheetName val="160"/>
      <sheetName val="180"/>
    </sheetNames>
    <sheetDataSet>
      <sheetData sheetId="0"/>
      <sheetData sheetId="1"/>
      <sheetData sheetId="2"/>
      <sheetData sheetId="3"/>
      <sheetData sheetId="4"/>
      <sheetData sheetId="5">
        <row r="4">
          <cell r="B4">
            <v>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итульный лист"/>
      <sheetName val="Структура"/>
      <sheetName val="Входящие данные"/>
      <sheetName val="Этапы запуска Проекта"/>
      <sheetName val="Инвестиции на орг-цию бизнеса"/>
      <sheetName val="Ежемесячные затраты"/>
      <sheetName val="Продажи"/>
      <sheetName val="Прибыль_окупаемость"/>
      <sheetName val="Расчеты гибкости"/>
      <sheetName val="Кредитование"/>
      <sheetName val="Гибкость"/>
      <sheetName val="Глоссарий"/>
      <sheetName val="Сезонность рынк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Титульный лист"/>
      <sheetName val="Cтруктура"/>
      <sheetName val="Входящие данные"/>
      <sheetName val="Этапы запуска Проекта"/>
      <sheetName val="Инвестиции на орг-цию бизнеса"/>
      <sheetName val="Ежемесячные затраты"/>
      <sheetName val="Продажи"/>
      <sheetName val="Прибыль_окупаемость"/>
      <sheetName val="Гибкость бизнеса"/>
      <sheetName val="Гибкость"/>
      <sheetName val="Глоссарий"/>
      <sheetName val="20"/>
      <sheetName val="40"/>
      <sheetName val="60"/>
      <sheetName val="80"/>
      <sheetName val="120"/>
      <sheetName val="140"/>
      <sheetName val="160"/>
      <sheetName val="180"/>
      <sheetName val="Кредитование"/>
      <sheetName val="Лист1"/>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s>
    <sheetDataSet>
      <sheetData sheetId="0"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showGridLines="0" tabSelected="1" zoomScale="85" zoomScaleNormal="85" workbookViewId="0"/>
  </sheetViews>
  <sheetFormatPr defaultRowHeight="15"/>
  <cols>
    <col min="1" max="1" width="9.140625" style="218"/>
    <col min="2" max="16384" width="9.140625" style="219"/>
  </cols>
  <sheetData>
    <row r="1" spans="1:14" s="217" customFormat="1">
      <c r="A1" s="220"/>
    </row>
    <row r="10" spans="1:14">
      <c r="N10"/>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5"/>
  <sheetViews>
    <sheetView showGridLines="0" zoomScale="70" zoomScaleNormal="70" workbookViewId="0"/>
  </sheetViews>
  <sheetFormatPr defaultColWidth="15.140625" defaultRowHeight="15"/>
  <cols>
    <col min="1" max="1" width="4.28515625" style="63" customWidth="1"/>
    <col min="2" max="2" width="4" style="63" customWidth="1"/>
    <col min="3" max="3" width="19.85546875" style="63" bestFit="1" customWidth="1"/>
    <col min="4" max="7" width="12.140625" style="63" bestFit="1" customWidth="1"/>
    <col min="8" max="8" width="12" style="63" bestFit="1" customWidth="1"/>
    <col min="9" max="11" width="12.140625" style="63" bestFit="1" customWidth="1"/>
    <col min="12" max="12" width="12" style="63" bestFit="1" customWidth="1"/>
    <col min="13" max="13" width="12" style="63" customWidth="1"/>
    <col min="14" max="14" width="5.28515625" style="63" customWidth="1"/>
    <col min="15" max="16384" width="15.140625" style="63"/>
  </cols>
  <sheetData>
    <row r="1" spans="2:17" ht="15" customHeight="1" thickBot="1"/>
    <row r="2" spans="2:17" ht="15" customHeight="1">
      <c r="B2" s="77"/>
      <c r="C2" s="296"/>
      <c r="D2" s="296"/>
      <c r="E2" s="296"/>
      <c r="F2" s="296"/>
      <c r="G2" s="296"/>
      <c r="H2" s="296"/>
      <c r="I2" s="296"/>
      <c r="J2" s="296"/>
      <c r="K2" s="296"/>
      <c r="L2" s="296"/>
      <c r="M2" s="296"/>
      <c r="N2" s="297"/>
    </row>
    <row r="3" spans="2:17" ht="18.75" customHeight="1">
      <c r="B3" s="416"/>
      <c r="C3" s="417"/>
      <c r="D3" s="417"/>
      <c r="E3" s="417"/>
      <c r="F3" s="417"/>
      <c r="G3" s="417"/>
      <c r="H3" s="417"/>
      <c r="I3" s="417"/>
      <c r="J3" s="417"/>
      <c r="K3" s="417"/>
      <c r="L3" s="417"/>
      <c r="M3" s="417"/>
      <c r="N3" s="418"/>
    </row>
    <row r="4" spans="2:17" ht="20.25">
      <c r="B4" s="416"/>
      <c r="C4" s="417"/>
      <c r="D4" s="417"/>
      <c r="E4" s="417"/>
      <c r="F4" s="417"/>
      <c r="G4" s="417"/>
      <c r="H4" s="417"/>
      <c r="I4" s="417"/>
      <c r="J4" s="417"/>
      <c r="K4" s="417"/>
      <c r="L4" s="417"/>
      <c r="M4" s="417"/>
      <c r="N4" s="418"/>
    </row>
    <row r="5" spans="2:17" ht="20.25">
      <c r="B5" s="292"/>
      <c r="C5" s="293"/>
      <c r="D5" s="293"/>
      <c r="E5" s="293"/>
      <c r="F5" s="293"/>
      <c r="G5" s="293"/>
      <c r="H5" s="293"/>
      <c r="I5" s="293"/>
      <c r="J5" s="293"/>
      <c r="K5" s="293"/>
      <c r="L5" s="293"/>
      <c r="M5" s="293"/>
      <c r="N5" s="294"/>
    </row>
    <row r="6" spans="2:17" ht="20.25">
      <c r="B6" s="292"/>
      <c r="C6" s="293"/>
      <c r="D6" s="293"/>
      <c r="E6" s="293"/>
      <c r="F6" s="293"/>
      <c r="G6" s="293"/>
      <c r="H6" s="293"/>
      <c r="I6" s="293"/>
      <c r="J6" s="293"/>
      <c r="K6" s="293"/>
      <c r="L6" s="293"/>
      <c r="M6" s="293"/>
      <c r="N6" s="294"/>
    </row>
    <row r="7" spans="2:17" ht="158.25" customHeight="1">
      <c r="B7" s="69"/>
      <c r="C7" s="64"/>
      <c r="D7" s="64"/>
      <c r="E7" s="64"/>
      <c r="F7" s="64"/>
      <c r="G7" s="64"/>
      <c r="H7" s="64"/>
      <c r="I7" s="64"/>
      <c r="J7" s="64"/>
      <c r="K7" s="64"/>
      <c r="L7" s="64"/>
      <c r="M7" s="64"/>
      <c r="N7" s="298"/>
    </row>
    <row r="8" spans="2:17" ht="40.5" customHeight="1">
      <c r="B8" s="69"/>
      <c r="C8" s="64"/>
      <c r="D8" s="64"/>
      <c r="E8" s="64"/>
      <c r="F8" s="64"/>
      <c r="G8" s="64"/>
      <c r="H8" s="64"/>
      <c r="I8" s="64"/>
      <c r="J8" s="64"/>
      <c r="K8" s="64"/>
      <c r="L8" s="64"/>
      <c r="M8" s="64"/>
      <c r="N8" s="298"/>
    </row>
    <row r="9" spans="2:17" ht="48" customHeight="1">
      <c r="B9" s="69"/>
      <c r="C9" s="457" t="s">
        <v>130</v>
      </c>
      <c r="D9" s="457"/>
      <c r="E9" s="457"/>
      <c r="F9" s="457"/>
      <c r="G9" s="457"/>
      <c r="H9" s="457"/>
      <c r="I9" s="457"/>
      <c r="J9" s="457"/>
      <c r="K9" s="457"/>
      <c r="L9" s="457"/>
      <c r="M9" s="457"/>
      <c r="N9" s="298"/>
      <c r="Q9" s="299"/>
    </row>
    <row r="10" spans="2:17">
      <c r="B10" s="69"/>
      <c r="M10" s="300"/>
      <c r="N10" s="298"/>
    </row>
    <row r="11" spans="2:17" ht="27" customHeight="1">
      <c r="B11" s="69"/>
      <c r="C11" s="64"/>
      <c r="D11" s="64"/>
      <c r="E11" s="64"/>
      <c r="F11" s="64"/>
      <c r="G11" s="64"/>
      <c r="H11" s="64"/>
      <c r="I11" s="64"/>
      <c r="J11" s="64"/>
      <c r="K11" s="64"/>
      <c r="L11" s="64"/>
      <c r="M11" s="64"/>
      <c r="N11" s="298"/>
    </row>
    <row r="12" spans="2:17" ht="27" customHeight="1">
      <c r="B12" s="69"/>
      <c r="C12" s="64"/>
      <c r="D12" s="64"/>
      <c r="E12" s="64"/>
      <c r="F12" s="64"/>
      <c r="G12" s="64"/>
      <c r="H12" s="64"/>
      <c r="I12" s="64"/>
      <c r="J12" s="64"/>
      <c r="K12" s="64"/>
      <c r="L12" s="64"/>
      <c r="M12" s="64"/>
      <c r="N12" s="298"/>
    </row>
    <row r="13" spans="2:17" ht="27" customHeight="1">
      <c r="B13" s="69"/>
      <c r="C13" s="64"/>
      <c r="D13" s="64"/>
      <c r="E13" s="64"/>
      <c r="F13" s="64"/>
      <c r="G13" s="64"/>
      <c r="H13" s="64"/>
      <c r="I13" s="64"/>
      <c r="J13" s="64"/>
      <c r="K13" s="64"/>
      <c r="L13" s="64"/>
      <c r="M13" s="64"/>
      <c r="N13" s="298"/>
    </row>
    <row r="14" spans="2:17" ht="27" customHeight="1">
      <c r="B14" s="69"/>
      <c r="C14" s="64"/>
      <c r="D14" s="64"/>
      <c r="E14" s="64"/>
      <c r="F14" s="64"/>
      <c r="G14" s="64"/>
      <c r="H14" s="64"/>
      <c r="I14" s="64"/>
      <c r="J14" s="64"/>
      <c r="K14" s="64"/>
      <c r="L14" s="64"/>
      <c r="M14" s="64"/>
      <c r="N14" s="298"/>
    </row>
    <row r="15" spans="2:17" ht="27" customHeight="1">
      <c r="B15" s="69"/>
      <c r="C15" s="64"/>
      <c r="D15" s="64"/>
      <c r="E15" s="64"/>
      <c r="F15" s="64"/>
      <c r="G15" s="64"/>
      <c r="H15" s="64"/>
      <c r="I15" s="64"/>
      <c r="J15" s="64"/>
      <c r="K15" s="64"/>
      <c r="L15" s="64"/>
      <c r="M15" s="64"/>
      <c r="N15" s="298"/>
    </row>
    <row r="16" spans="2:17" ht="27" customHeight="1">
      <c r="B16" s="69"/>
      <c r="C16" s="64"/>
      <c r="D16" s="64"/>
      <c r="E16" s="64"/>
      <c r="F16" s="64"/>
      <c r="G16" s="64"/>
      <c r="H16" s="64"/>
      <c r="I16" s="64"/>
      <c r="J16" s="64"/>
      <c r="K16" s="64"/>
      <c r="L16" s="64"/>
      <c r="M16" s="64"/>
      <c r="N16" s="298"/>
    </row>
    <row r="17" spans="2:14" ht="27" customHeight="1">
      <c r="B17" s="69"/>
      <c r="C17" s="64"/>
      <c r="D17" s="64"/>
      <c r="E17" s="64"/>
      <c r="F17" s="64"/>
      <c r="G17" s="64"/>
      <c r="H17" s="64"/>
      <c r="I17" s="64"/>
      <c r="J17" s="64"/>
      <c r="K17" s="64"/>
      <c r="L17" s="64"/>
      <c r="M17" s="64"/>
      <c r="N17" s="298"/>
    </row>
    <row r="18" spans="2:14" ht="207" customHeight="1">
      <c r="B18" s="69"/>
      <c r="C18" s="64"/>
      <c r="D18" s="64"/>
      <c r="E18" s="64"/>
      <c r="F18" s="64"/>
      <c r="G18" s="64"/>
      <c r="H18" s="64"/>
      <c r="I18" s="64"/>
      <c r="J18" s="64"/>
      <c r="K18" s="64"/>
      <c r="L18" s="64"/>
      <c r="M18" s="64"/>
      <c r="N18" s="298"/>
    </row>
    <row r="19" spans="2:14" ht="51.75" customHeight="1">
      <c r="B19" s="69"/>
      <c r="C19" s="64"/>
      <c r="D19" s="64"/>
      <c r="E19" s="64"/>
      <c r="F19" s="64"/>
      <c r="G19" s="64"/>
      <c r="H19" s="64"/>
      <c r="I19" s="64"/>
      <c r="J19" s="64"/>
      <c r="K19" s="64"/>
      <c r="L19" s="64"/>
      <c r="M19" s="64"/>
      <c r="N19" s="298"/>
    </row>
    <row r="20" spans="2:14" ht="51.75" customHeight="1">
      <c r="B20" s="69"/>
      <c r="C20" s="64"/>
      <c r="D20" s="64"/>
      <c r="E20" s="64"/>
      <c r="F20" s="64"/>
      <c r="G20" s="64"/>
      <c r="H20" s="64"/>
      <c r="I20" s="64"/>
      <c r="J20" s="64"/>
      <c r="K20" s="64"/>
      <c r="L20" s="64"/>
      <c r="M20" s="64"/>
      <c r="N20" s="298"/>
    </row>
    <row r="21" spans="2:14" ht="51.75" customHeight="1">
      <c r="B21" s="69"/>
      <c r="C21" s="64"/>
      <c r="D21" s="64"/>
      <c r="E21" s="64"/>
      <c r="F21" s="64"/>
      <c r="G21" s="64"/>
      <c r="H21" s="64"/>
      <c r="I21" s="64"/>
      <c r="J21" s="64"/>
      <c r="K21" s="64"/>
      <c r="L21" s="64"/>
      <c r="M21" s="64"/>
      <c r="N21" s="298"/>
    </row>
    <row r="22" spans="2:14" ht="51.75" customHeight="1">
      <c r="B22" s="69"/>
      <c r="C22" s="64"/>
      <c r="D22" s="64"/>
      <c r="E22" s="64"/>
      <c r="F22" s="64"/>
      <c r="G22" s="64"/>
      <c r="H22" s="64"/>
      <c r="I22" s="64"/>
      <c r="J22" s="64"/>
      <c r="K22" s="64"/>
      <c r="L22" s="64"/>
      <c r="M22" s="64"/>
      <c r="N22" s="298"/>
    </row>
    <row r="23" spans="2:14" ht="51.75" customHeight="1">
      <c r="B23" s="69"/>
      <c r="C23" s="64"/>
      <c r="D23" s="64"/>
      <c r="E23" s="64"/>
      <c r="F23" s="64"/>
      <c r="G23" s="64"/>
      <c r="H23" s="64"/>
      <c r="I23" s="64"/>
      <c r="J23" s="64"/>
      <c r="K23" s="64"/>
      <c r="L23" s="64"/>
      <c r="M23" s="64"/>
      <c r="N23" s="298"/>
    </row>
    <row r="24" spans="2:14" ht="51.75" customHeight="1">
      <c r="B24" s="69"/>
      <c r="C24" s="64"/>
      <c r="D24" s="64"/>
      <c r="E24" s="64"/>
      <c r="F24" s="64"/>
      <c r="G24" s="64"/>
      <c r="H24" s="64"/>
      <c r="I24" s="64"/>
      <c r="J24" s="64"/>
      <c r="K24" s="64"/>
      <c r="L24" s="64"/>
      <c r="M24" s="64"/>
      <c r="N24" s="298"/>
    </row>
    <row r="25" spans="2:14" ht="51.75" customHeight="1">
      <c r="B25" s="69"/>
      <c r="C25" s="64"/>
      <c r="D25" s="64"/>
      <c r="E25" s="64"/>
      <c r="F25" s="64"/>
      <c r="G25" s="64"/>
      <c r="H25" s="64"/>
      <c r="I25" s="64"/>
      <c r="J25" s="64"/>
      <c r="K25" s="64"/>
      <c r="L25" s="64"/>
      <c r="M25" s="64"/>
      <c r="N25" s="298"/>
    </row>
    <row r="26" spans="2:14" ht="51.75" customHeight="1">
      <c r="B26" s="69"/>
      <c r="C26" s="64"/>
      <c r="D26" s="64"/>
      <c r="E26" s="64"/>
      <c r="F26" s="64"/>
      <c r="G26" s="64"/>
      <c r="H26" s="64"/>
      <c r="I26" s="64"/>
      <c r="J26" s="64"/>
      <c r="K26" s="64"/>
      <c r="L26" s="64"/>
      <c r="M26" s="64"/>
      <c r="N26" s="298"/>
    </row>
    <row r="27" spans="2:14" ht="51.75" customHeight="1">
      <c r="B27" s="69"/>
      <c r="C27" s="64"/>
      <c r="D27" s="64"/>
      <c r="E27" s="64"/>
      <c r="F27" s="64"/>
      <c r="G27" s="64"/>
      <c r="H27" s="64"/>
      <c r="I27" s="64"/>
      <c r="J27" s="64"/>
      <c r="K27" s="64"/>
      <c r="L27" s="64"/>
      <c r="M27" s="64"/>
      <c r="N27" s="298"/>
    </row>
    <row r="28" spans="2:14" ht="51.75" customHeight="1">
      <c r="B28" s="69"/>
      <c r="C28" s="64"/>
      <c r="D28" s="64"/>
      <c r="E28" s="64"/>
      <c r="F28" s="64"/>
      <c r="G28" s="64"/>
      <c r="H28" s="64"/>
      <c r="I28" s="64"/>
      <c r="J28" s="64"/>
      <c r="K28" s="64"/>
      <c r="L28" s="64"/>
      <c r="M28" s="64"/>
      <c r="N28" s="298"/>
    </row>
    <row r="29" spans="2:14" ht="51.75" customHeight="1">
      <c r="B29" s="69"/>
      <c r="C29" s="64"/>
      <c r="D29" s="64"/>
      <c r="E29" s="64"/>
      <c r="F29" s="64"/>
      <c r="G29" s="64"/>
      <c r="H29" s="64"/>
      <c r="I29" s="64"/>
      <c r="J29" s="64"/>
      <c r="K29" s="64"/>
      <c r="L29" s="64"/>
      <c r="M29" s="64"/>
      <c r="N29" s="298"/>
    </row>
    <row r="30" spans="2:14" ht="51.75" customHeight="1">
      <c r="B30" s="69"/>
      <c r="C30" s="64"/>
      <c r="D30" s="64"/>
      <c r="E30" s="64"/>
      <c r="F30" s="64"/>
      <c r="G30" s="64"/>
      <c r="H30" s="64"/>
      <c r="I30" s="64"/>
      <c r="J30" s="64"/>
      <c r="K30" s="64"/>
      <c r="L30" s="64"/>
      <c r="M30" s="64"/>
      <c r="N30" s="298"/>
    </row>
    <row r="31" spans="2:14" ht="51.75" customHeight="1">
      <c r="B31" s="69"/>
      <c r="C31" s="64"/>
      <c r="D31" s="64"/>
      <c r="E31" s="64"/>
      <c r="F31" s="64"/>
      <c r="G31" s="64"/>
      <c r="H31" s="64"/>
      <c r="I31" s="64"/>
      <c r="J31" s="64"/>
      <c r="K31" s="64"/>
      <c r="L31" s="64"/>
      <c r="M31" s="64"/>
      <c r="N31" s="298"/>
    </row>
    <row r="32" spans="2:14" ht="51.75" customHeight="1">
      <c r="B32" s="69"/>
      <c r="C32" s="64"/>
      <c r="D32" s="64"/>
      <c r="E32" s="64"/>
      <c r="F32" s="64"/>
      <c r="G32" s="64"/>
      <c r="H32" s="64"/>
      <c r="I32" s="64"/>
      <c r="J32" s="64"/>
      <c r="K32" s="64"/>
      <c r="L32" s="64"/>
      <c r="M32" s="64"/>
      <c r="N32" s="298"/>
    </row>
    <row r="33" spans="2:14" ht="51.75" customHeight="1">
      <c r="B33" s="69"/>
      <c r="C33" s="64"/>
      <c r="D33" s="64"/>
      <c r="E33" s="64"/>
      <c r="F33" s="64"/>
      <c r="G33" s="64"/>
      <c r="H33" s="64"/>
      <c r="I33" s="64"/>
      <c r="J33" s="64"/>
      <c r="K33" s="64"/>
      <c r="L33" s="64"/>
      <c r="M33" s="64"/>
      <c r="N33" s="298"/>
    </row>
    <row r="34" spans="2:14" ht="51.75" customHeight="1">
      <c r="B34" s="69"/>
      <c r="C34" s="64"/>
      <c r="D34" s="64"/>
      <c r="E34" s="64"/>
      <c r="F34" s="64"/>
      <c r="G34" s="64"/>
      <c r="H34" s="64"/>
      <c r="I34" s="64"/>
      <c r="J34" s="64"/>
      <c r="K34" s="64"/>
      <c r="L34" s="64"/>
      <c r="M34" s="64"/>
      <c r="N34" s="298"/>
    </row>
    <row r="35" spans="2:14" ht="15" customHeight="1" thickBot="1">
      <c r="B35" s="67"/>
      <c r="C35" s="66"/>
      <c r="D35" s="66"/>
      <c r="E35" s="66"/>
      <c r="F35" s="66"/>
      <c r="G35" s="66"/>
      <c r="H35" s="66"/>
      <c r="I35" s="66"/>
      <c r="J35" s="66"/>
      <c r="K35" s="66"/>
      <c r="L35" s="66"/>
      <c r="M35" s="66"/>
      <c r="N35" s="65"/>
    </row>
    <row r="38" spans="2:14">
      <c r="B38" s="64"/>
      <c r="C38" s="301"/>
      <c r="D38" s="301"/>
      <c r="E38" s="301"/>
      <c r="F38" s="301"/>
      <c r="G38" s="301"/>
      <c r="H38" s="301"/>
      <c r="I38" s="301"/>
      <c r="J38" s="301"/>
      <c r="K38" s="301"/>
      <c r="L38" s="301"/>
      <c r="M38" s="301"/>
      <c r="N38" s="64"/>
    </row>
    <row r="39" spans="2:14">
      <c r="B39" s="64"/>
      <c r="C39" s="301"/>
      <c r="D39" s="301"/>
      <c r="E39" s="301"/>
      <c r="F39" s="301"/>
      <c r="G39" s="301"/>
      <c r="H39" s="301"/>
      <c r="I39" s="301"/>
      <c r="J39" s="301"/>
      <c r="K39" s="301"/>
      <c r="L39" s="301"/>
      <c r="M39" s="301"/>
      <c r="N39" s="64"/>
    </row>
    <row r="40" spans="2:14">
      <c r="B40" s="64"/>
      <c r="C40" s="301"/>
      <c r="D40" s="301"/>
      <c r="E40" s="301"/>
      <c r="F40" s="301"/>
      <c r="G40" s="301"/>
      <c r="H40" s="301"/>
      <c r="I40" s="301"/>
      <c r="J40" s="301"/>
      <c r="K40" s="301"/>
      <c r="L40" s="301"/>
      <c r="M40" s="301"/>
      <c r="N40" s="64"/>
    </row>
    <row r="41" spans="2:14">
      <c r="B41" s="64"/>
      <c r="C41" s="301"/>
      <c r="D41" s="301"/>
      <c r="E41" s="301"/>
      <c r="F41" s="301"/>
      <c r="G41" s="301"/>
      <c r="H41" s="301"/>
      <c r="I41" s="301"/>
      <c r="J41" s="301"/>
      <c r="K41" s="301"/>
      <c r="L41" s="301"/>
      <c r="M41" s="301"/>
      <c r="N41" s="64"/>
    </row>
    <row r="42" spans="2:14">
      <c r="B42" s="64"/>
      <c r="C42" s="301"/>
      <c r="D42" s="301"/>
      <c r="E42" s="301"/>
      <c r="F42" s="301"/>
      <c r="G42" s="301"/>
      <c r="H42" s="301"/>
      <c r="I42" s="301"/>
      <c r="J42" s="301"/>
      <c r="K42" s="301"/>
      <c r="L42" s="301"/>
      <c r="M42" s="301"/>
      <c r="N42" s="64"/>
    </row>
    <row r="43" spans="2:14">
      <c r="B43" s="64"/>
      <c r="C43" s="301"/>
      <c r="D43" s="301"/>
      <c r="E43" s="301"/>
      <c r="F43" s="301"/>
      <c r="G43" s="301"/>
      <c r="H43" s="301"/>
      <c r="I43" s="301"/>
      <c r="J43" s="301"/>
      <c r="K43" s="301"/>
      <c r="L43" s="301"/>
      <c r="M43" s="301"/>
      <c r="N43" s="64"/>
    </row>
    <row r="44" spans="2:14">
      <c r="B44" s="64"/>
      <c r="C44" s="64"/>
      <c r="D44" s="64"/>
      <c r="E44" s="64"/>
      <c r="F44" s="64"/>
      <c r="G44" s="64"/>
      <c r="H44" s="64"/>
      <c r="I44" s="64"/>
      <c r="J44" s="64"/>
      <c r="K44" s="64"/>
      <c r="L44" s="64"/>
      <c r="M44" s="64"/>
      <c r="N44" s="64"/>
    </row>
    <row r="45" spans="2:14">
      <c r="B45" s="64"/>
      <c r="C45" s="64"/>
      <c r="D45" s="64"/>
      <c r="E45" s="64"/>
      <c r="F45" s="64"/>
      <c r="G45" s="64"/>
      <c r="H45" s="64"/>
      <c r="I45" s="64"/>
      <c r="J45" s="64"/>
      <c r="K45" s="64"/>
      <c r="L45" s="64"/>
      <c r="M45" s="64"/>
      <c r="N45" s="64"/>
    </row>
  </sheetData>
  <mergeCells count="3">
    <mergeCell ref="B3:N3"/>
    <mergeCell ref="B4:N4"/>
    <mergeCell ref="C9:M9"/>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G28"/>
  <sheetViews>
    <sheetView showGridLines="0" zoomScale="70" zoomScaleNormal="70" workbookViewId="0"/>
  </sheetViews>
  <sheetFormatPr defaultRowHeight="15"/>
  <cols>
    <col min="1" max="1" width="28.140625" style="241" customWidth="1"/>
    <col min="2" max="2" width="126.140625" style="241" customWidth="1"/>
    <col min="3" max="3" width="15.28515625" style="241" customWidth="1"/>
    <col min="4" max="4" width="35.85546875" style="241" customWidth="1"/>
    <col min="5" max="5" width="20.28515625" style="241" customWidth="1"/>
    <col min="6" max="6" width="26.7109375" style="241" customWidth="1"/>
    <col min="7" max="16384" width="9.140625" style="241"/>
  </cols>
  <sheetData>
    <row r="7" spans="1:7">
      <c r="A7" s="268"/>
    </row>
    <row r="8" spans="1:7">
      <c r="A8" s="268"/>
      <c r="D8" s="341"/>
    </row>
    <row r="9" spans="1:7">
      <c r="A9" s="268"/>
    </row>
    <row r="10" spans="1:7">
      <c r="A10" s="268"/>
    </row>
    <row r="11" spans="1:7" ht="15.75">
      <c r="A11" s="460" t="s">
        <v>128</v>
      </c>
      <c r="B11" s="267" t="s">
        <v>127</v>
      </c>
      <c r="C11" s="458" t="s">
        <v>126</v>
      </c>
      <c r="D11" s="458"/>
      <c r="E11" s="459"/>
      <c r="F11" s="466">
        <v>42767</v>
      </c>
      <c r="G11" s="467"/>
    </row>
    <row r="12" spans="1:7" ht="31.5">
      <c r="A12" s="461"/>
      <c r="B12" s="249" t="s">
        <v>149</v>
      </c>
      <c r="C12" s="259" t="s">
        <v>125</v>
      </c>
      <c r="D12" s="266" t="s">
        <v>124</v>
      </c>
      <c r="E12" s="266" t="s">
        <v>123</v>
      </c>
      <c r="F12" s="308" t="s">
        <v>145</v>
      </c>
      <c r="G12" s="308">
        <v>9.75</v>
      </c>
    </row>
    <row r="13" spans="1:7" ht="47.25">
      <c r="A13" s="461"/>
      <c r="B13" s="249" t="s">
        <v>122</v>
      </c>
      <c r="C13" s="262" t="s">
        <v>121</v>
      </c>
      <c r="D13" s="261" t="s">
        <v>120</v>
      </c>
      <c r="E13" s="265" t="s">
        <v>119</v>
      </c>
      <c r="F13" s="308" t="s">
        <v>146</v>
      </c>
      <c r="G13" s="308">
        <v>4.3</v>
      </c>
    </row>
    <row r="14" spans="1:7" ht="126">
      <c r="A14" s="461"/>
      <c r="B14" s="249" t="s">
        <v>118</v>
      </c>
      <c r="C14" s="259" t="s">
        <v>117</v>
      </c>
      <c r="D14" s="258" t="s">
        <v>116</v>
      </c>
      <c r="E14" s="264" t="s">
        <v>115</v>
      </c>
    </row>
    <row r="15" spans="1:7" ht="31.5">
      <c r="A15" s="461"/>
      <c r="B15" s="263"/>
      <c r="C15" s="262" t="s">
        <v>114</v>
      </c>
      <c r="D15" s="261" t="s">
        <v>113</v>
      </c>
      <c r="E15" s="261" t="s">
        <v>112</v>
      </c>
    </row>
    <row r="16" spans="1:7" ht="31.5">
      <c r="A16" s="462"/>
      <c r="B16" s="260"/>
      <c r="C16" s="259" t="s">
        <v>111</v>
      </c>
      <c r="D16" s="258" t="s">
        <v>110</v>
      </c>
      <c r="E16" s="258" t="s">
        <v>109</v>
      </c>
    </row>
    <row r="17" spans="1:5" ht="15.75">
      <c r="A17" s="257"/>
      <c r="B17" s="256"/>
      <c r="C17" s="255"/>
      <c r="D17" s="254"/>
      <c r="E17" s="254"/>
    </row>
    <row r="18" spans="1:5" ht="15.75">
      <c r="A18" s="253"/>
      <c r="B18" s="252"/>
      <c r="C18" s="251"/>
    </row>
    <row r="19" spans="1:5" ht="63" customHeight="1">
      <c r="A19" s="463" t="s">
        <v>108</v>
      </c>
      <c r="B19" s="249" t="s">
        <v>107</v>
      </c>
    </row>
    <row r="20" spans="1:5" ht="15.75" customHeight="1">
      <c r="A20" s="464"/>
      <c r="B20" s="250" t="s">
        <v>106</v>
      </c>
    </row>
    <row r="21" spans="1:5" ht="47.25">
      <c r="A21" s="464"/>
      <c r="B21" s="249" t="s">
        <v>105</v>
      </c>
    </row>
    <row r="22" spans="1:5" ht="15.75">
      <c r="A22" s="464"/>
      <c r="B22" s="248" t="s">
        <v>104</v>
      </c>
    </row>
    <row r="23" spans="1:5" ht="15.75">
      <c r="A23" s="464"/>
      <c r="B23" s="248" t="s">
        <v>103</v>
      </c>
    </row>
    <row r="24" spans="1:5" ht="15.75">
      <c r="A24" s="465"/>
      <c r="B24" s="247" t="s">
        <v>102</v>
      </c>
    </row>
    <row r="25" spans="1:5" ht="47.25">
      <c r="A25" s="246" t="s">
        <v>101</v>
      </c>
      <c r="B25" s="245" t="s">
        <v>100</v>
      </c>
    </row>
    <row r="26" spans="1:5" ht="63">
      <c r="A26" s="243" t="s">
        <v>99</v>
      </c>
      <c r="B26" s="242" t="s">
        <v>98</v>
      </c>
    </row>
    <row r="27" spans="1:5" ht="31.5">
      <c r="A27" s="243" t="s">
        <v>41</v>
      </c>
      <c r="B27" s="244" t="s">
        <v>97</v>
      </c>
    </row>
    <row r="28" spans="1:5" ht="63">
      <c r="A28" s="243" t="s">
        <v>96</v>
      </c>
      <c r="B28" s="242" t="s">
        <v>95</v>
      </c>
    </row>
  </sheetData>
  <mergeCells count="4">
    <mergeCell ref="C11:E11"/>
    <mergeCell ref="A11:A16"/>
    <mergeCell ref="A19:A24"/>
    <mergeCell ref="F11:G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04"/>
  <sheetViews>
    <sheetView workbookViewId="0">
      <selection activeCell="A8" sqref="A8"/>
    </sheetView>
  </sheetViews>
  <sheetFormatPr defaultColWidth="9.140625" defaultRowHeight="15"/>
  <cols>
    <col min="1" max="1" width="15.140625" style="95" bestFit="1" customWidth="1"/>
    <col min="2" max="2" width="17.140625" style="95" hidden="1" customWidth="1"/>
    <col min="3" max="3" width="15.7109375" style="95" hidden="1" customWidth="1"/>
    <col min="4" max="25" width="14.85546875" style="95" customWidth="1"/>
    <col min="26" max="26" width="15.140625" style="95" customWidth="1"/>
    <col min="27" max="16384" width="9.140625" style="95"/>
  </cols>
  <sheetData>
    <row r="1" spans="1:26">
      <c r="A1" s="473" t="s">
        <v>48</v>
      </c>
      <c r="B1" s="474"/>
      <c r="C1" s="475"/>
      <c r="D1" s="117">
        <f>'Входящие данные'!E16</f>
        <v>0</v>
      </c>
      <c r="E1" s="118"/>
      <c r="F1" s="119"/>
      <c r="G1" s="120"/>
      <c r="H1" s="121"/>
      <c r="I1" s="121"/>
      <c r="J1" s="121"/>
      <c r="K1" s="121"/>
      <c r="L1" s="121"/>
      <c r="M1" s="121"/>
      <c r="N1" s="122"/>
      <c r="O1" s="123"/>
      <c r="P1" s="124"/>
      <c r="Q1" s="125"/>
      <c r="R1" s="125"/>
      <c r="S1" s="125"/>
      <c r="T1" s="125"/>
      <c r="U1" s="125"/>
      <c r="V1" s="125"/>
      <c r="W1" s="125"/>
      <c r="X1" s="125"/>
      <c r="Y1" s="125"/>
      <c r="Z1" s="125"/>
    </row>
    <row r="2" spans="1:26">
      <c r="A2" s="476" t="s">
        <v>49</v>
      </c>
      <c r="B2" s="477"/>
      <c r="C2" s="478"/>
      <c r="D2" s="99">
        <f>'Входящие данные'!E17</f>
        <v>18</v>
      </c>
      <c r="E2" s="118"/>
      <c r="F2" s="126"/>
      <c r="G2" s="126"/>
      <c r="H2" s="127"/>
      <c r="I2" s="126"/>
      <c r="J2" s="126"/>
      <c r="K2" s="128"/>
      <c r="L2" s="126"/>
      <c r="M2" s="126"/>
      <c r="N2" s="122"/>
      <c r="O2" s="123"/>
      <c r="P2" s="124"/>
      <c r="Q2" s="125"/>
      <c r="R2" s="125"/>
      <c r="S2" s="125"/>
      <c r="T2" s="125"/>
      <c r="U2" s="125"/>
      <c r="V2" s="125"/>
      <c r="W2" s="125"/>
      <c r="X2" s="125"/>
      <c r="Y2" s="125"/>
      <c r="Z2" s="125"/>
    </row>
    <row r="3" spans="1:26" ht="15.75" thickBot="1">
      <c r="A3" s="479" t="s">
        <v>50</v>
      </c>
      <c r="B3" s="480"/>
      <c r="C3" s="481"/>
      <c r="D3" s="129">
        <v>24</v>
      </c>
      <c r="E3" s="118"/>
      <c r="F3" s="130"/>
      <c r="G3" s="130"/>
      <c r="H3" s="126"/>
      <c r="I3" s="130"/>
      <c r="J3" s="130"/>
      <c r="K3" s="130"/>
      <c r="L3" s="130"/>
      <c r="M3" s="130"/>
      <c r="N3" s="122"/>
      <c r="O3" s="123"/>
      <c r="P3" s="124"/>
      <c r="Q3" s="94" t="str">
        <f>Прибыль_окупаемость!S14</f>
        <v>Март</v>
      </c>
      <c r="R3" s="94" t="str">
        <f>Прибыль_окупаемость!T14</f>
        <v>Апрель</v>
      </c>
      <c r="S3" s="94" t="str">
        <f>Прибыль_окупаемость!U14</f>
        <v>Май</v>
      </c>
      <c r="T3" s="94" t="str">
        <f>Прибыль_окупаемость!V14</f>
        <v>Июнь</v>
      </c>
      <c r="U3" s="94" t="str">
        <f>Прибыль_окупаемость!W14</f>
        <v>Июль</v>
      </c>
      <c r="V3" s="94" t="str">
        <f>Прибыль_окупаемость!X14</f>
        <v>Август</v>
      </c>
      <c r="W3" s="94" t="str">
        <f>Прибыль_окупаемость!Y14</f>
        <v>Сентябрь</v>
      </c>
      <c r="X3" s="94" t="str">
        <f>Прибыль_окупаемость!Z14</f>
        <v>Октябрь</v>
      </c>
      <c r="Y3" s="94" t="str">
        <f>Прибыль_окупаемость!AA14</f>
        <v>Ноябрь</v>
      </c>
      <c r="Z3" s="94" t="str">
        <f>Прибыль_окупаемость!AN14</f>
        <v>Декабрь</v>
      </c>
    </row>
    <row r="4" spans="1:26" ht="15.75" hidden="1" thickBot="1">
      <c r="A4" s="479" t="s">
        <v>51</v>
      </c>
      <c r="B4" s="480"/>
      <c r="C4" s="481"/>
      <c r="D4" s="131">
        <v>41192</v>
      </c>
      <c r="E4" s="118"/>
      <c r="F4" s="130"/>
      <c r="G4" s="130"/>
      <c r="H4" s="130"/>
      <c r="I4" s="130"/>
      <c r="J4" s="132"/>
      <c r="K4" s="130"/>
      <c r="L4" s="130"/>
      <c r="M4" s="130"/>
      <c r="N4" s="122"/>
      <c r="O4" s="123"/>
      <c r="P4" s="124"/>
      <c r="Q4" s="94">
        <v>15</v>
      </c>
      <c r="R4" s="94">
        <v>16</v>
      </c>
      <c r="S4" s="94">
        <v>17</v>
      </c>
      <c r="T4" s="94">
        <v>18</v>
      </c>
      <c r="U4" s="94">
        <v>19</v>
      </c>
      <c r="V4" s="94">
        <v>20</v>
      </c>
      <c r="W4" s="94">
        <v>21</v>
      </c>
      <c r="X4" s="94">
        <v>22</v>
      </c>
      <c r="Y4" s="94">
        <v>23</v>
      </c>
      <c r="Z4" s="94">
        <v>24</v>
      </c>
    </row>
    <row r="5" spans="1:26">
      <c r="A5" s="482" t="s">
        <v>52</v>
      </c>
      <c r="B5" s="484" t="s">
        <v>53</v>
      </c>
      <c r="C5" s="486" t="s">
        <v>54</v>
      </c>
      <c r="D5" s="468" t="s">
        <v>55</v>
      </c>
      <c r="E5" s="469"/>
      <c r="F5" s="469"/>
      <c r="G5" s="470"/>
      <c r="H5" s="468" t="s">
        <v>56</v>
      </c>
      <c r="I5" s="469"/>
      <c r="J5" s="469"/>
      <c r="K5" s="469"/>
      <c r="L5" s="471" t="s">
        <v>57</v>
      </c>
      <c r="M5" s="472"/>
      <c r="N5" s="122"/>
      <c r="O5" s="123"/>
      <c r="P5" s="124"/>
      <c r="Q5" s="96">
        <f t="shared" ref="Q5:Z5" si="0">P5</f>
        <v>0</v>
      </c>
      <c r="R5" s="96">
        <f t="shared" si="0"/>
        <v>0</v>
      </c>
      <c r="S5" s="96">
        <f t="shared" si="0"/>
        <v>0</v>
      </c>
      <c r="T5" s="96">
        <f t="shared" si="0"/>
        <v>0</v>
      </c>
      <c r="U5" s="96">
        <f t="shared" si="0"/>
        <v>0</v>
      </c>
      <c r="V5" s="96">
        <f t="shared" si="0"/>
        <v>0</v>
      </c>
      <c r="W5" s="96">
        <f t="shared" si="0"/>
        <v>0</v>
      </c>
      <c r="X5" s="96">
        <f t="shared" si="0"/>
        <v>0</v>
      </c>
      <c r="Y5" s="96">
        <f t="shared" si="0"/>
        <v>0</v>
      </c>
      <c r="Z5" s="96">
        <f t="shared" si="0"/>
        <v>0</v>
      </c>
    </row>
    <row r="6" spans="1:26" ht="30.75" thickBot="1">
      <c r="A6" s="483"/>
      <c r="B6" s="485"/>
      <c r="C6" s="487"/>
      <c r="D6" s="133" t="s">
        <v>58</v>
      </c>
      <c r="E6" s="134" t="s">
        <v>59</v>
      </c>
      <c r="F6" s="134" t="s">
        <v>60</v>
      </c>
      <c r="G6" s="135" t="s">
        <v>61</v>
      </c>
      <c r="H6" s="133" t="s">
        <v>58</v>
      </c>
      <c r="I6" s="134" t="s">
        <v>59</v>
      </c>
      <c r="J6" s="134" t="s">
        <v>60</v>
      </c>
      <c r="K6" s="136" t="s">
        <v>61</v>
      </c>
      <c r="L6" s="133" t="s">
        <v>62</v>
      </c>
      <c r="M6" s="135" t="s">
        <v>63</v>
      </c>
      <c r="N6" s="122"/>
      <c r="O6" s="123"/>
      <c r="P6" s="124"/>
      <c r="Q6" s="97">
        <f t="shared" ref="Q6:Z6" si="1">(1+$B$6)^Q4</f>
        <v>1</v>
      </c>
      <c r="R6" s="97">
        <f t="shared" si="1"/>
        <v>1</v>
      </c>
      <c r="S6" s="97">
        <f t="shared" si="1"/>
        <v>1</v>
      </c>
      <c r="T6" s="97">
        <f t="shared" si="1"/>
        <v>1</v>
      </c>
      <c r="U6" s="97">
        <f t="shared" si="1"/>
        <v>1</v>
      </c>
      <c r="V6" s="97">
        <f t="shared" si="1"/>
        <v>1</v>
      </c>
      <c r="W6" s="97">
        <f t="shared" si="1"/>
        <v>1</v>
      </c>
      <c r="X6" s="97">
        <f t="shared" si="1"/>
        <v>1</v>
      </c>
      <c r="Y6" s="97">
        <f t="shared" si="1"/>
        <v>1</v>
      </c>
      <c r="Z6" s="97">
        <f t="shared" si="1"/>
        <v>1</v>
      </c>
    </row>
    <row r="7" spans="1:26" ht="15.75" thickBot="1">
      <c r="A7" s="137" t="s">
        <v>64</v>
      </c>
      <c r="B7" s="138"/>
      <c r="C7" s="139">
        <f>$D$4</f>
        <v>41192</v>
      </c>
      <c r="D7" s="140">
        <f>E7+F7</f>
        <v>0</v>
      </c>
      <c r="E7" s="141">
        <f>SUM(E8:E65536)+SUM(L8:M65536)</f>
        <v>0</v>
      </c>
      <c r="F7" s="142">
        <f>SUM(F8:F65536)</f>
        <v>0</v>
      </c>
      <c r="G7" s="143">
        <f>$D$1</f>
        <v>0</v>
      </c>
      <c r="H7" s="144">
        <f>I7+J7</f>
        <v>0</v>
      </c>
      <c r="I7" s="141">
        <f>SUM(I8:I65536)+SUM(L8:M65536)</f>
        <v>0</v>
      </c>
      <c r="J7" s="142">
        <f>SUM(J8:J65536)</f>
        <v>0</v>
      </c>
      <c r="K7" s="145">
        <f>$D$1</f>
        <v>0</v>
      </c>
      <c r="L7" s="140"/>
      <c r="M7" s="146"/>
      <c r="N7" s="122">
        <f>ROW(N7)</f>
        <v>7</v>
      </c>
      <c r="O7" s="123"/>
      <c r="P7" s="124"/>
      <c r="Q7" s="96">
        <f t="shared" ref="Q7:Z7" si="2">Q5/Q6</f>
        <v>0</v>
      </c>
      <c r="R7" s="96">
        <f t="shared" si="2"/>
        <v>0</v>
      </c>
      <c r="S7" s="96">
        <f t="shared" si="2"/>
        <v>0</v>
      </c>
      <c r="T7" s="96">
        <f t="shared" si="2"/>
        <v>0</v>
      </c>
      <c r="U7" s="96">
        <f t="shared" si="2"/>
        <v>0</v>
      </c>
      <c r="V7" s="96">
        <f t="shared" si="2"/>
        <v>0</v>
      </c>
      <c r="W7" s="96">
        <f t="shared" si="2"/>
        <v>0</v>
      </c>
      <c r="X7" s="96">
        <f t="shared" si="2"/>
        <v>0</v>
      </c>
      <c r="Y7" s="96">
        <f t="shared" si="2"/>
        <v>0</v>
      </c>
      <c r="Z7" s="96">
        <f t="shared" si="2"/>
        <v>0</v>
      </c>
    </row>
    <row r="8" spans="1:26">
      <c r="A8" s="147">
        <v>1</v>
      </c>
      <c r="B8" s="148" t="str">
        <f>CONCATENATE(INT((A8-1)/12)+1,"-й год ",A8-1-INT((A8-1)/12)*12+1,"-й мес")</f>
        <v>1-й год 1-й мес</v>
      </c>
      <c r="C8" s="149">
        <f>DATE(YEAR(C7),MONTH(C7)+1,DAY(C7))</f>
        <v>41223</v>
      </c>
      <c r="D8" s="150">
        <f t="shared" ref="D8:D71" si="3">IF(P8*$D$2/100/12/(1-(1+$D$2/100/12)^(-O8))&lt;G7,ROUNDUP(P8*$D$2/100/12/(1-(1+$D$2/100/12)^(-O8)),0),G7+F8)</f>
        <v>0</v>
      </c>
      <c r="E8" s="151">
        <f>D8-F8</f>
        <v>0</v>
      </c>
      <c r="F8" s="151">
        <f>$D$1*$D$2*(C8-C7)/(DATE(YEAR(C8)+1,1,1)-DATE(YEAR(C8),1,1))/100</f>
        <v>0</v>
      </c>
      <c r="G8" s="152">
        <f>G7-E8-L8-M8</f>
        <v>0</v>
      </c>
      <c r="H8" s="153">
        <f t="shared" ref="H8:H71" si="4">I8+J8</f>
        <v>0</v>
      </c>
      <c r="I8" s="151">
        <f>IF($D$1/$D$3&lt;K7,$D$1/$D$3,K7)</f>
        <v>0</v>
      </c>
      <c r="J8" s="151">
        <f>K7*$D$2/12/100</f>
        <v>0</v>
      </c>
      <c r="K8" s="154">
        <f>K7-I8-L8-M8</f>
        <v>0</v>
      </c>
      <c r="L8" s="99"/>
      <c r="M8" s="99"/>
      <c r="N8" s="155">
        <f t="shared" ref="N8:N71" si="5">IF(ISBLANK(L7),VALUE(N7),ROW(L7))</f>
        <v>7</v>
      </c>
      <c r="O8" s="123">
        <f>$D$3</f>
        <v>24</v>
      </c>
      <c r="P8" s="124">
        <f t="shared" ref="P8:P71" si="6">INDEX(G:G,N8,1)</f>
        <v>0</v>
      </c>
      <c r="Q8" s="125"/>
      <c r="R8" s="125"/>
      <c r="S8" s="125"/>
      <c r="T8" s="125"/>
      <c r="U8" s="125"/>
      <c r="V8" s="125"/>
      <c r="W8" s="125"/>
      <c r="X8" s="125"/>
      <c r="Y8" s="125"/>
      <c r="Z8" s="125"/>
    </row>
    <row r="9" spans="1:26">
      <c r="A9" s="147">
        <v>2</v>
      </c>
      <c r="B9" s="148" t="str">
        <f t="shared" ref="B9:B72" si="7">CONCATENATE(INT((A9-1)/12)+1,"-й год ",A9-1-INT((A9-1)/12)*12+1,"-й мес")</f>
        <v>1-й год 2-й мес</v>
      </c>
      <c r="C9" s="149">
        <f>DATE(YEAR(C8),MONTH(C8)+1,DAY(C8))</f>
        <v>41253</v>
      </c>
      <c r="D9" s="150">
        <f t="shared" si="3"/>
        <v>0</v>
      </c>
      <c r="E9" s="151">
        <f t="shared" ref="E9:E72" si="8">D9-F9</f>
        <v>0</v>
      </c>
      <c r="F9" s="151">
        <f>G8*$D$2*(C9-C8)/(DATE(YEAR(C9)+1,1,1)-DATE(YEAR(C9),1,1))/100</f>
        <v>0</v>
      </c>
      <c r="G9" s="152">
        <f t="shared" ref="G9:G72" si="9">G8-E9-L9-M9</f>
        <v>0</v>
      </c>
      <c r="H9" s="153">
        <f t="shared" si="4"/>
        <v>0</v>
      </c>
      <c r="I9" s="151">
        <f>IF($D$1/$D$3&lt;K8,$D$1/$D$3,K8)</f>
        <v>0</v>
      </c>
      <c r="J9" s="151">
        <f t="shared" ref="J9:J72" si="10">K8*$D$2/12/100</f>
        <v>0</v>
      </c>
      <c r="K9" s="154">
        <f t="shared" ref="K9:K72" si="11">K8-I9-L9-M9</f>
        <v>0</v>
      </c>
      <c r="L9" s="99"/>
      <c r="M9" s="99"/>
      <c r="N9" s="155">
        <f t="shared" si="5"/>
        <v>7</v>
      </c>
      <c r="O9" s="123">
        <f t="shared" ref="O9:O72" si="12">O8+N8-N9</f>
        <v>24</v>
      </c>
      <c r="P9" s="124">
        <f t="shared" si="6"/>
        <v>0</v>
      </c>
      <c r="Q9" s="125"/>
      <c r="R9" s="125"/>
      <c r="S9" s="125"/>
      <c r="T9" s="125"/>
      <c r="U9" s="125"/>
      <c r="V9" s="125"/>
      <c r="W9" s="125"/>
      <c r="X9" s="125"/>
      <c r="Y9" s="125"/>
      <c r="Z9" s="125"/>
    </row>
    <row r="10" spans="1:26">
      <c r="A10" s="147">
        <v>3</v>
      </c>
      <c r="B10" s="148" t="str">
        <f t="shared" si="7"/>
        <v>1-й год 3-й мес</v>
      </c>
      <c r="C10" s="149">
        <f t="shared" ref="C10:C73" si="13">DATE(YEAR(C9),MONTH(C9)+1,DAY(C9))</f>
        <v>41284</v>
      </c>
      <c r="D10" s="150">
        <f t="shared" si="3"/>
        <v>0</v>
      </c>
      <c r="E10" s="151">
        <f t="shared" si="8"/>
        <v>0</v>
      </c>
      <c r="F10" s="151">
        <f t="shared" ref="F10:F73" si="14">G9*$D$2*(C10-C9)/(DATE(YEAR(C10)+1,1,1)-DATE(YEAR(C10),1,1))/100</f>
        <v>0</v>
      </c>
      <c r="G10" s="152">
        <f t="shared" si="9"/>
        <v>0</v>
      </c>
      <c r="H10" s="153">
        <f t="shared" si="4"/>
        <v>0</v>
      </c>
      <c r="I10" s="151">
        <f t="shared" ref="I10:I73" si="15">IF($D$1/$D$3&lt;K9,$D$1/$D$3,K9)</f>
        <v>0</v>
      </c>
      <c r="J10" s="151">
        <f t="shared" si="10"/>
        <v>0</v>
      </c>
      <c r="K10" s="154">
        <f t="shared" si="11"/>
        <v>0</v>
      </c>
      <c r="L10" s="99"/>
      <c r="M10" s="99"/>
      <c r="N10" s="155">
        <f t="shared" si="5"/>
        <v>7</v>
      </c>
      <c r="O10" s="123">
        <f t="shared" si="12"/>
        <v>24</v>
      </c>
      <c r="P10" s="124">
        <f t="shared" si="6"/>
        <v>0</v>
      </c>
      <c r="Q10" s="125"/>
      <c r="R10" s="125"/>
      <c r="S10" s="125"/>
      <c r="T10" s="125"/>
      <c r="U10" s="125"/>
      <c r="V10" s="125"/>
      <c r="W10" s="125"/>
      <c r="X10" s="125"/>
      <c r="Y10" s="125"/>
      <c r="Z10" s="125"/>
    </row>
    <row r="11" spans="1:26">
      <c r="A11" s="147">
        <v>4</v>
      </c>
      <c r="B11" s="148" t="str">
        <f t="shared" si="7"/>
        <v>1-й год 4-й мес</v>
      </c>
      <c r="C11" s="149">
        <f t="shared" si="13"/>
        <v>41315</v>
      </c>
      <c r="D11" s="150">
        <f t="shared" si="3"/>
        <v>0</v>
      </c>
      <c r="E11" s="151">
        <f t="shared" si="8"/>
        <v>0</v>
      </c>
      <c r="F11" s="151">
        <f t="shared" si="14"/>
        <v>0</v>
      </c>
      <c r="G11" s="152">
        <f t="shared" si="9"/>
        <v>0</v>
      </c>
      <c r="H11" s="153">
        <f t="shared" si="4"/>
        <v>0</v>
      </c>
      <c r="I11" s="151">
        <f t="shared" si="15"/>
        <v>0</v>
      </c>
      <c r="J11" s="151">
        <f t="shared" si="10"/>
        <v>0</v>
      </c>
      <c r="K11" s="154">
        <f t="shared" si="11"/>
        <v>0</v>
      </c>
      <c r="L11" s="99"/>
      <c r="M11" s="99"/>
      <c r="N11" s="155">
        <f t="shared" si="5"/>
        <v>7</v>
      </c>
      <c r="O11" s="123">
        <f t="shared" si="12"/>
        <v>24</v>
      </c>
      <c r="P11" s="124">
        <f t="shared" si="6"/>
        <v>0</v>
      </c>
      <c r="Q11" s="125"/>
      <c r="R11" s="125"/>
      <c r="S11" s="125"/>
      <c r="T11" s="125"/>
      <c r="U11" s="125"/>
      <c r="V11" s="125"/>
      <c r="W11" s="125"/>
      <c r="X11" s="125"/>
      <c r="Y11" s="125"/>
      <c r="Z11" s="125"/>
    </row>
    <row r="12" spans="1:26">
      <c r="A12" s="147">
        <v>5</v>
      </c>
      <c r="B12" s="148" t="str">
        <f t="shared" si="7"/>
        <v>1-й год 5-й мес</v>
      </c>
      <c r="C12" s="149">
        <f t="shared" si="13"/>
        <v>41343</v>
      </c>
      <c r="D12" s="150">
        <f t="shared" si="3"/>
        <v>0</v>
      </c>
      <c r="E12" s="151">
        <f t="shared" si="8"/>
        <v>0</v>
      </c>
      <c r="F12" s="151">
        <f t="shared" si="14"/>
        <v>0</v>
      </c>
      <c r="G12" s="152">
        <f>G11-E12-L12-M12</f>
        <v>0</v>
      </c>
      <c r="H12" s="153">
        <f t="shared" si="4"/>
        <v>0</v>
      </c>
      <c r="I12" s="151">
        <f t="shared" si="15"/>
        <v>0</v>
      </c>
      <c r="J12" s="151">
        <f t="shared" si="10"/>
        <v>0</v>
      </c>
      <c r="K12" s="154">
        <f>K11-I12-L12-M12</f>
        <v>0</v>
      </c>
      <c r="L12" s="99"/>
      <c r="M12" s="99"/>
      <c r="N12" s="155">
        <f t="shared" si="5"/>
        <v>7</v>
      </c>
      <c r="O12" s="123">
        <f t="shared" si="12"/>
        <v>24</v>
      </c>
      <c r="P12" s="124">
        <f t="shared" si="6"/>
        <v>0</v>
      </c>
      <c r="Q12" s="125"/>
      <c r="R12" s="125"/>
      <c r="S12" s="125"/>
      <c r="T12" s="125"/>
      <c r="U12" s="125"/>
      <c r="V12" s="125"/>
      <c r="W12" s="125"/>
      <c r="X12" s="125"/>
      <c r="Y12" s="125"/>
      <c r="Z12" s="125"/>
    </row>
    <row r="13" spans="1:26">
      <c r="A13" s="147">
        <v>6</v>
      </c>
      <c r="B13" s="148" t="str">
        <f t="shared" si="7"/>
        <v>1-й год 6-й мес</v>
      </c>
      <c r="C13" s="149">
        <f t="shared" si="13"/>
        <v>41374</v>
      </c>
      <c r="D13" s="150">
        <f t="shared" si="3"/>
        <v>0</v>
      </c>
      <c r="E13" s="151">
        <f t="shared" si="8"/>
        <v>0</v>
      </c>
      <c r="F13" s="151">
        <f t="shared" si="14"/>
        <v>0</v>
      </c>
      <c r="G13" s="152">
        <f>G12-E13-L13-M13</f>
        <v>0</v>
      </c>
      <c r="H13" s="153">
        <f t="shared" si="4"/>
        <v>0</v>
      </c>
      <c r="I13" s="151">
        <f t="shared" si="15"/>
        <v>0</v>
      </c>
      <c r="J13" s="151">
        <f t="shared" si="10"/>
        <v>0</v>
      </c>
      <c r="K13" s="154">
        <f>K12-I13-L13-M13</f>
        <v>0</v>
      </c>
      <c r="L13" s="99"/>
      <c r="M13" s="99"/>
      <c r="N13" s="155">
        <f t="shared" si="5"/>
        <v>7</v>
      </c>
      <c r="O13" s="123">
        <f t="shared" si="12"/>
        <v>24</v>
      </c>
      <c r="P13" s="124">
        <f t="shared" si="6"/>
        <v>0</v>
      </c>
      <c r="Q13" s="125"/>
      <c r="R13" s="125"/>
      <c r="S13" s="125"/>
      <c r="T13" s="125"/>
      <c r="U13" s="125"/>
      <c r="V13" s="125"/>
      <c r="W13" s="125"/>
      <c r="X13" s="125"/>
      <c r="Y13" s="125"/>
      <c r="Z13" s="125"/>
    </row>
    <row r="14" spans="1:26">
      <c r="A14" s="147">
        <v>7</v>
      </c>
      <c r="B14" s="148" t="str">
        <f t="shared" si="7"/>
        <v>1-й год 7-й мес</v>
      </c>
      <c r="C14" s="149">
        <f t="shared" si="13"/>
        <v>41404</v>
      </c>
      <c r="D14" s="150">
        <f t="shared" si="3"/>
        <v>0</v>
      </c>
      <c r="E14" s="151">
        <f t="shared" si="8"/>
        <v>0</v>
      </c>
      <c r="F14" s="151">
        <f t="shared" si="14"/>
        <v>0</v>
      </c>
      <c r="G14" s="152">
        <f t="shared" si="9"/>
        <v>0</v>
      </c>
      <c r="H14" s="153">
        <f t="shared" si="4"/>
        <v>0</v>
      </c>
      <c r="I14" s="151">
        <f t="shared" si="15"/>
        <v>0</v>
      </c>
      <c r="J14" s="151">
        <f t="shared" si="10"/>
        <v>0</v>
      </c>
      <c r="K14" s="154">
        <f t="shared" si="11"/>
        <v>0</v>
      </c>
      <c r="L14" s="99"/>
      <c r="M14" s="99"/>
      <c r="N14" s="155">
        <f t="shared" si="5"/>
        <v>7</v>
      </c>
      <c r="O14" s="123">
        <f t="shared" si="12"/>
        <v>24</v>
      </c>
      <c r="P14" s="124">
        <f t="shared" si="6"/>
        <v>0</v>
      </c>
      <c r="Q14" s="125"/>
      <c r="R14" s="125"/>
      <c r="S14" s="125"/>
      <c r="T14" s="125"/>
      <c r="U14" s="125"/>
      <c r="V14" s="125"/>
      <c r="W14" s="125"/>
      <c r="X14" s="125"/>
      <c r="Y14" s="125"/>
      <c r="Z14" s="125"/>
    </row>
    <row r="15" spans="1:26">
      <c r="A15" s="147">
        <v>8</v>
      </c>
      <c r="B15" s="148" t="str">
        <f t="shared" si="7"/>
        <v>1-й год 8-й мес</v>
      </c>
      <c r="C15" s="149">
        <f t="shared" si="13"/>
        <v>41435</v>
      </c>
      <c r="D15" s="150">
        <f t="shared" si="3"/>
        <v>0</v>
      </c>
      <c r="E15" s="151">
        <f t="shared" si="8"/>
        <v>0</v>
      </c>
      <c r="F15" s="151">
        <f t="shared" si="14"/>
        <v>0</v>
      </c>
      <c r="G15" s="152">
        <f t="shared" si="9"/>
        <v>0</v>
      </c>
      <c r="H15" s="153">
        <f t="shared" si="4"/>
        <v>0</v>
      </c>
      <c r="I15" s="151">
        <f t="shared" si="15"/>
        <v>0</v>
      </c>
      <c r="J15" s="151">
        <f t="shared" si="10"/>
        <v>0</v>
      </c>
      <c r="K15" s="154">
        <f t="shared" si="11"/>
        <v>0</v>
      </c>
      <c r="L15" s="99"/>
      <c r="M15" s="99"/>
      <c r="N15" s="155">
        <f t="shared" si="5"/>
        <v>7</v>
      </c>
      <c r="O15" s="123">
        <f t="shared" si="12"/>
        <v>24</v>
      </c>
      <c r="P15" s="124">
        <f t="shared" si="6"/>
        <v>0</v>
      </c>
      <c r="Q15" s="125"/>
      <c r="R15" s="125"/>
      <c r="S15" s="125"/>
      <c r="T15" s="125"/>
      <c r="U15" s="125"/>
      <c r="V15" s="125"/>
      <c r="W15" s="125"/>
      <c r="X15" s="125"/>
      <c r="Y15" s="125"/>
      <c r="Z15" s="125"/>
    </row>
    <row r="16" spans="1:26">
      <c r="A16" s="147">
        <v>9</v>
      </c>
      <c r="B16" s="148" t="str">
        <f t="shared" si="7"/>
        <v>1-й год 9-й мес</v>
      </c>
      <c r="C16" s="149">
        <f t="shared" si="13"/>
        <v>41465</v>
      </c>
      <c r="D16" s="150">
        <f t="shared" si="3"/>
        <v>0</v>
      </c>
      <c r="E16" s="151">
        <f t="shared" si="8"/>
        <v>0</v>
      </c>
      <c r="F16" s="151">
        <f t="shared" si="14"/>
        <v>0</v>
      </c>
      <c r="G16" s="152">
        <f t="shared" si="9"/>
        <v>0</v>
      </c>
      <c r="H16" s="153">
        <f t="shared" si="4"/>
        <v>0</v>
      </c>
      <c r="I16" s="151">
        <f t="shared" si="15"/>
        <v>0</v>
      </c>
      <c r="J16" s="151">
        <f t="shared" si="10"/>
        <v>0</v>
      </c>
      <c r="K16" s="154">
        <f t="shared" si="11"/>
        <v>0</v>
      </c>
      <c r="L16" s="99"/>
      <c r="M16" s="99"/>
      <c r="N16" s="155">
        <f t="shared" si="5"/>
        <v>7</v>
      </c>
      <c r="O16" s="123">
        <f t="shared" si="12"/>
        <v>24</v>
      </c>
      <c r="P16" s="124">
        <f t="shared" si="6"/>
        <v>0</v>
      </c>
      <c r="Q16" s="125"/>
      <c r="R16" s="125"/>
      <c r="S16" s="125"/>
      <c r="T16" s="125"/>
      <c r="U16" s="125"/>
      <c r="V16" s="125"/>
      <c r="W16" s="125"/>
      <c r="X16" s="125"/>
      <c r="Y16" s="125"/>
      <c r="Z16" s="125"/>
    </row>
    <row r="17" spans="1:26">
      <c r="A17" s="147">
        <v>10</v>
      </c>
      <c r="B17" s="148" t="str">
        <f t="shared" si="7"/>
        <v>1-й год 10-й мес</v>
      </c>
      <c r="C17" s="149">
        <f t="shared" si="13"/>
        <v>41496</v>
      </c>
      <c r="D17" s="150">
        <f t="shared" si="3"/>
        <v>0</v>
      </c>
      <c r="E17" s="151">
        <f t="shared" si="8"/>
        <v>0</v>
      </c>
      <c r="F17" s="151">
        <f t="shared" si="14"/>
        <v>0</v>
      </c>
      <c r="G17" s="152">
        <f t="shared" si="9"/>
        <v>0</v>
      </c>
      <c r="H17" s="153">
        <f t="shared" si="4"/>
        <v>0</v>
      </c>
      <c r="I17" s="151">
        <f t="shared" si="15"/>
        <v>0</v>
      </c>
      <c r="J17" s="151">
        <f t="shared" si="10"/>
        <v>0</v>
      </c>
      <c r="K17" s="154">
        <f t="shared" si="11"/>
        <v>0</v>
      </c>
      <c r="L17" s="99"/>
      <c r="M17" s="99"/>
      <c r="N17" s="155">
        <f t="shared" si="5"/>
        <v>7</v>
      </c>
      <c r="O17" s="123">
        <f t="shared" si="12"/>
        <v>24</v>
      </c>
      <c r="P17" s="124">
        <f t="shared" si="6"/>
        <v>0</v>
      </c>
      <c r="Q17" s="125"/>
      <c r="R17" s="125"/>
      <c r="S17" s="125"/>
      <c r="T17" s="125"/>
      <c r="U17" s="125"/>
      <c r="V17" s="125"/>
      <c r="W17" s="125"/>
      <c r="X17" s="125"/>
      <c r="Y17" s="125"/>
      <c r="Z17" s="125"/>
    </row>
    <row r="18" spans="1:26">
      <c r="A18" s="147">
        <v>11</v>
      </c>
      <c r="B18" s="148" t="str">
        <f t="shared" si="7"/>
        <v>1-й год 11-й мес</v>
      </c>
      <c r="C18" s="149">
        <f t="shared" si="13"/>
        <v>41527</v>
      </c>
      <c r="D18" s="150">
        <f t="shared" si="3"/>
        <v>0</v>
      </c>
      <c r="E18" s="151">
        <f t="shared" si="8"/>
        <v>0</v>
      </c>
      <c r="F18" s="151">
        <f t="shared" si="14"/>
        <v>0</v>
      </c>
      <c r="G18" s="152">
        <f>G17-E18-L18-M18</f>
        <v>0</v>
      </c>
      <c r="H18" s="153">
        <f t="shared" si="4"/>
        <v>0</v>
      </c>
      <c r="I18" s="151">
        <f t="shared" si="15"/>
        <v>0</v>
      </c>
      <c r="J18" s="151">
        <f t="shared" si="10"/>
        <v>0</v>
      </c>
      <c r="K18" s="154">
        <f>K17-I18-L18-M18</f>
        <v>0</v>
      </c>
      <c r="L18" s="99"/>
      <c r="M18" s="99"/>
      <c r="N18" s="155">
        <f t="shared" si="5"/>
        <v>7</v>
      </c>
      <c r="O18" s="123">
        <f t="shared" si="12"/>
        <v>24</v>
      </c>
      <c r="P18" s="124">
        <f t="shared" si="6"/>
        <v>0</v>
      </c>
      <c r="Q18" s="125"/>
      <c r="R18" s="125"/>
      <c r="S18" s="125"/>
      <c r="T18" s="125"/>
      <c r="U18" s="125"/>
      <c r="V18" s="125"/>
      <c r="W18" s="125"/>
      <c r="X18" s="125"/>
      <c r="Y18" s="125"/>
      <c r="Z18" s="125"/>
    </row>
    <row r="19" spans="1:26">
      <c r="A19" s="147">
        <v>12</v>
      </c>
      <c r="B19" s="148" t="str">
        <f t="shared" si="7"/>
        <v>1-й год 12-й мес</v>
      </c>
      <c r="C19" s="149">
        <f t="shared" si="13"/>
        <v>41557</v>
      </c>
      <c r="D19" s="150">
        <f t="shared" si="3"/>
        <v>0</v>
      </c>
      <c r="E19" s="151">
        <f t="shared" si="8"/>
        <v>0</v>
      </c>
      <c r="F19" s="151">
        <f t="shared" si="14"/>
        <v>0</v>
      </c>
      <c r="G19" s="152">
        <f t="shared" si="9"/>
        <v>0</v>
      </c>
      <c r="H19" s="153">
        <f t="shared" si="4"/>
        <v>0</v>
      </c>
      <c r="I19" s="151">
        <f t="shared" si="15"/>
        <v>0</v>
      </c>
      <c r="J19" s="151">
        <f t="shared" si="10"/>
        <v>0</v>
      </c>
      <c r="K19" s="154">
        <f t="shared" si="11"/>
        <v>0</v>
      </c>
      <c r="L19" s="99"/>
      <c r="M19" s="99"/>
      <c r="N19" s="155">
        <f>IF(ISBLANK(L18),VALUE(N18),ROW(L18))</f>
        <v>7</v>
      </c>
      <c r="O19" s="123">
        <f t="shared" si="12"/>
        <v>24</v>
      </c>
      <c r="P19" s="124">
        <f t="shared" si="6"/>
        <v>0</v>
      </c>
      <c r="Q19" s="125"/>
      <c r="R19" s="125"/>
      <c r="S19" s="125"/>
      <c r="T19" s="125"/>
      <c r="U19" s="125"/>
      <c r="V19" s="125"/>
      <c r="W19" s="125"/>
      <c r="X19" s="125"/>
      <c r="Y19" s="125"/>
      <c r="Z19" s="125"/>
    </row>
    <row r="20" spans="1:26">
      <c r="A20" s="156">
        <v>13</v>
      </c>
      <c r="B20" s="148" t="str">
        <f t="shared" si="7"/>
        <v>2-й год 1-й мес</v>
      </c>
      <c r="C20" s="149">
        <f t="shared" si="13"/>
        <v>41588</v>
      </c>
      <c r="D20" s="150">
        <f t="shared" si="3"/>
        <v>0</v>
      </c>
      <c r="E20" s="157">
        <f t="shared" si="8"/>
        <v>0</v>
      </c>
      <c r="F20" s="151">
        <f t="shared" si="14"/>
        <v>0</v>
      </c>
      <c r="G20" s="158">
        <f t="shared" si="9"/>
        <v>0</v>
      </c>
      <c r="H20" s="159">
        <f t="shared" si="4"/>
        <v>0</v>
      </c>
      <c r="I20" s="157">
        <f t="shared" si="15"/>
        <v>0</v>
      </c>
      <c r="J20" s="157">
        <f t="shared" si="10"/>
        <v>0</v>
      </c>
      <c r="K20" s="160">
        <f t="shared" si="11"/>
        <v>0</v>
      </c>
      <c r="L20" s="99"/>
      <c r="M20" s="99"/>
      <c r="N20" s="155">
        <f t="shared" si="5"/>
        <v>7</v>
      </c>
      <c r="O20" s="123">
        <f t="shared" si="12"/>
        <v>24</v>
      </c>
      <c r="P20" s="124">
        <f t="shared" si="6"/>
        <v>0</v>
      </c>
      <c r="Q20" s="125"/>
      <c r="R20" s="125"/>
      <c r="S20" s="125"/>
      <c r="T20" s="125"/>
      <c r="U20" s="125"/>
      <c r="V20" s="125"/>
      <c r="W20" s="125"/>
      <c r="X20" s="125"/>
      <c r="Y20" s="125"/>
      <c r="Z20" s="125"/>
    </row>
    <row r="21" spans="1:26">
      <c r="A21" s="161">
        <v>14</v>
      </c>
      <c r="B21" s="148" t="str">
        <f t="shared" si="7"/>
        <v>2-й год 2-й мес</v>
      </c>
      <c r="C21" s="149">
        <f t="shared" si="13"/>
        <v>41618</v>
      </c>
      <c r="D21" s="150">
        <f t="shared" si="3"/>
        <v>0</v>
      </c>
      <c r="E21" s="151">
        <f t="shared" si="8"/>
        <v>0</v>
      </c>
      <c r="F21" s="151">
        <f t="shared" si="14"/>
        <v>0</v>
      </c>
      <c r="G21" s="152">
        <f t="shared" si="9"/>
        <v>0</v>
      </c>
      <c r="H21" s="153">
        <f t="shared" si="4"/>
        <v>0</v>
      </c>
      <c r="I21" s="151">
        <f t="shared" si="15"/>
        <v>0</v>
      </c>
      <c r="J21" s="151">
        <f t="shared" si="10"/>
        <v>0</v>
      </c>
      <c r="K21" s="154">
        <f t="shared" si="11"/>
        <v>0</v>
      </c>
      <c r="L21" s="99"/>
      <c r="M21" s="99"/>
      <c r="N21" s="155">
        <f t="shared" si="5"/>
        <v>7</v>
      </c>
      <c r="O21" s="123">
        <f t="shared" si="12"/>
        <v>24</v>
      </c>
      <c r="P21" s="124">
        <f t="shared" si="6"/>
        <v>0</v>
      </c>
      <c r="Q21" s="125"/>
      <c r="R21" s="125"/>
      <c r="S21" s="125"/>
      <c r="T21" s="125"/>
      <c r="U21" s="125"/>
      <c r="V21" s="125"/>
      <c r="W21" s="125"/>
      <c r="X21" s="125"/>
      <c r="Y21" s="125"/>
      <c r="Z21" s="125"/>
    </row>
    <row r="22" spans="1:26">
      <c r="A22" s="161">
        <v>15</v>
      </c>
      <c r="B22" s="148" t="str">
        <f t="shared" si="7"/>
        <v>2-й год 3-й мес</v>
      </c>
      <c r="C22" s="149">
        <f t="shared" si="13"/>
        <v>41649</v>
      </c>
      <c r="D22" s="150">
        <f t="shared" si="3"/>
        <v>0</v>
      </c>
      <c r="E22" s="151">
        <f t="shared" si="8"/>
        <v>0</v>
      </c>
      <c r="F22" s="151">
        <f t="shared" si="14"/>
        <v>0</v>
      </c>
      <c r="G22" s="152">
        <f t="shared" si="9"/>
        <v>0</v>
      </c>
      <c r="H22" s="153">
        <f t="shared" si="4"/>
        <v>0</v>
      </c>
      <c r="I22" s="151">
        <f t="shared" si="15"/>
        <v>0</v>
      </c>
      <c r="J22" s="151">
        <f t="shared" si="10"/>
        <v>0</v>
      </c>
      <c r="K22" s="154">
        <f t="shared" si="11"/>
        <v>0</v>
      </c>
      <c r="L22" s="99"/>
      <c r="M22" s="99"/>
      <c r="N22" s="155">
        <f t="shared" si="5"/>
        <v>7</v>
      </c>
      <c r="O22" s="123">
        <f t="shared" si="12"/>
        <v>24</v>
      </c>
      <c r="P22" s="124">
        <f t="shared" si="6"/>
        <v>0</v>
      </c>
      <c r="Q22" s="125"/>
      <c r="R22" s="125"/>
      <c r="S22" s="125"/>
      <c r="T22" s="125"/>
      <c r="U22" s="125"/>
      <c r="V22" s="125"/>
      <c r="W22" s="125"/>
      <c r="X22" s="125"/>
      <c r="Y22" s="125"/>
      <c r="Z22" s="125"/>
    </row>
    <row r="23" spans="1:26">
      <c r="A23" s="161">
        <v>16</v>
      </c>
      <c r="B23" s="148" t="str">
        <f t="shared" si="7"/>
        <v>2-й год 4-й мес</v>
      </c>
      <c r="C23" s="149">
        <f t="shared" si="13"/>
        <v>41680</v>
      </c>
      <c r="D23" s="150">
        <f t="shared" si="3"/>
        <v>0</v>
      </c>
      <c r="E23" s="151">
        <f t="shared" si="8"/>
        <v>0</v>
      </c>
      <c r="F23" s="151">
        <f t="shared" si="14"/>
        <v>0</v>
      </c>
      <c r="G23" s="152">
        <f t="shared" si="9"/>
        <v>0</v>
      </c>
      <c r="H23" s="153">
        <f t="shared" si="4"/>
        <v>0</v>
      </c>
      <c r="I23" s="151">
        <f t="shared" si="15"/>
        <v>0</v>
      </c>
      <c r="J23" s="151">
        <f t="shared" si="10"/>
        <v>0</v>
      </c>
      <c r="K23" s="154">
        <f t="shared" si="11"/>
        <v>0</v>
      </c>
      <c r="L23" s="99"/>
      <c r="M23" s="99"/>
      <c r="N23" s="155">
        <f t="shared" si="5"/>
        <v>7</v>
      </c>
      <c r="O23" s="123">
        <f t="shared" si="12"/>
        <v>24</v>
      </c>
      <c r="P23" s="124">
        <f t="shared" si="6"/>
        <v>0</v>
      </c>
      <c r="Q23" s="125"/>
      <c r="R23" s="125"/>
      <c r="S23" s="125"/>
      <c r="T23" s="125"/>
      <c r="U23" s="125"/>
      <c r="V23" s="125"/>
      <c r="W23" s="125"/>
      <c r="X23" s="125"/>
      <c r="Y23" s="125"/>
      <c r="Z23" s="125"/>
    </row>
    <row r="24" spans="1:26">
      <c r="A24" s="161">
        <v>17</v>
      </c>
      <c r="B24" s="148" t="str">
        <f t="shared" si="7"/>
        <v>2-й год 5-й мес</v>
      </c>
      <c r="C24" s="149">
        <f t="shared" si="13"/>
        <v>41708</v>
      </c>
      <c r="D24" s="150">
        <f t="shared" si="3"/>
        <v>0</v>
      </c>
      <c r="E24" s="151">
        <f t="shared" si="8"/>
        <v>0</v>
      </c>
      <c r="F24" s="151">
        <f t="shared" si="14"/>
        <v>0</v>
      </c>
      <c r="G24" s="152">
        <f t="shared" si="9"/>
        <v>0</v>
      </c>
      <c r="H24" s="153">
        <f t="shared" si="4"/>
        <v>0</v>
      </c>
      <c r="I24" s="151">
        <f t="shared" si="15"/>
        <v>0</v>
      </c>
      <c r="J24" s="151">
        <f t="shared" si="10"/>
        <v>0</v>
      </c>
      <c r="K24" s="154">
        <f t="shared" si="11"/>
        <v>0</v>
      </c>
      <c r="L24" s="99"/>
      <c r="M24" s="99"/>
      <c r="N24" s="155">
        <f t="shared" si="5"/>
        <v>7</v>
      </c>
      <c r="O24" s="123">
        <f t="shared" si="12"/>
        <v>24</v>
      </c>
      <c r="P24" s="124">
        <f t="shared" si="6"/>
        <v>0</v>
      </c>
      <c r="Q24" s="125"/>
      <c r="R24" s="125"/>
      <c r="S24" s="125"/>
      <c r="T24" s="125"/>
      <c r="U24" s="125"/>
      <c r="V24" s="125"/>
      <c r="W24" s="125"/>
      <c r="X24" s="125"/>
      <c r="Y24" s="125"/>
      <c r="Z24" s="125"/>
    </row>
    <row r="25" spans="1:26">
      <c r="A25" s="161">
        <v>18</v>
      </c>
      <c r="B25" s="148" t="str">
        <f t="shared" si="7"/>
        <v>2-й год 6-й мес</v>
      </c>
      <c r="C25" s="149">
        <f t="shared" si="13"/>
        <v>41739</v>
      </c>
      <c r="D25" s="150">
        <f t="shared" si="3"/>
        <v>0</v>
      </c>
      <c r="E25" s="151">
        <f t="shared" si="8"/>
        <v>0</v>
      </c>
      <c r="F25" s="151">
        <f t="shared" si="14"/>
        <v>0</v>
      </c>
      <c r="G25" s="152">
        <f t="shared" si="9"/>
        <v>0</v>
      </c>
      <c r="H25" s="153">
        <f t="shared" si="4"/>
        <v>0</v>
      </c>
      <c r="I25" s="151">
        <f t="shared" si="15"/>
        <v>0</v>
      </c>
      <c r="J25" s="151">
        <f t="shared" si="10"/>
        <v>0</v>
      </c>
      <c r="K25" s="154">
        <f t="shared" si="11"/>
        <v>0</v>
      </c>
      <c r="L25" s="99"/>
      <c r="M25" s="99"/>
      <c r="N25" s="155">
        <f t="shared" si="5"/>
        <v>7</v>
      </c>
      <c r="O25" s="123">
        <f t="shared" si="12"/>
        <v>24</v>
      </c>
      <c r="P25" s="124">
        <f t="shared" si="6"/>
        <v>0</v>
      </c>
      <c r="Q25" s="125"/>
      <c r="R25" s="125"/>
      <c r="S25" s="125"/>
      <c r="T25" s="125"/>
      <c r="U25" s="125"/>
      <c r="V25" s="125"/>
      <c r="W25" s="125"/>
      <c r="X25" s="125"/>
      <c r="Y25" s="125"/>
      <c r="Z25" s="125"/>
    </row>
    <row r="26" spans="1:26">
      <c r="A26" s="161">
        <v>19</v>
      </c>
      <c r="B26" s="148" t="str">
        <f t="shared" si="7"/>
        <v>2-й год 7-й мес</v>
      </c>
      <c r="C26" s="149">
        <f t="shared" si="13"/>
        <v>41769</v>
      </c>
      <c r="D26" s="150">
        <f t="shared" si="3"/>
        <v>0</v>
      </c>
      <c r="E26" s="151">
        <f t="shared" si="8"/>
        <v>0</v>
      </c>
      <c r="F26" s="151">
        <f t="shared" si="14"/>
        <v>0</v>
      </c>
      <c r="G26" s="152">
        <f t="shared" si="9"/>
        <v>0</v>
      </c>
      <c r="H26" s="153">
        <f t="shared" si="4"/>
        <v>0</v>
      </c>
      <c r="I26" s="151">
        <f t="shared" si="15"/>
        <v>0</v>
      </c>
      <c r="J26" s="151">
        <f t="shared" si="10"/>
        <v>0</v>
      </c>
      <c r="K26" s="154">
        <f t="shared" si="11"/>
        <v>0</v>
      </c>
      <c r="L26" s="99"/>
      <c r="M26" s="99"/>
      <c r="N26" s="155">
        <f t="shared" si="5"/>
        <v>7</v>
      </c>
      <c r="O26" s="123">
        <f t="shared" si="12"/>
        <v>24</v>
      </c>
      <c r="P26" s="124">
        <f t="shared" si="6"/>
        <v>0</v>
      </c>
      <c r="Q26" s="125"/>
      <c r="R26" s="125"/>
      <c r="S26" s="125"/>
      <c r="T26" s="125"/>
      <c r="U26" s="125"/>
      <c r="V26" s="125"/>
      <c r="W26" s="125"/>
      <c r="X26" s="125"/>
      <c r="Y26" s="125"/>
      <c r="Z26" s="125"/>
    </row>
    <row r="27" spans="1:26">
      <c r="A27" s="161">
        <v>20</v>
      </c>
      <c r="B27" s="148" t="str">
        <f t="shared" si="7"/>
        <v>2-й год 8-й мес</v>
      </c>
      <c r="C27" s="149">
        <f t="shared" si="13"/>
        <v>41800</v>
      </c>
      <c r="D27" s="150">
        <f t="shared" si="3"/>
        <v>0</v>
      </c>
      <c r="E27" s="151">
        <f t="shared" si="8"/>
        <v>0</v>
      </c>
      <c r="F27" s="151">
        <f t="shared" si="14"/>
        <v>0</v>
      </c>
      <c r="G27" s="152">
        <f t="shared" si="9"/>
        <v>0</v>
      </c>
      <c r="H27" s="153">
        <f t="shared" si="4"/>
        <v>0</v>
      </c>
      <c r="I27" s="151">
        <f t="shared" si="15"/>
        <v>0</v>
      </c>
      <c r="J27" s="151">
        <f t="shared" si="10"/>
        <v>0</v>
      </c>
      <c r="K27" s="154">
        <f t="shared" si="11"/>
        <v>0</v>
      </c>
      <c r="L27" s="99"/>
      <c r="M27" s="99"/>
      <c r="N27" s="155">
        <f t="shared" si="5"/>
        <v>7</v>
      </c>
      <c r="O27" s="123">
        <f t="shared" si="12"/>
        <v>24</v>
      </c>
      <c r="P27" s="124">
        <f t="shared" si="6"/>
        <v>0</v>
      </c>
      <c r="Q27" s="125"/>
      <c r="R27" s="125"/>
      <c r="S27" s="125"/>
      <c r="T27" s="125"/>
      <c r="U27" s="125"/>
      <c r="V27" s="125"/>
      <c r="W27" s="125"/>
      <c r="X27" s="125"/>
      <c r="Y27" s="125"/>
      <c r="Z27" s="125"/>
    </row>
    <row r="28" spans="1:26">
      <c r="A28" s="161">
        <v>21</v>
      </c>
      <c r="B28" s="148" t="str">
        <f t="shared" si="7"/>
        <v>2-й год 9-й мес</v>
      </c>
      <c r="C28" s="149">
        <f t="shared" si="13"/>
        <v>41830</v>
      </c>
      <c r="D28" s="150">
        <f t="shared" si="3"/>
        <v>0</v>
      </c>
      <c r="E28" s="151">
        <f t="shared" si="8"/>
        <v>0</v>
      </c>
      <c r="F28" s="151">
        <f t="shared" si="14"/>
        <v>0</v>
      </c>
      <c r="G28" s="152">
        <f t="shared" si="9"/>
        <v>0</v>
      </c>
      <c r="H28" s="153">
        <f t="shared" si="4"/>
        <v>0</v>
      </c>
      <c r="I28" s="151">
        <f t="shared" si="15"/>
        <v>0</v>
      </c>
      <c r="J28" s="151">
        <f t="shared" si="10"/>
        <v>0</v>
      </c>
      <c r="K28" s="154">
        <f t="shared" si="11"/>
        <v>0</v>
      </c>
      <c r="L28" s="99"/>
      <c r="M28" s="99"/>
      <c r="N28" s="155">
        <f t="shared" si="5"/>
        <v>7</v>
      </c>
      <c r="O28" s="123">
        <f t="shared" si="12"/>
        <v>24</v>
      </c>
      <c r="P28" s="124">
        <f t="shared" si="6"/>
        <v>0</v>
      </c>
      <c r="Q28" s="125"/>
      <c r="R28" s="125"/>
      <c r="S28" s="125"/>
      <c r="T28" s="125"/>
      <c r="U28" s="125"/>
      <c r="V28" s="125"/>
      <c r="W28" s="125"/>
      <c r="X28" s="125"/>
      <c r="Y28" s="125"/>
      <c r="Z28" s="125"/>
    </row>
    <row r="29" spans="1:26">
      <c r="A29" s="161">
        <v>22</v>
      </c>
      <c r="B29" s="148" t="str">
        <f t="shared" si="7"/>
        <v>2-й год 10-й мес</v>
      </c>
      <c r="C29" s="149">
        <f t="shared" si="13"/>
        <v>41861</v>
      </c>
      <c r="D29" s="150">
        <f t="shared" si="3"/>
        <v>0</v>
      </c>
      <c r="E29" s="151">
        <f t="shared" si="8"/>
        <v>0</v>
      </c>
      <c r="F29" s="151">
        <f t="shared" si="14"/>
        <v>0</v>
      </c>
      <c r="G29" s="152">
        <f t="shared" si="9"/>
        <v>0</v>
      </c>
      <c r="H29" s="153">
        <f t="shared" si="4"/>
        <v>0</v>
      </c>
      <c r="I29" s="151">
        <f t="shared" si="15"/>
        <v>0</v>
      </c>
      <c r="J29" s="151">
        <f t="shared" si="10"/>
        <v>0</v>
      </c>
      <c r="K29" s="154">
        <f t="shared" si="11"/>
        <v>0</v>
      </c>
      <c r="L29" s="99"/>
      <c r="M29" s="99"/>
      <c r="N29" s="155">
        <f t="shared" si="5"/>
        <v>7</v>
      </c>
      <c r="O29" s="123">
        <f t="shared" si="12"/>
        <v>24</v>
      </c>
      <c r="P29" s="124">
        <f t="shared" si="6"/>
        <v>0</v>
      </c>
      <c r="Q29" s="125"/>
      <c r="R29" s="125"/>
      <c r="S29" s="125"/>
      <c r="T29" s="125"/>
      <c r="U29" s="125"/>
      <c r="V29" s="125"/>
      <c r="W29" s="125"/>
      <c r="X29" s="125"/>
      <c r="Y29" s="125"/>
      <c r="Z29" s="125"/>
    </row>
    <row r="30" spans="1:26">
      <c r="A30" s="161">
        <v>23</v>
      </c>
      <c r="B30" s="148" t="str">
        <f t="shared" si="7"/>
        <v>2-й год 11-й мес</v>
      </c>
      <c r="C30" s="149">
        <f t="shared" si="13"/>
        <v>41892</v>
      </c>
      <c r="D30" s="150">
        <f t="shared" si="3"/>
        <v>0</v>
      </c>
      <c r="E30" s="151">
        <f t="shared" si="8"/>
        <v>0</v>
      </c>
      <c r="F30" s="151">
        <f t="shared" si="14"/>
        <v>0</v>
      </c>
      <c r="G30" s="152">
        <f t="shared" si="9"/>
        <v>0</v>
      </c>
      <c r="H30" s="153">
        <f t="shared" si="4"/>
        <v>0</v>
      </c>
      <c r="I30" s="151">
        <f t="shared" si="15"/>
        <v>0</v>
      </c>
      <c r="J30" s="151">
        <f t="shared" si="10"/>
        <v>0</v>
      </c>
      <c r="K30" s="154">
        <f t="shared" si="11"/>
        <v>0</v>
      </c>
      <c r="L30" s="99"/>
      <c r="M30" s="99"/>
      <c r="N30" s="155">
        <f t="shared" si="5"/>
        <v>7</v>
      </c>
      <c r="O30" s="123">
        <f t="shared" si="12"/>
        <v>24</v>
      </c>
      <c r="P30" s="124">
        <f t="shared" si="6"/>
        <v>0</v>
      </c>
      <c r="Q30" s="125"/>
      <c r="R30" s="125"/>
      <c r="S30" s="125"/>
      <c r="T30" s="125"/>
      <c r="U30" s="125"/>
      <c r="V30" s="125"/>
      <c r="W30" s="125"/>
      <c r="X30" s="125"/>
      <c r="Y30" s="125"/>
      <c r="Z30" s="125"/>
    </row>
    <row r="31" spans="1:26">
      <c r="A31" s="162">
        <v>24</v>
      </c>
      <c r="B31" s="148" t="str">
        <f t="shared" si="7"/>
        <v>2-й год 12-й мес</v>
      </c>
      <c r="C31" s="149">
        <f t="shared" si="13"/>
        <v>41922</v>
      </c>
      <c r="D31" s="150">
        <f t="shared" si="3"/>
        <v>0</v>
      </c>
      <c r="E31" s="163">
        <f t="shared" si="8"/>
        <v>0</v>
      </c>
      <c r="F31" s="151">
        <f t="shared" si="14"/>
        <v>0</v>
      </c>
      <c r="G31" s="164">
        <f t="shared" si="9"/>
        <v>0</v>
      </c>
      <c r="H31" s="165">
        <f t="shared" si="4"/>
        <v>0</v>
      </c>
      <c r="I31" s="163">
        <f t="shared" si="15"/>
        <v>0</v>
      </c>
      <c r="J31" s="163">
        <f t="shared" si="10"/>
        <v>0</v>
      </c>
      <c r="K31" s="166">
        <f t="shared" si="11"/>
        <v>0</v>
      </c>
      <c r="L31" s="99"/>
      <c r="M31" s="99"/>
      <c r="N31" s="155">
        <f t="shared" si="5"/>
        <v>7</v>
      </c>
      <c r="O31" s="123">
        <f t="shared" si="12"/>
        <v>24</v>
      </c>
      <c r="P31" s="124">
        <f t="shared" si="6"/>
        <v>0</v>
      </c>
      <c r="Q31" s="125"/>
      <c r="R31" s="125"/>
      <c r="S31" s="125"/>
      <c r="T31" s="125"/>
      <c r="U31" s="125"/>
      <c r="V31" s="125"/>
      <c r="W31" s="125"/>
      <c r="X31" s="125"/>
      <c r="Y31" s="125"/>
      <c r="Z31" s="125"/>
    </row>
    <row r="32" spans="1:26">
      <c r="A32" s="147">
        <v>25</v>
      </c>
      <c r="B32" s="148" t="str">
        <f t="shared" si="7"/>
        <v>3-й год 1-й мес</v>
      </c>
      <c r="C32" s="149">
        <f t="shared" si="13"/>
        <v>41953</v>
      </c>
      <c r="D32" s="150">
        <f t="shared" si="3"/>
        <v>0</v>
      </c>
      <c r="E32" s="151">
        <f t="shared" si="8"/>
        <v>0</v>
      </c>
      <c r="F32" s="151">
        <f t="shared" si="14"/>
        <v>0</v>
      </c>
      <c r="G32" s="152">
        <f t="shared" si="9"/>
        <v>0</v>
      </c>
      <c r="H32" s="153">
        <f t="shared" si="4"/>
        <v>0</v>
      </c>
      <c r="I32" s="151">
        <f t="shared" si="15"/>
        <v>0</v>
      </c>
      <c r="J32" s="151">
        <f t="shared" si="10"/>
        <v>0</v>
      </c>
      <c r="K32" s="154">
        <f t="shared" si="11"/>
        <v>0</v>
      </c>
      <c r="L32" s="99"/>
      <c r="M32" s="99"/>
      <c r="N32" s="155">
        <f t="shared" si="5"/>
        <v>7</v>
      </c>
      <c r="O32" s="123">
        <f t="shared" si="12"/>
        <v>24</v>
      </c>
      <c r="P32" s="124">
        <f t="shared" si="6"/>
        <v>0</v>
      </c>
      <c r="Q32" s="125"/>
      <c r="R32" s="125"/>
      <c r="S32" s="125"/>
      <c r="T32" s="125"/>
      <c r="U32" s="125"/>
      <c r="V32" s="125"/>
      <c r="W32" s="125"/>
      <c r="X32" s="125"/>
      <c r="Y32" s="125"/>
      <c r="Z32" s="125"/>
    </row>
    <row r="33" spans="1:26">
      <c r="A33" s="147">
        <v>26</v>
      </c>
      <c r="B33" s="148" t="str">
        <f t="shared" si="7"/>
        <v>3-й год 2-й мес</v>
      </c>
      <c r="C33" s="149">
        <f t="shared" si="13"/>
        <v>41983</v>
      </c>
      <c r="D33" s="150">
        <f t="shared" si="3"/>
        <v>0</v>
      </c>
      <c r="E33" s="151">
        <f t="shared" si="8"/>
        <v>0</v>
      </c>
      <c r="F33" s="151">
        <f t="shared" si="14"/>
        <v>0</v>
      </c>
      <c r="G33" s="152">
        <f t="shared" si="9"/>
        <v>0</v>
      </c>
      <c r="H33" s="153">
        <f t="shared" si="4"/>
        <v>0</v>
      </c>
      <c r="I33" s="151">
        <f t="shared" si="15"/>
        <v>0</v>
      </c>
      <c r="J33" s="151">
        <f t="shared" si="10"/>
        <v>0</v>
      </c>
      <c r="K33" s="154">
        <f t="shared" si="11"/>
        <v>0</v>
      </c>
      <c r="L33" s="167"/>
      <c r="M33" s="168"/>
      <c r="N33" s="155">
        <f t="shared" si="5"/>
        <v>7</v>
      </c>
      <c r="O33" s="123">
        <f t="shared" si="12"/>
        <v>24</v>
      </c>
      <c r="P33" s="124">
        <f t="shared" si="6"/>
        <v>0</v>
      </c>
      <c r="Q33" s="125"/>
      <c r="R33" s="125"/>
      <c r="S33" s="125"/>
      <c r="T33" s="125"/>
      <c r="U33" s="125"/>
      <c r="V33" s="125"/>
      <c r="W33" s="125"/>
      <c r="X33" s="125"/>
      <c r="Y33" s="125"/>
      <c r="Z33" s="125"/>
    </row>
    <row r="34" spans="1:26">
      <c r="A34" s="147">
        <v>27</v>
      </c>
      <c r="B34" s="148" t="str">
        <f t="shared" si="7"/>
        <v>3-й год 3-й мес</v>
      </c>
      <c r="C34" s="149">
        <f t="shared" si="13"/>
        <v>42014</v>
      </c>
      <c r="D34" s="150">
        <f t="shared" si="3"/>
        <v>0</v>
      </c>
      <c r="E34" s="151">
        <f t="shared" si="8"/>
        <v>0</v>
      </c>
      <c r="F34" s="151">
        <f t="shared" si="14"/>
        <v>0</v>
      </c>
      <c r="G34" s="152">
        <f t="shared" si="9"/>
        <v>0</v>
      </c>
      <c r="H34" s="153">
        <f t="shared" si="4"/>
        <v>0</v>
      </c>
      <c r="I34" s="151">
        <f t="shared" si="15"/>
        <v>0</v>
      </c>
      <c r="J34" s="151">
        <f t="shared" si="10"/>
        <v>0</v>
      </c>
      <c r="K34" s="154">
        <f t="shared" si="11"/>
        <v>0</v>
      </c>
      <c r="L34" s="167"/>
      <c r="M34" s="168"/>
      <c r="N34" s="155">
        <f t="shared" si="5"/>
        <v>7</v>
      </c>
      <c r="O34" s="123">
        <f t="shared" si="12"/>
        <v>24</v>
      </c>
      <c r="P34" s="124">
        <f t="shared" si="6"/>
        <v>0</v>
      </c>
      <c r="Q34" s="125"/>
      <c r="R34" s="125"/>
      <c r="S34" s="125"/>
      <c r="T34" s="125"/>
      <c r="U34" s="125"/>
      <c r="V34" s="125"/>
      <c r="W34" s="125"/>
      <c r="X34" s="125"/>
      <c r="Y34" s="125"/>
      <c r="Z34" s="125"/>
    </row>
    <row r="35" spans="1:26">
      <c r="A35" s="147">
        <v>28</v>
      </c>
      <c r="B35" s="148" t="str">
        <f t="shared" si="7"/>
        <v>3-й год 4-й мес</v>
      </c>
      <c r="C35" s="149">
        <f t="shared" si="13"/>
        <v>42045</v>
      </c>
      <c r="D35" s="150">
        <f t="shared" si="3"/>
        <v>0</v>
      </c>
      <c r="E35" s="151">
        <f t="shared" si="8"/>
        <v>0</v>
      </c>
      <c r="F35" s="151">
        <f t="shared" si="14"/>
        <v>0</v>
      </c>
      <c r="G35" s="152">
        <f t="shared" si="9"/>
        <v>0</v>
      </c>
      <c r="H35" s="153">
        <f t="shared" si="4"/>
        <v>0</v>
      </c>
      <c r="I35" s="151">
        <f t="shared" si="15"/>
        <v>0</v>
      </c>
      <c r="J35" s="151">
        <f t="shared" si="10"/>
        <v>0</v>
      </c>
      <c r="K35" s="154">
        <f t="shared" si="11"/>
        <v>0</v>
      </c>
      <c r="L35" s="167"/>
      <c r="M35" s="168"/>
      <c r="N35" s="155">
        <f t="shared" si="5"/>
        <v>7</v>
      </c>
      <c r="O35" s="123">
        <f t="shared" si="12"/>
        <v>24</v>
      </c>
      <c r="P35" s="124">
        <f t="shared" si="6"/>
        <v>0</v>
      </c>
      <c r="Q35" s="125"/>
      <c r="R35" s="125"/>
      <c r="S35" s="125"/>
      <c r="T35" s="125"/>
      <c r="U35" s="125"/>
      <c r="V35" s="125"/>
      <c r="W35" s="125"/>
      <c r="X35" s="125"/>
      <c r="Y35" s="125"/>
      <c r="Z35" s="125"/>
    </row>
    <row r="36" spans="1:26">
      <c r="A36" s="147">
        <v>29</v>
      </c>
      <c r="B36" s="148" t="str">
        <f t="shared" si="7"/>
        <v>3-й год 5-й мес</v>
      </c>
      <c r="C36" s="149">
        <f t="shared" si="13"/>
        <v>42073</v>
      </c>
      <c r="D36" s="150">
        <f t="shared" si="3"/>
        <v>0</v>
      </c>
      <c r="E36" s="151">
        <f t="shared" si="8"/>
        <v>0</v>
      </c>
      <c r="F36" s="151">
        <f t="shared" si="14"/>
        <v>0</v>
      </c>
      <c r="G36" s="152">
        <f t="shared" si="9"/>
        <v>0</v>
      </c>
      <c r="H36" s="153">
        <f t="shared" si="4"/>
        <v>0</v>
      </c>
      <c r="I36" s="151">
        <f t="shared" si="15"/>
        <v>0</v>
      </c>
      <c r="J36" s="151">
        <f t="shared" si="10"/>
        <v>0</v>
      </c>
      <c r="K36" s="154">
        <f t="shared" si="11"/>
        <v>0</v>
      </c>
      <c r="L36" s="167"/>
      <c r="M36" s="168"/>
      <c r="N36" s="155">
        <f t="shared" si="5"/>
        <v>7</v>
      </c>
      <c r="O36" s="123">
        <f t="shared" si="12"/>
        <v>24</v>
      </c>
      <c r="P36" s="124">
        <f t="shared" si="6"/>
        <v>0</v>
      </c>
      <c r="Q36" s="125"/>
      <c r="R36" s="125"/>
      <c r="S36" s="125"/>
      <c r="T36" s="125"/>
      <c r="U36" s="125"/>
      <c r="V36" s="125"/>
      <c r="W36" s="125"/>
      <c r="X36" s="125"/>
      <c r="Y36" s="125"/>
      <c r="Z36" s="125"/>
    </row>
    <row r="37" spans="1:26">
      <c r="A37" s="147">
        <v>30</v>
      </c>
      <c r="B37" s="148" t="str">
        <f t="shared" si="7"/>
        <v>3-й год 6-й мес</v>
      </c>
      <c r="C37" s="149">
        <f t="shared" si="13"/>
        <v>42104</v>
      </c>
      <c r="D37" s="150">
        <f t="shared" si="3"/>
        <v>0</v>
      </c>
      <c r="E37" s="151">
        <f t="shared" si="8"/>
        <v>0</v>
      </c>
      <c r="F37" s="151">
        <f t="shared" si="14"/>
        <v>0</v>
      </c>
      <c r="G37" s="152">
        <f t="shared" si="9"/>
        <v>0</v>
      </c>
      <c r="H37" s="153">
        <f t="shared" si="4"/>
        <v>0</v>
      </c>
      <c r="I37" s="151">
        <f t="shared" si="15"/>
        <v>0</v>
      </c>
      <c r="J37" s="151">
        <f t="shared" si="10"/>
        <v>0</v>
      </c>
      <c r="K37" s="154">
        <f t="shared" si="11"/>
        <v>0</v>
      </c>
      <c r="L37" s="167"/>
      <c r="M37" s="168"/>
      <c r="N37" s="155">
        <f t="shared" si="5"/>
        <v>7</v>
      </c>
      <c r="O37" s="123">
        <f t="shared" si="12"/>
        <v>24</v>
      </c>
      <c r="P37" s="124">
        <f t="shared" si="6"/>
        <v>0</v>
      </c>
      <c r="Q37" s="125"/>
      <c r="R37" s="125"/>
      <c r="S37" s="125"/>
      <c r="T37" s="125"/>
      <c r="U37" s="125"/>
      <c r="V37" s="125"/>
      <c r="W37" s="125"/>
      <c r="X37" s="125"/>
      <c r="Y37" s="125"/>
      <c r="Z37" s="125"/>
    </row>
    <row r="38" spans="1:26">
      <c r="A38" s="147">
        <v>31</v>
      </c>
      <c r="B38" s="148" t="str">
        <f t="shared" si="7"/>
        <v>3-й год 7-й мес</v>
      </c>
      <c r="C38" s="149">
        <f t="shared" si="13"/>
        <v>42134</v>
      </c>
      <c r="D38" s="150">
        <f t="shared" si="3"/>
        <v>0</v>
      </c>
      <c r="E38" s="151">
        <f t="shared" si="8"/>
        <v>0</v>
      </c>
      <c r="F38" s="151">
        <f t="shared" si="14"/>
        <v>0</v>
      </c>
      <c r="G38" s="152">
        <f t="shared" si="9"/>
        <v>0</v>
      </c>
      <c r="H38" s="153">
        <f t="shared" si="4"/>
        <v>0</v>
      </c>
      <c r="I38" s="151">
        <f t="shared" si="15"/>
        <v>0</v>
      </c>
      <c r="J38" s="151">
        <f t="shared" si="10"/>
        <v>0</v>
      </c>
      <c r="K38" s="154">
        <f t="shared" si="11"/>
        <v>0</v>
      </c>
      <c r="L38" s="167"/>
      <c r="M38" s="168"/>
      <c r="N38" s="155">
        <f t="shared" si="5"/>
        <v>7</v>
      </c>
      <c r="O38" s="123">
        <f t="shared" si="12"/>
        <v>24</v>
      </c>
      <c r="P38" s="124">
        <f t="shared" si="6"/>
        <v>0</v>
      </c>
      <c r="Q38" s="125"/>
      <c r="R38" s="125"/>
      <c r="S38" s="125"/>
      <c r="T38" s="125"/>
      <c r="U38" s="125"/>
      <c r="V38" s="125"/>
      <c r="W38" s="125"/>
      <c r="X38" s="125"/>
      <c r="Y38" s="125"/>
      <c r="Z38" s="125"/>
    </row>
    <row r="39" spans="1:26">
      <c r="A39" s="147">
        <v>32</v>
      </c>
      <c r="B39" s="148" t="str">
        <f t="shared" si="7"/>
        <v>3-й год 8-й мес</v>
      </c>
      <c r="C39" s="149">
        <f t="shared" si="13"/>
        <v>42165</v>
      </c>
      <c r="D39" s="150">
        <f t="shared" si="3"/>
        <v>0</v>
      </c>
      <c r="E39" s="151">
        <f t="shared" si="8"/>
        <v>0</v>
      </c>
      <c r="F39" s="151">
        <f t="shared" si="14"/>
        <v>0</v>
      </c>
      <c r="G39" s="152">
        <f t="shared" si="9"/>
        <v>0</v>
      </c>
      <c r="H39" s="153">
        <f t="shared" si="4"/>
        <v>0</v>
      </c>
      <c r="I39" s="151">
        <f t="shared" si="15"/>
        <v>0</v>
      </c>
      <c r="J39" s="151">
        <f t="shared" si="10"/>
        <v>0</v>
      </c>
      <c r="K39" s="154">
        <f t="shared" si="11"/>
        <v>0</v>
      </c>
      <c r="L39" s="167"/>
      <c r="M39" s="168"/>
      <c r="N39" s="155">
        <f t="shared" si="5"/>
        <v>7</v>
      </c>
      <c r="O39" s="123">
        <f t="shared" si="12"/>
        <v>24</v>
      </c>
      <c r="P39" s="124">
        <f t="shared" si="6"/>
        <v>0</v>
      </c>
      <c r="Q39" s="125"/>
      <c r="R39" s="125"/>
      <c r="S39" s="125"/>
      <c r="T39" s="125"/>
      <c r="U39" s="125"/>
      <c r="V39" s="125"/>
      <c r="W39" s="125"/>
      <c r="X39" s="125"/>
      <c r="Y39" s="125"/>
      <c r="Z39" s="125"/>
    </row>
    <row r="40" spans="1:26">
      <c r="A40" s="147">
        <v>33</v>
      </c>
      <c r="B40" s="148" t="str">
        <f t="shared" si="7"/>
        <v>3-й год 9-й мес</v>
      </c>
      <c r="C40" s="149">
        <f t="shared" si="13"/>
        <v>42195</v>
      </c>
      <c r="D40" s="150">
        <f t="shared" si="3"/>
        <v>0</v>
      </c>
      <c r="E40" s="151">
        <f t="shared" si="8"/>
        <v>0</v>
      </c>
      <c r="F40" s="151">
        <f t="shared" si="14"/>
        <v>0</v>
      </c>
      <c r="G40" s="152">
        <f t="shared" si="9"/>
        <v>0</v>
      </c>
      <c r="H40" s="153">
        <f t="shared" si="4"/>
        <v>0</v>
      </c>
      <c r="I40" s="151">
        <f t="shared" si="15"/>
        <v>0</v>
      </c>
      <c r="J40" s="151">
        <f t="shared" si="10"/>
        <v>0</v>
      </c>
      <c r="K40" s="154">
        <f t="shared" si="11"/>
        <v>0</v>
      </c>
      <c r="L40" s="167"/>
      <c r="M40" s="168"/>
      <c r="N40" s="155">
        <f t="shared" si="5"/>
        <v>7</v>
      </c>
      <c r="O40" s="123">
        <f t="shared" si="12"/>
        <v>24</v>
      </c>
      <c r="P40" s="124">
        <f t="shared" si="6"/>
        <v>0</v>
      </c>
      <c r="Q40" s="125"/>
      <c r="R40" s="125"/>
      <c r="S40" s="125"/>
      <c r="T40" s="125"/>
      <c r="U40" s="125"/>
      <c r="V40" s="125"/>
      <c r="W40" s="125"/>
      <c r="X40" s="125"/>
      <c r="Y40" s="125"/>
      <c r="Z40" s="125"/>
    </row>
    <row r="41" spans="1:26">
      <c r="A41" s="147">
        <v>34</v>
      </c>
      <c r="B41" s="148" t="str">
        <f t="shared" si="7"/>
        <v>3-й год 10-й мес</v>
      </c>
      <c r="C41" s="149">
        <f t="shared" si="13"/>
        <v>42226</v>
      </c>
      <c r="D41" s="150">
        <f t="shared" si="3"/>
        <v>0</v>
      </c>
      <c r="E41" s="151">
        <f t="shared" si="8"/>
        <v>0</v>
      </c>
      <c r="F41" s="151">
        <f t="shared" si="14"/>
        <v>0</v>
      </c>
      <c r="G41" s="152">
        <f t="shared" si="9"/>
        <v>0</v>
      </c>
      <c r="H41" s="153">
        <f t="shared" si="4"/>
        <v>0</v>
      </c>
      <c r="I41" s="151">
        <f t="shared" si="15"/>
        <v>0</v>
      </c>
      <c r="J41" s="151">
        <f t="shared" si="10"/>
        <v>0</v>
      </c>
      <c r="K41" s="154">
        <f t="shared" si="11"/>
        <v>0</v>
      </c>
      <c r="L41" s="167"/>
      <c r="M41" s="168"/>
      <c r="N41" s="155">
        <f t="shared" si="5"/>
        <v>7</v>
      </c>
      <c r="O41" s="123">
        <f t="shared" si="12"/>
        <v>24</v>
      </c>
      <c r="P41" s="124">
        <f t="shared" si="6"/>
        <v>0</v>
      </c>
      <c r="Q41" s="125"/>
      <c r="R41" s="125"/>
      <c r="S41" s="125"/>
      <c r="T41" s="125"/>
      <c r="U41" s="125"/>
      <c r="V41" s="125"/>
      <c r="W41" s="125"/>
      <c r="X41" s="125"/>
      <c r="Y41" s="125"/>
      <c r="Z41" s="125"/>
    </row>
    <row r="42" spans="1:26">
      <c r="A42" s="147">
        <v>35</v>
      </c>
      <c r="B42" s="148" t="str">
        <f t="shared" si="7"/>
        <v>3-й год 11-й мес</v>
      </c>
      <c r="C42" s="149">
        <f t="shared" si="13"/>
        <v>42257</v>
      </c>
      <c r="D42" s="150">
        <f t="shared" si="3"/>
        <v>0</v>
      </c>
      <c r="E42" s="151">
        <f t="shared" si="8"/>
        <v>0</v>
      </c>
      <c r="F42" s="151">
        <f t="shared" si="14"/>
        <v>0</v>
      </c>
      <c r="G42" s="152">
        <f t="shared" si="9"/>
        <v>0</v>
      </c>
      <c r="H42" s="153">
        <f t="shared" si="4"/>
        <v>0</v>
      </c>
      <c r="I42" s="151">
        <f t="shared" si="15"/>
        <v>0</v>
      </c>
      <c r="J42" s="151">
        <f t="shared" si="10"/>
        <v>0</v>
      </c>
      <c r="K42" s="154">
        <f t="shared" si="11"/>
        <v>0</v>
      </c>
      <c r="L42" s="167"/>
      <c r="M42" s="168"/>
      <c r="N42" s="155">
        <f t="shared" si="5"/>
        <v>7</v>
      </c>
      <c r="O42" s="123">
        <f t="shared" si="12"/>
        <v>24</v>
      </c>
      <c r="P42" s="124">
        <f t="shared" si="6"/>
        <v>0</v>
      </c>
      <c r="Q42" s="125"/>
      <c r="R42" s="125"/>
      <c r="S42" s="125"/>
      <c r="T42" s="125"/>
      <c r="U42" s="125"/>
      <c r="V42" s="125"/>
      <c r="W42" s="125"/>
      <c r="X42" s="125"/>
      <c r="Y42" s="125"/>
      <c r="Z42" s="125"/>
    </row>
    <row r="43" spans="1:26">
      <c r="A43" s="147">
        <v>36</v>
      </c>
      <c r="B43" s="148" t="str">
        <f t="shared" si="7"/>
        <v>3-й год 12-й мес</v>
      </c>
      <c r="C43" s="149">
        <f t="shared" si="13"/>
        <v>42287</v>
      </c>
      <c r="D43" s="150">
        <f t="shared" si="3"/>
        <v>0</v>
      </c>
      <c r="E43" s="151">
        <f t="shared" si="8"/>
        <v>0</v>
      </c>
      <c r="F43" s="151">
        <f t="shared" si="14"/>
        <v>0</v>
      </c>
      <c r="G43" s="152">
        <f t="shared" si="9"/>
        <v>0</v>
      </c>
      <c r="H43" s="153">
        <f t="shared" si="4"/>
        <v>0</v>
      </c>
      <c r="I43" s="151">
        <f t="shared" si="15"/>
        <v>0</v>
      </c>
      <c r="J43" s="151">
        <f t="shared" si="10"/>
        <v>0</v>
      </c>
      <c r="K43" s="154">
        <f t="shared" si="11"/>
        <v>0</v>
      </c>
      <c r="L43" s="167"/>
      <c r="M43" s="168"/>
      <c r="N43" s="155">
        <f t="shared" si="5"/>
        <v>7</v>
      </c>
      <c r="O43" s="123">
        <f t="shared" si="12"/>
        <v>24</v>
      </c>
      <c r="P43" s="124">
        <f t="shared" si="6"/>
        <v>0</v>
      </c>
      <c r="Q43" s="125"/>
      <c r="R43" s="125"/>
      <c r="S43" s="125"/>
      <c r="T43" s="125"/>
      <c r="U43" s="125"/>
      <c r="V43" s="125"/>
      <c r="W43" s="125"/>
      <c r="X43" s="125"/>
      <c r="Y43" s="125"/>
      <c r="Z43" s="125"/>
    </row>
    <row r="44" spans="1:26">
      <c r="A44" s="156">
        <v>37</v>
      </c>
      <c r="B44" s="148" t="str">
        <f t="shared" si="7"/>
        <v>4-й год 1-й мес</v>
      </c>
      <c r="C44" s="149">
        <f t="shared" si="13"/>
        <v>42318</v>
      </c>
      <c r="D44" s="150">
        <f t="shared" si="3"/>
        <v>0</v>
      </c>
      <c r="E44" s="157">
        <f t="shared" si="8"/>
        <v>0</v>
      </c>
      <c r="F44" s="151">
        <f t="shared" si="14"/>
        <v>0</v>
      </c>
      <c r="G44" s="158">
        <f t="shared" si="9"/>
        <v>0</v>
      </c>
      <c r="H44" s="159">
        <f t="shared" si="4"/>
        <v>0</v>
      </c>
      <c r="I44" s="157">
        <f t="shared" si="15"/>
        <v>0</v>
      </c>
      <c r="J44" s="157">
        <f t="shared" si="10"/>
        <v>0</v>
      </c>
      <c r="K44" s="160">
        <f t="shared" si="11"/>
        <v>0</v>
      </c>
      <c r="L44" s="169"/>
      <c r="M44" s="168"/>
      <c r="N44" s="155">
        <f t="shared" si="5"/>
        <v>7</v>
      </c>
      <c r="O44" s="123">
        <f t="shared" si="12"/>
        <v>24</v>
      </c>
      <c r="P44" s="124">
        <f t="shared" si="6"/>
        <v>0</v>
      </c>
      <c r="Q44" s="125"/>
      <c r="R44" s="125"/>
      <c r="S44" s="125"/>
      <c r="T44" s="125"/>
      <c r="U44" s="125"/>
      <c r="V44" s="125"/>
      <c r="W44" s="125"/>
      <c r="X44" s="125"/>
      <c r="Y44" s="125"/>
      <c r="Z44" s="125"/>
    </row>
    <row r="45" spans="1:26">
      <c r="A45" s="161">
        <v>38</v>
      </c>
      <c r="B45" s="148" t="str">
        <f t="shared" si="7"/>
        <v>4-й год 2-й мес</v>
      </c>
      <c r="C45" s="149">
        <f t="shared" si="13"/>
        <v>42348</v>
      </c>
      <c r="D45" s="150">
        <f t="shared" si="3"/>
        <v>0</v>
      </c>
      <c r="E45" s="151">
        <f t="shared" si="8"/>
        <v>0</v>
      </c>
      <c r="F45" s="151">
        <f t="shared" si="14"/>
        <v>0</v>
      </c>
      <c r="G45" s="152">
        <f t="shared" si="9"/>
        <v>0</v>
      </c>
      <c r="H45" s="153">
        <f t="shared" si="4"/>
        <v>0</v>
      </c>
      <c r="I45" s="151">
        <f t="shared" si="15"/>
        <v>0</v>
      </c>
      <c r="J45" s="151">
        <f t="shared" si="10"/>
        <v>0</v>
      </c>
      <c r="K45" s="154">
        <f t="shared" si="11"/>
        <v>0</v>
      </c>
      <c r="L45" s="167"/>
      <c r="M45" s="168"/>
      <c r="N45" s="155">
        <f t="shared" si="5"/>
        <v>7</v>
      </c>
      <c r="O45" s="123">
        <f t="shared" si="12"/>
        <v>24</v>
      </c>
      <c r="P45" s="124">
        <f t="shared" si="6"/>
        <v>0</v>
      </c>
      <c r="Q45" s="125"/>
      <c r="R45" s="125"/>
      <c r="S45" s="125"/>
      <c r="T45" s="125"/>
      <c r="U45" s="125"/>
      <c r="V45" s="125"/>
      <c r="W45" s="125"/>
      <c r="X45" s="125"/>
      <c r="Y45" s="125"/>
      <c r="Z45" s="125"/>
    </row>
    <row r="46" spans="1:26">
      <c r="A46" s="161">
        <v>39</v>
      </c>
      <c r="B46" s="148" t="str">
        <f t="shared" si="7"/>
        <v>4-й год 3-й мес</v>
      </c>
      <c r="C46" s="149">
        <f t="shared" si="13"/>
        <v>42379</v>
      </c>
      <c r="D46" s="150">
        <f t="shared" si="3"/>
        <v>0</v>
      </c>
      <c r="E46" s="151">
        <f t="shared" si="8"/>
        <v>0</v>
      </c>
      <c r="F46" s="151">
        <f t="shared" si="14"/>
        <v>0</v>
      </c>
      <c r="G46" s="152">
        <f t="shared" si="9"/>
        <v>0</v>
      </c>
      <c r="H46" s="153">
        <f t="shared" si="4"/>
        <v>0</v>
      </c>
      <c r="I46" s="151">
        <f t="shared" si="15"/>
        <v>0</v>
      </c>
      <c r="J46" s="151">
        <f t="shared" si="10"/>
        <v>0</v>
      </c>
      <c r="K46" s="154">
        <f t="shared" si="11"/>
        <v>0</v>
      </c>
      <c r="L46" s="167"/>
      <c r="M46" s="168"/>
      <c r="N46" s="155">
        <f t="shared" si="5"/>
        <v>7</v>
      </c>
      <c r="O46" s="123">
        <f t="shared" si="12"/>
        <v>24</v>
      </c>
      <c r="P46" s="124">
        <f t="shared" si="6"/>
        <v>0</v>
      </c>
      <c r="Q46" s="125"/>
      <c r="R46" s="125"/>
      <c r="S46" s="125"/>
      <c r="T46" s="125"/>
      <c r="U46" s="125"/>
      <c r="V46" s="125"/>
      <c r="W46" s="125"/>
      <c r="X46" s="125"/>
      <c r="Y46" s="125"/>
      <c r="Z46" s="125"/>
    </row>
    <row r="47" spans="1:26">
      <c r="A47" s="161">
        <v>40</v>
      </c>
      <c r="B47" s="148" t="str">
        <f t="shared" si="7"/>
        <v>4-й год 4-й мес</v>
      </c>
      <c r="C47" s="149">
        <f t="shared" si="13"/>
        <v>42410</v>
      </c>
      <c r="D47" s="150">
        <f t="shared" si="3"/>
        <v>0</v>
      </c>
      <c r="E47" s="151">
        <f t="shared" si="8"/>
        <v>0</v>
      </c>
      <c r="F47" s="151">
        <f t="shared" si="14"/>
        <v>0</v>
      </c>
      <c r="G47" s="152">
        <f t="shared" si="9"/>
        <v>0</v>
      </c>
      <c r="H47" s="153">
        <f t="shared" si="4"/>
        <v>0</v>
      </c>
      <c r="I47" s="151">
        <f t="shared" si="15"/>
        <v>0</v>
      </c>
      <c r="J47" s="151">
        <f t="shared" si="10"/>
        <v>0</v>
      </c>
      <c r="K47" s="154">
        <f t="shared" si="11"/>
        <v>0</v>
      </c>
      <c r="L47" s="167"/>
      <c r="M47" s="168"/>
      <c r="N47" s="155">
        <f t="shared" si="5"/>
        <v>7</v>
      </c>
      <c r="O47" s="123">
        <f t="shared" si="12"/>
        <v>24</v>
      </c>
      <c r="P47" s="124">
        <f t="shared" si="6"/>
        <v>0</v>
      </c>
      <c r="Q47" s="125"/>
      <c r="R47" s="125"/>
      <c r="S47" s="125"/>
      <c r="T47" s="125"/>
      <c r="U47" s="125"/>
      <c r="V47" s="125"/>
      <c r="W47" s="125"/>
      <c r="X47" s="125"/>
      <c r="Y47" s="125"/>
      <c r="Z47" s="125"/>
    </row>
    <row r="48" spans="1:26">
      <c r="A48" s="161">
        <v>41</v>
      </c>
      <c r="B48" s="148" t="str">
        <f t="shared" si="7"/>
        <v>4-й год 5-й мес</v>
      </c>
      <c r="C48" s="149">
        <f t="shared" si="13"/>
        <v>42439</v>
      </c>
      <c r="D48" s="150">
        <f t="shared" si="3"/>
        <v>0</v>
      </c>
      <c r="E48" s="151">
        <f t="shared" si="8"/>
        <v>0</v>
      </c>
      <c r="F48" s="151">
        <f t="shared" si="14"/>
        <v>0</v>
      </c>
      <c r="G48" s="152">
        <f t="shared" si="9"/>
        <v>0</v>
      </c>
      <c r="H48" s="153">
        <f t="shared" si="4"/>
        <v>0</v>
      </c>
      <c r="I48" s="151">
        <f t="shared" si="15"/>
        <v>0</v>
      </c>
      <c r="J48" s="151">
        <f t="shared" si="10"/>
        <v>0</v>
      </c>
      <c r="K48" s="154">
        <f t="shared" si="11"/>
        <v>0</v>
      </c>
      <c r="L48" s="167"/>
      <c r="M48" s="168"/>
      <c r="N48" s="155">
        <f t="shared" si="5"/>
        <v>7</v>
      </c>
      <c r="O48" s="123">
        <f t="shared" si="12"/>
        <v>24</v>
      </c>
      <c r="P48" s="124">
        <f t="shared" si="6"/>
        <v>0</v>
      </c>
      <c r="Q48" s="125"/>
      <c r="R48" s="125"/>
      <c r="S48" s="125"/>
      <c r="T48" s="125"/>
      <c r="U48" s="125"/>
      <c r="V48" s="125"/>
      <c r="W48" s="125"/>
      <c r="X48" s="125"/>
      <c r="Y48" s="125"/>
      <c r="Z48" s="125"/>
    </row>
    <row r="49" spans="1:26">
      <c r="A49" s="161">
        <v>42</v>
      </c>
      <c r="B49" s="148" t="str">
        <f t="shared" si="7"/>
        <v>4-й год 6-й мес</v>
      </c>
      <c r="C49" s="149">
        <f t="shared" si="13"/>
        <v>42470</v>
      </c>
      <c r="D49" s="150">
        <f t="shared" si="3"/>
        <v>0</v>
      </c>
      <c r="E49" s="151">
        <f t="shared" si="8"/>
        <v>0</v>
      </c>
      <c r="F49" s="151">
        <f t="shared" si="14"/>
        <v>0</v>
      </c>
      <c r="G49" s="152">
        <f t="shared" si="9"/>
        <v>0</v>
      </c>
      <c r="H49" s="153">
        <f t="shared" si="4"/>
        <v>0</v>
      </c>
      <c r="I49" s="151">
        <f t="shared" si="15"/>
        <v>0</v>
      </c>
      <c r="J49" s="151">
        <f t="shared" si="10"/>
        <v>0</v>
      </c>
      <c r="K49" s="154">
        <f t="shared" si="11"/>
        <v>0</v>
      </c>
      <c r="L49" s="167"/>
      <c r="M49" s="168"/>
      <c r="N49" s="155">
        <f t="shared" si="5"/>
        <v>7</v>
      </c>
      <c r="O49" s="123">
        <f t="shared" si="12"/>
        <v>24</v>
      </c>
      <c r="P49" s="124">
        <f t="shared" si="6"/>
        <v>0</v>
      </c>
      <c r="Q49" s="125"/>
      <c r="R49" s="125"/>
      <c r="S49" s="125"/>
      <c r="T49" s="125"/>
      <c r="U49" s="125"/>
      <c r="V49" s="125"/>
      <c r="W49" s="125"/>
      <c r="X49" s="125"/>
      <c r="Y49" s="125"/>
      <c r="Z49" s="125"/>
    </row>
    <row r="50" spans="1:26">
      <c r="A50" s="161">
        <v>43</v>
      </c>
      <c r="B50" s="148" t="str">
        <f t="shared" si="7"/>
        <v>4-й год 7-й мес</v>
      </c>
      <c r="C50" s="149">
        <f t="shared" si="13"/>
        <v>42500</v>
      </c>
      <c r="D50" s="150">
        <f t="shared" si="3"/>
        <v>0</v>
      </c>
      <c r="E50" s="151">
        <f t="shared" si="8"/>
        <v>0</v>
      </c>
      <c r="F50" s="151">
        <f t="shared" si="14"/>
        <v>0</v>
      </c>
      <c r="G50" s="152">
        <f t="shared" si="9"/>
        <v>0</v>
      </c>
      <c r="H50" s="153">
        <f t="shared" si="4"/>
        <v>0</v>
      </c>
      <c r="I50" s="151">
        <f t="shared" si="15"/>
        <v>0</v>
      </c>
      <c r="J50" s="151">
        <f t="shared" si="10"/>
        <v>0</v>
      </c>
      <c r="K50" s="154">
        <f t="shared" si="11"/>
        <v>0</v>
      </c>
      <c r="L50" s="167"/>
      <c r="M50" s="168"/>
      <c r="N50" s="155">
        <f t="shared" si="5"/>
        <v>7</v>
      </c>
      <c r="O50" s="123">
        <f t="shared" si="12"/>
        <v>24</v>
      </c>
      <c r="P50" s="124">
        <f t="shared" si="6"/>
        <v>0</v>
      </c>
      <c r="Q50" s="125"/>
      <c r="R50" s="125"/>
      <c r="S50" s="125"/>
      <c r="T50" s="125"/>
      <c r="U50" s="125"/>
      <c r="V50" s="125"/>
      <c r="W50" s="125"/>
      <c r="X50" s="125"/>
      <c r="Y50" s="125"/>
      <c r="Z50" s="125"/>
    </row>
    <row r="51" spans="1:26">
      <c r="A51" s="161">
        <v>44</v>
      </c>
      <c r="B51" s="148" t="str">
        <f t="shared" si="7"/>
        <v>4-й год 8-й мес</v>
      </c>
      <c r="C51" s="149">
        <f t="shared" si="13"/>
        <v>42531</v>
      </c>
      <c r="D51" s="150">
        <f t="shared" si="3"/>
        <v>0</v>
      </c>
      <c r="E51" s="151">
        <f t="shared" si="8"/>
        <v>0</v>
      </c>
      <c r="F51" s="151">
        <f t="shared" si="14"/>
        <v>0</v>
      </c>
      <c r="G51" s="152">
        <f t="shared" si="9"/>
        <v>0</v>
      </c>
      <c r="H51" s="153">
        <f t="shared" si="4"/>
        <v>0</v>
      </c>
      <c r="I51" s="151">
        <f t="shared" si="15"/>
        <v>0</v>
      </c>
      <c r="J51" s="151">
        <f t="shared" si="10"/>
        <v>0</v>
      </c>
      <c r="K51" s="154">
        <f t="shared" si="11"/>
        <v>0</v>
      </c>
      <c r="L51" s="167"/>
      <c r="M51" s="168"/>
      <c r="N51" s="155">
        <f t="shared" si="5"/>
        <v>7</v>
      </c>
      <c r="O51" s="123">
        <f t="shared" si="12"/>
        <v>24</v>
      </c>
      <c r="P51" s="124">
        <f t="shared" si="6"/>
        <v>0</v>
      </c>
      <c r="Q51" s="125"/>
      <c r="R51" s="125"/>
      <c r="S51" s="125"/>
      <c r="T51" s="125"/>
      <c r="U51" s="125"/>
      <c r="V51" s="125"/>
      <c r="W51" s="125"/>
      <c r="X51" s="125"/>
      <c r="Y51" s="125"/>
      <c r="Z51" s="125"/>
    </row>
    <row r="52" spans="1:26">
      <c r="A52" s="161">
        <v>45</v>
      </c>
      <c r="B52" s="148" t="str">
        <f t="shared" si="7"/>
        <v>4-й год 9-й мес</v>
      </c>
      <c r="C52" s="149">
        <f t="shared" si="13"/>
        <v>42561</v>
      </c>
      <c r="D52" s="150">
        <f t="shared" si="3"/>
        <v>0</v>
      </c>
      <c r="E52" s="151">
        <f t="shared" si="8"/>
        <v>0</v>
      </c>
      <c r="F52" s="151">
        <f t="shared" si="14"/>
        <v>0</v>
      </c>
      <c r="G52" s="152">
        <f t="shared" si="9"/>
        <v>0</v>
      </c>
      <c r="H52" s="153">
        <f t="shared" si="4"/>
        <v>0</v>
      </c>
      <c r="I52" s="151">
        <f t="shared" si="15"/>
        <v>0</v>
      </c>
      <c r="J52" s="151">
        <f t="shared" si="10"/>
        <v>0</v>
      </c>
      <c r="K52" s="154">
        <f t="shared" si="11"/>
        <v>0</v>
      </c>
      <c r="L52" s="167"/>
      <c r="M52" s="168"/>
      <c r="N52" s="155">
        <f t="shared" si="5"/>
        <v>7</v>
      </c>
      <c r="O52" s="123">
        <f t="shared" si="12"/>
        <v>24</v>
      </c>
      <c r="P52" s="124">
        <f t="shared" si="6"/>
        <v>0</v>
      </c>
      <c r="Q52" s="125"/>
      <c r="R52" s="125"/>
      <c r="S52" s="125"/>
      <c r="T52" s="125"/>
      <c r="U52" s="125"/>
      <c r="V52" s="125"/>
      <c r="W52" s="125"/>
      <c r="X52" s="125"/>
      <c r="Y52" s="125"/>
      <c r="Z52" s="125"/>
    </row>
    <row r="53" spans="1:26">
      <c r="A53" s="161">
        <v>46</v>
      </c>
      <c r="B53" s="148" t="str">
        <f t="shared" si="7"/>
        <v>4-й год 10-й мес</v>
      </c>
      <c r="C53" s="149">
        <f t="shared" si="13"/>
        <v>42592</v>
      </c>
      <c r="D53" s="150">
        <f t="shared" si="3"/>
        <v>0</v>
      </c>
      <c r="E53" s="151">
        <f t="shared" si="8"/>
        <v>0</v>
      </c>
      <c r="F53" s="151">
        <f t="shared" si="14"/>
        <v>0</v>
      </c>
      <c r="G53" s="152">
        <f t="shared" si="9"/>
        <v>0</v>
      </c>
      <c r="H53" s="153">
        <f t="shared" si="4"/>
        <v>0</v>
      </c>
      <c r="I53" s="151">
        <f t="shared" si="15"/>
        <v>0</v>
      </c>
      <c r="J53" s="151">
        <f t="shared" si="10"/>
        <v>0</v>
      </c>
      <c r="K53" s="154">
        <f t="shared" si="11"/>
        <v>0</v>
      </c>
      <c r="L53" s="167"/>
      <c r="M53" s="168"/>
      <c r="N53" s="155">
        <f t="shared" si="5"/>
        <v>7</v>
      </c>
      <c r="O53" s="123">
        <f t="shared" si="12"/>
        <v>24</v>
      </c>
      <c r="P53" s="124">
        <f t="shared" si="6"/>
        <v>0</v>
      </c>
      <c r="Q53" s="125"/>
      <c r="R53" s="125"/>
      <c r="S53" s="125"/>
      <c r="T53" s="125"/>
      <c r="U53" s="125"/>
      <c r="V53" s="125"/>
      <c r="W53" s="125"/>
      <c r="X53" s="125"/>
      <c r="Y53" s="125"/>
      <c r="Z53" s="125"/>
    </row>
    <row r="54" spans="1:26">
      <c r="A54" s="161">
        <v>47</v>
      </c>
      <c r="B54" s="148" t="str">
        <f t="shared" si="7"/>
        <v>4-й год 11-й мес</v>
      </c>
      <c r="C54" s="149">
        <f t="shared" si="13"/>
        <v>42623</v>
      </c>
      <c r="D54" s="150">
        <f t="shared" si="3"/>
        <v>0</v>
      </c>
      <c r="E54" s="151">
        <f t="shared" si="8"/>
        <v>0</v>
      </c>
      <c r="F54" s="151">
        <f t="shared" si="14"/>
        <v>0</v>
      </c>
      <c r="G54" s="152">
        <f t="shared" si="9"/>
        <v>0</v>
      </c>
      <c r="H54" s="153">
        <f t="shared" si="4"/>
        <v>0</v>
      </c>
      <c r="I54" s="151">
        <f t="shared" si="15"/>
        <v>0</v>
      </c>
      <c r="J54" s="151">
        <f t="shared" si="10"/>
        <v>0</v>
      </c>
      <c r="K54" s="154">
        <f t="shared" si="11"/>
        <v>0</v>
      </c>
      <c r="L54" s="167"/>
      <c r="M54" s="168"/>
      <c r="N54" s="155">
        <f t="shared" si="5"/>
        <v>7</v>
      </c>
      <c r="O54" s="123">
        <f t="shared" si="12"/>
        <v>24</v>
      </c>
      <c r="P54" s="124">
        <f t="shared" si="6"/>
        <v>0</v>
      </c>
      <c r="Q54" s="125"/>
      <c r="R54" s="125"/>
      <c r="S54" s="125"/>
      <c r="T54" s="125"/>
      <c r="U54" s="125"/>
      <c r="V54" s="125"/>
      <c r="W54" s="125"/>
      <c r="X54" s="125"/>
      <c r="Y54" s="125"/>
      <c r="Z54" s="125"/>
    </row>
    <row r="55" spans="1:26">
      <c r="A55" s="162">
        <v>48</v>
      </c>
      <c r="B55" s="148" t="str">
        <f t="shared" si="7"/>
        <v>4-й год 12-й мес</v>
      </c>
      <c r="C55" s="149">
        <f t="shared" si="13"/>
        <v>42653</v>
      </c>
      <c r="D55" s="150">
        <f t="shared" si="3"/>
        <v>0</v>
      </c>
      <c r="E55" s="163">
        <f t="shared" si="8"/>
        <v>0</v>
      </c>
      <c r="F55" s="151">
        <f t="shared" si="14"/>
        <v>0</v>
      </c>
      <c r="G55" s="164">
        <f t="shared" si="9"/>
        <v>0</v>
      </c>
      <c r="H55" s="165">
        <f t="shared" si="4"/>
        <v>0</v>
      </c>
      <c r="I55" s="163">
        <f t="shared" si="15"/>
        <v>0</v>
      </c>
      <c r="J55" s="163">
        <f t="shared" si="10"/>
        <v>0</v>
      </c>
      <c r="K55" s="166">
        <f t="shared" si="11"/>
        <v>0</v>
      </c>
      <c r="L55" s="170"/>
      <c r="M55" s="168"/>
      <c r="N55" s="155">
        <f t="shared" si="5"/>
        <v>7</v>
      </c>
      <c r="O55" s="123">
        <f t="shared" si="12"/>
        <v>24</v>
      </c>
      <c r="P55" s="124">
        <f t="shared" si="6"/>
        <v>0</v>
      </c>
      <c r="Q55" s="125"/>
      <c r="R55" s="125"/>
      <c r="S55" s="125"/>
      <c r="T55" s="125"/>
      <c r="U55" s="125"/>
      <c r="V55" s="125"/>
      <c r="W55" s="125"/>
      <c r="X55" s="125"/>
      <c r="Y55" s="125"/>
      <c r="Z55" s="125"/>
    </row>
    <row r="56" spans="1:26">
      <c r="A56" s="147">
        <v>49</v>
      </c>
      <c r="B56" s="148" t="str">
        <f t="shared" si="7"/>
        <v>5-й год 1-й мес</v>
      </c>
      <c r="C56" s="149">
        <f t="shared" si="13"/>
        <v>42684</v>
      </c>
      <c r="D56" s="150">
        <f t="shared" si="3"/>
        <v>0</v>
      </c>
      <c r="E56" s="151">
        <f t="shared" si="8"/>
        <v>0</v>
      </c>
      <c r="F56" s="151">
        <f t="shared" si="14"/>
        <v>0</v>
      </c>
      <c r="G56" s="152">
        <f>G55-E56-L56-M56</f>
        <v>0</v>
      </c>
      <c r="H56" s="153">
        <f t="shared" si="4"/>
        <v>0</v>
      </c>
      <c r="I56" s="151">
        <f t="shared" si="15"/>
        <v>0</v>
      </c>
      <c r="J56" s="151">
        <f t="shared" si="10"/>
        <v>0</v>
      </c>
      <c r="K56" s="154">
        <f>K55-I56-L56-M56</f>
        <v>0</v>
      </c>
      <c r="L56" s="167"/>
      <c r="M56" s="168"/>
      <c r="N56" s="155">
        <f t="shared" si="5"/>
        <v>7</v>
      </c>
      <c r="O56" s="123">
        <f t="shared" si="12"/>
        <v>24</v>
      </c>
      <c r="P56" s="124">
        <f t="shared" si="6"/>
        <v>0</v>
      </c>
      <c r="Q56" s="125"/>
      <c r="R56" s="125"/>
      <c r="S56" s="125"/>
      <c r="T56" s="125"/>
      <c r="U56" s="125"/>
      <c r="V56" s="125"/>
      <c r="W56" s="125"/>
      <c r="X56" s="125"/>
      <c r="Y56" s="125"/>
      <c r="Z56" s="125"/>
    </row>
    <row r="57" spans="1:26">
      <c r="A57" s="147">
        <v>50</v>
      </c>
      <c r="B57" s="148" t="str">
        <f t="shared" si="7"/>
        <v>5-й год 2-й мес</v>
      </c>
      <c r="C57" s="149">
        <f t="shared" si="13"/>
        <v>42714</v>
      </c>
      <c r="D57" s="150">
        <f t="shared" si="3"/>
        <v>0</v>
      </c>
      <c r="E57" s="151">
        <f t="shared" si="8"/>
        <v>0</v>
      </c>
      <c r="F57" s="151">
        <f t="shared" si="14"/>
        <v>0</v>
      </c>
      <c r="G57" s="152">
        <f t="shared" si="9"/>
        <v>0</v>
      </c>
      <c r="H57" s="153">
        <f t="shared" si="4"/>
        <v>0</v>
      </c>
      <c r="I57" s="151">
        <f t="shared" si="15"/>
        <v>0</v>
      </c>
      <c r="J57" s="151">
        <f t="shared" si="10"/>
        <v>0</v>
      </c>
      <c r="K57" s="154">
        <f t="shared" si="11"/>
        <v>0</v>
      </c>
      <c r="L57" s="167"/>
      <c r="M57" s="168"/>
      <c r="N57" s="155">
        <f t="shared" si="5"/>
        <v>7</v>
      </c>
      <c r="O57" s="123">
        <f t="shared" si="12"/>
        <v>24</v>
      </c>
      <c r="P57" s="124">
        <f t="shared" si="6"/>
        <v>0</v>
      </c>
      <c r="Q57" s="125"/>
      <c r="R57" s="125"/>
      <c r="S57" s="125"/>
      <c r="T57" s="125"/>
      <c r="U57" s="125"/>
      <c r="V57" s="125"/>
      <c r="W57" s="125"/>
      <c r="X57" s="125"/>
      <c r="Y57" s="125"/>
      <c r="Z57" s="125"/>
    </row>
    <row r="58" spans="1:26">
      <c r="A58" s="147">
        <v>51</v>
      </c>
      <c r="B58" s="148" t="str">
        <f t="shared" si="7"/>
        <v>5-й год 3-й мес</v>
      </c>
      <c r="C58" s="149">
        <f t="shared" si="13"/>
        <v>42745</v>
      </c>
      <c r="D58" s="150">
        <f t="shared" si="3"/>
        <v>0</v>
      </c>
      <c r="E58" s="151">
        <f t="shared" si="8"/>
        <v>0</v>
      </c>
      <c r="F58" s="151">
        <f t="shared" si="14"/>
        <v>0</v>
      </c>
      <c r="G58" s="152">
        <f t="shared" si="9"/>
        <v>0</v>
      </c>
      <c r="H58" s="153">
        <f t="shared" si="4"/>
        <v>0</v>
      </c>
      <c r="I58" s="151">
        <f t="shared" si="15"/>
        <v>0</v>
      </c>
      <c r="J58" s="151">
        <f t="shared" si="10"/>
        <v>0</v>
      </c>
      <c r="K58" s="154">
        <f t="shared" si="11"/>
        <v>0</v>
      </c>
      <c r="L58" s="167"/>
      <c r="M58" s="168"/>
      <c r="N58" s="155">
        <f t="shared" si="5"/>
        <v>7</v>
      </c>
      <c r="O58" s="123">
        <f t="shared" si="12"/>
        <v>24</v>
      </c>
      <c r="P58" s="124">
        <f t="shared" si="6"/>
        <v>0</v>
      </c>
      <c r="Q58" s="125"/>
      <c r="R58" s="125"/>
      <c r="S58" s="125"/>
      <c r="T58" s="125"/>
      <c r="U58" s="125"/>
      <c r="V58" s="125"/>
      <c r="W58" s="125"/>
      <c r="X58" s="125"/>
      <c r="Y58" s="125"/>
      <c r="Z58" s="125"/>
    </row>
    <row r="59" spans="1:26">
      <c r="A59" s="147">
        <v>52</v>
      </c>
      <c r="B59" s="148" t="str">
        <f t="shared" si="7"/>
        <v>5-й год 4-й мес</v>
      </c>
      <c r="C59" s="149">
        <f t="shared" si="13"/>
        <v>42776</v>
      </c>
      <c r="D59" s="150">
        <f t="shared" si="3"/>
        <v>0</v>
      </c>
      <c r="E59" s="151">
        <f t="shared" si="8"/>
        <v>0</v>
      </c>
      <c r="F59" s="151">
        <f t="shared" si="14"/>
        <v>0</v>
      </c>
      <c r="G59" s="152">
        <f t="shared" si="9"/>
        <v>0</v>
      </c>
      <c r="H59" s="153">
        <f t="shared" si="4"/>
        <v>0</v>
      </c>
      <c r="I59" s="151">
        <f t="shared" si="15"/>
        <v>0</v>
      </c>
      <c r="J59" s="151">
        <f t="shared" si="10"/>
        <v>0</v>
      </c>
      <c r="K59" s="154">
        <f t="shared" si="11"/>
        <v>0</v>
      </c>
      <c r="L59" s="167"/>
      <c r="M59" s="168"/>
      <c r="N59" s="155">
        <f t="shared" si="5"/>
        <v>7</v>
      </c>
      <c r="O59" s="123">
        <f t="shared" si="12"/>
        <v>24</v>
      </c>
      <c r="P59" s="124">
        <f t="shared" si="6"/>
        <v>0</v>
      </c>
      <c r="Q59" s="125"/>
      <c r="R59" s="125"/>
      <c r="S59" s="125"/>
      <c r="T59" s="125"/>
      <c r="U59" s="125"/>
      <c r="V59" s="125"/>
      <c r="W59" s="125"/>
      <c r="X59" s="125"/>
      <c r="Y59" s="125"/>
      <c r="Z59" s="125"/>
    </row>
    <row r="60" spans="1:26">
      <c r="A60" s="147">
        <v>53</v>
      </c>
      <c r="B60" s="148" t="str">
        <f t="shared" si="7"/>
        <v>5-й год 5-й мес</v>
      </c>
      <c r="C60" s="149">
        <f t="shared" si="13"/>
        <v>42804</v>
      </c>
      <c r="D60" s="150">
        <f t="shared" si="3"/>
        <v>0</v>
      </c>
      <c r="E60" s="151">
        <f t="shared" si="8"/>
        <v>0</v>
      </c>
      <c r="F60" s="151">
        <f t="shared" si="14"/>
        <v>0</v>
      </c>
      <c r="G60" s="152">
        <f t="shared" si="9"/>
        <v>0</v>
      </c>
      <c r="H60" s="153">
        <f t="shared" si="4"/>
        <v>0</v>
      </c>
      <c r="I60" s="151">
        <f t="shared" si="15"/>
        <v>0</v>
      </c>
      <c r="J60" s="151">
        <f t="shared" si="10"/>
        <v>0</v>
      </c>
      <c r="K60" s="154">
        <f t="shared" si="11"/>
        <v>0</v>
      </c>
      <c r="L60" s="167"/>
      <c r="M60" s="168"/>
      <c r="N60" s="155">
        <f t="shared" si="5"/>
        <v>7</v>
      </c>
      <c r="O60" s="123">
        <f t="shared" si="12"/>
        <v>24</v>
      </c>
      <c r="P60" s="124">
        <f t="shared" si="6"/>
        <v>0</v>
      </c>
      <c r="Q60" s="125"/>
      <c r="R60" s="125"/>
      <c r="S60" s="125"/>
      <c r="T60" s="125"/>
      <c r="U60" s="125"/>
      <c r="V60" s="125"/>
      <c r="W60" s="125"/>
      <c r="X60" s="125"/>
      <c r="Y60" s="125"/>
      <c r="Z60" s="125"/>
    </row>
    <row r="61" spans="1:26">
      <c r="A61" s="147">
        <v>54</v>
      </c>
      <c r="B61" s="148" t="str">
        <f t="shared" si="7"/>
        <v>5-й год 6-й мес</v>
      </c>
      <c r="C61" s="149">
        <f t="shared" si="13"/>
        <v>42835</v>
      </c>
      <c r="D61" s="150">
        <f t="shared" si="3"/>
        <v>0</v>
      </c>
      <c r="E61" s="151">
        <f t="shared" si="8"/>
        <v>0</v>
      </c>
      <c r="F61" s="151">
        <f t="shared" si="14"/>
        <v>0</v>
      </c>
      <c r="G61" s="152">
        <f t="shared" si="9"/>
        <v>0</v>
      </c>
      <c r="H61" s="153">
        <f t="shared" si="4"/>
        <v>0</v>
      </c>
      <c r="I61" s="151">
        <f t="shared" si="15"/>
        <v>0</v>
      </c>
      <c r="J61" s="151">
        <f t="shared" si="10"/>
        <v>0</v>
      </c>
      <c r="K61" s="154">
        <f t="shared" si="11"/>
        <v>0</v>
      </c>
      <c r="L61" s="167"/>
      <c r="M61" s="168"/>
      <c r="N61" s="155">
        <f t="shared" si="5"/>
        <v>7</v>
      </c>
      <c r="O61" s="123">
        <f t="shared" si="12"/>
        <v>24</v>
      </c>
      <c r="P61" s="124">
        <f t="shared" si="6"/>
        <v>0</v>
      </c>
      <c r="Q61" s="125"/>
      <c r="R61" s="125"/>
      <c r="S61" s="125"/>
      <c r="T61" s="125"/>
      <c r="U61" s="125"/>
      <c r="V61" s="125"/>
      <c r="W61" s="125"/>
      <c r="X61" s="125"/>
      <c r="Y61" s="125"/>
      <c r="Z61" s="125"/>
    </row>
    <row r="62" spans="1:26">
      <c r="A62" s="147">
        <v>55</v>
      </c>
      <c r="B62" s="148" t="str">
        <f t="shared" si="7"/>
        <v>5-й год 7-й мес</v>
      </c>
      <c r="C62" s="149">
        <f t="shared" si="13"/>
        <v>42865</v>
      </c>
      <c r="D62" s="150">
        <f t="shared" si="3"/>
        <v>0</v>
      </c>
      <c r="E62" s="151">
        <f t="shared" si="8"/>
        <v>0</v>
      </c>
      <c r="F62" s="151">
        <f t="shared" si="14"/>
        <v>0</v>
      </c>
      <c r="G62" s="152">
        <f t="shared" si="9"/>
        <v>0</v>
      </c>
      <c r="H62" s="153">
        <f t="shared" si="4"/>
        <v>0</v>
      </c>
      <c r="I62" s="151">
        <f t="shared" si="15"/>
        <v>0</v>
      </c>
      <c r="J62" s="151">
        <f t="shared" si="10"/>
        <v>0</v>
      </c>
      <c r="K62" s="154">
        <f t="shared" si="11"/>
        <v>0</v>
      </c>
      <c r="L62" s="167"/>
      <c r="M62" s="168"/>
      <c r="N62" s="155">
        <f t="shared" si="5"/>
        <v>7</v>
      </c>
      <c r="O62" s="123">
        <f t="shared" si="12"/>
        <v>24</v>
      </c>
      <c r="P62" s="124">
        <f t="shared" si="6"/>
        <v>0</v>
      </c>
      <c r="Q62" s="125"/>
      <c r="R62" s="125"/>
      <c r="S62" s="125"/>
      <c r="T62" s="125"/>
      <c r="U62" s="125"/>
      <c r="V62" s="125"/>
      <c r="W62" s="125"/>
      <c r="X62" s="125"/>
      <c r="Y62" s="125"/>
      <c r="Z62" s="125"/>
    </row>
    <row r="63" spans="1:26">
      <c r="A63" s="147">
        <v>56</v>
      </c>
      <c r="B63" s="148" t="str">
        <f t="shared" si="7"/>
        <v>5-й год 8-й мес</v>
      </c>
      <c r="C63" s="149">
        <f t="shared" si="13"/>
        <v>42896</v>
      </c>
      <c r="D63" s="150">
        <f t="shared" si="3"/>
        <v>0</v>
      </c>
      <c r="E63" s="151">
        <f t="shared" si="8"/>
        <v>0</v>
      </c>
      <c r="F63" s="151">
        <f t="shared" si="14"/>
        <v>0</v>
      </c>
      <c r="G63" s="152">
        <f>G62-E63-L63-M63</f>
        <v>0</v>
      </c>
      <c r="H63" s="153">
        <f t="shared" si="4"/>
        <v>0</v>
      </c>
      <c r="I63" s="151">
        <f t="shared" si="15"/>
        <v>0</v>
      </c>
      <c r="J63" s="151">
        <f t="shared" si="10"/>
        <v>0</v>
      </c>
      <c r="K63" s="154">
        <f>K62-I63-L63-M63</f>
        <v>0</v>
      </c>
      <c r="L63" s="167"/>
      <c r="M63" s="168"/>
      <c r="N63" s="155">
        <f t="shared" si="5"/>
        <v>7</v>
      </c>
      <c r="O63" s="123">
        <f t="shared" si="12"/>
        <v>24</v>
      </c>
      <c r="P63" s="124">
        <f t="shared" si="6"/>
        <v>0</v>
      </c>
      <c r="Q63" s="125"/>
      <c r="R63" s="125"/>
      <c r="S63" s="125"/>
      <c r="T63" s="125"/>
      <c r="U63" s="125"/>
      <c r="V63" s="125"/>
      <c r="W63" s="125"/>
      <c r="X63" s="125"/>
      <c r="Y63" s="125"/>
      <c r="Z63" s="125"/>
    </row>
    <row r="64" spans="1:26">
      <c r="A64" s="147">
        <v>57</v>
      </c>
      <c r="B64" s="148" t="str">
        <f t="shared" si="7"/>
        <v>5-й год 9-й мес</v>
      </c>
      <c r="C64" s="149">
        <f t="shared" si="13"/>
        <v>42926</v>
      </c>
      <c r="D64" s="150">
        <f t="shared" si="3"/>
        <v>0</v>
      </c>
      <c r="E64" s="151">
        <f t="shared" si="8"/>
        <v>0</v>
      </c>
      <c r="F64" s="151">
        <f t="shared" si="14"/>
        <v>0</v>
      </c>
      <c r="G64" s="152">
        <f t="shared" si="9"/>
        <v>0</v>
      </c>
      <c r="H64" s="153">
        <f t="shared" si="4"/>
        <v>0</v>
      </c>
      <c r="I64" s="151">
        <f t="shared" si="15"/>
        <v>0</v>
      </c>
      <c r="J64" s="151">
        <f t="shared" si="10"/>
        <v>0</v>
      </c>
      <c r="K64" s="154">
        <f t="shared" si="11"/>
        <v>0</v>
      </c>
      <c r="L64" s="167"/>
      <c r="M64" s="168"/>
      <c r="N64" s="155">
        <f t="shared" si="5"/>
        <v>7</v>
      </c>
      <c r="O64" s="123">
        <f t="shared" si="12"/>
        <v>24</v>
      </c>
      <c r="P64" s="124">
        <f t="shared" si="6"/>
        <v>0</v>
      </c>
      <c r="Q64" s="125"/>
      <c r="R64" s="125"/>
      <c r="S64" s="125"/>
      <c r="T64" s="125"/>
      <c r="U64" s="125"/>
      <c r="V64" s="125"/>
      <c r="W64" s="125"/>
      <c r="X64" s="125"/>
      <c r="Y64" s="125"/>
      <c r="Z64" s="125"/>
    </row>
    <row r="65" spans="1:26">
      <c r="A65" s="147">
        <v>58</v>
      </c>
      <c r="B65" s="148" t="str">
        <f t="shared" si="7"/>
        <v>5-й год 10-й мес</v>
      </c>
      <c r="C65" s="149">
        <f t="shared" si="13"/>
        <v>42957</v>
      </c>
      <c r="D65" s="150">
        <f t="shared" si="3"/>
        <v>0</v>
      </c>
      <c r="E65" s="151">
        <f t="shared" si="8"/>
        <v>0</v>
      </c>
      <c r="F65" s="151">
        <f t="shared" si="14"/>
        <v>0</v>
      </c>
      <c r="G65" s="152">
        <f t="shared" si="9"/>
        <v>0</v>
      </c>
      <c r="H65" s="153">
        <f t="shared" si="4"/>
        <v>0</v>
      </c>
      <c r="I65" s="151">
        <f t="shared" si="15"/>
        <v>0</v>
      </c>
      <c r="J65" s="151">
        <f t="shared" si="10"/>
        <v>0</v>
      </c>
      <c r="K65" s="154">
        <f t="shared" si="11"/>
        <v>0</v>
      </c>
      <c r="L65" s="167"/>
      <c r="M65" s="168"/>
      <c r="N65" s="155">
        <f t="shared" si="5"/>
        <v>7</v>
      </c>
      <c r="O65" s="123">
        <f t="shared" si="12"/>
        <v>24</v>
      </c>
      <c r="P65" s="124">
        <f t="shared" si="6"/>
        <v>0</v>
      </c>
      <c r="Q65" s="125"/>
      <c r="R65" s="125"/>
      <c r="S65" s="125"/>
      <c r="T65" s="125"/>
      <c r="U65" s="125"/>
      <c r="V65" s="125"/>
      <c r="W65" s="125"/>
      <c r="X65" s="125"/>
      <c r="Y65" s="125"/>
      <c r="Z65" s="125"/>
    </row>
    <row r="66" spans="1:26">
      <c r="A66" s="147">
        <v>59</v>
      </c>
      <c r="B66" s="148" t="str">
        <f t="shared" si="7"/>
        <v>5-й год 11-й мес</v>
      </c>
      <c r="C66" s="149">
        <f t="shared" si="13"/>
        <v>42988</v>
      </c>
      <c r="D66" s="150">
        <f t="shared" si="3"/>
        <v>0</v>
      </c>
      <c r="E66" s="151">
        <f t="shared" si="8"/>
        <v>0</v>
      </c>
      <c r="F66" s="151">
        <f t="shared" si="14"/>
        <v>0</v>
      </c>
      <c r="G66" s="152">
        <f t="shared" si="9"/>
        <v>0</v>
      </c>
      <c r="H66" s="153">
        <f t="shared" si="4"/>
        <v>0</v>
      </c>
      <c r="I66" s="151">
        <f t="shared" si="15"/>
        <v>0</v>
      </c>
      <c r="J66" s="151">
        <f t="shared" si="10"/>
        <v>0</v>
      </c>
      <c r="K66" s="154">
        <f t="shared" si="11"/>
        <v>0</v>
      </c>
      <c r="L66" s="167"/>
      <c r="M66" s="168"/>
      <c r="N66" s="155">
        <f t="shared" si="5"/>
        <v>7</v>
      </c>
      <c r="O66" s="123">
        <f t="shared" si="12"/>
        <v>24</v>
      </c>
      <c r="P66" s="124">
        <f t="shared" si="6"/>
        <v>0</v>
      </c>
      <c r="Q66" s="125"/>
      <c r="R66" s="125"/>
      <c r="S66" s="125"/>
      <c r="T66" s="125"/>
      <c r="U66" s="125"/>
      <c r="V66" s="125"/>
      <c r="W66" s="125"/>
      <c r="X66" s="125"/>
      <c r="Y66" s="125"/>
      <c r="Z66" s="125"/>
    </row>
    <row r="67" spans="1:26">
      <c r="A67" s="147">
        <v>60</v>
      </c>
      <c r="B67" s="148" t="str">
        <f t="shared" si="7"/>
        <v>5-й год 12-й мес</v>
      </c>
      <c r="C67" s="149">
        <f t="shared" si="13"/>
        <v>43018</v>
      </c>
      <c r="D67" s="150">
        <f t="shared" si="3"/>
        <v>0</v>
      </c>
      <c r="E67" s="151">
        <f t="shared" si="8"/>
        <v>0</v>
      </c>
      <c r="F67" s="151">
        <f t="shared" si="14"/>
        <v>0</v>
      </c>
      <c r="G67" s="152">
        <f t="shared" si="9"/>
        <v>0</v>
      </c>
      <c r="H67" s="153">
        <f t="shared" si="4"/>
        <v>0</v>
      </c>
      <c r="I67" s="151">
        <f t="shared" si="15"/>
        <v>0</v>
      </c>
      <c r="J67" s="151">
        <f t="shared" si="10"/>
        <v>0</v>
      </c>
      <c r="K67" s="154">
        <f t="shared" si="11"/>
        <v>0</v>
      </c>
      <c r="L67" s="167"/>
      <c r="M67" s="168"/>
      <c r="N67" s="155">
        <f t="shared" si="5"/>
        <v>7</v>
      </c>
      <c r="O67" s="123">
        <f t="shared" si="12"/>
        <v>24</v>
      </c>
      <c r="P67" s="124">
        <f t="shared" si="6"/>
        <v>0</v>
      </c>
      <c r="Q67" s="125"/>
      <c r="R67" s="125"/>
      <c r="S67" s="125"/>
      <c r="T67" s="125"/>
      <c r="U67" s="125"/>
      <c r="V67" s="125"/>
      <c r="W67" s="125"/>
      <c r="X67" s="125"/>
      <c r="Y67" s="125"/>
      <c r="Z67" s="125"/>
    </row>
    <row r="68" spans="1:26">
      <c r="A68" s="156">
        <v>61</v>
      </c>
      <c r="B68" s="148" t="str">
        <f t="shared" si="7"/>
        <v>6-й год 1-й мес</v>
      </c>
      <c r="C68" s="149">
        <f t="shared" si="13"/>
        <v>43049</v>
      </c>
      <c r="D68" s="150">
        <f t="shared" si="3"/>
        <v>0</v>
      </c>
      <c r="E68" s="157">
        <f t="shared" si="8"/>
        <v>0</v>
      </c>
      <c r="F68" s="151">
        <f t="shared" si="14"/>
        <v>0</v>
      </c>
      <c r="G68" s="158">
        <f t="shared" si="9"/>
        <v>0</v>
      </c>
      <c r="H68" s="159">
        <f t="shared" si="4"/>
        <v>0</v>
      </c>
      <c r="I68" s="157">
        <f t="shared" si="15"/>
        <v>0</v>
      </c>
      <c r="J68" s="157">
        <f t="shared" si="10"/>
        <v>0</v>
      </c>
      <c r="K68" s="160">
        <f t="shared" si="11"/>
        <v>0</v>
      </c>
      <c r="L68" s="169"/>
      <c r="M68" s="168"/>
      <c r="N68" s="155">
        <f t="shared" si="5"/>
        <v>7</v>
      </c>
      <c r="O68" s="123">
        <f t="shared" si="12"/>
        <v>24</v>
      </c>
      <c r="P68" s="124">
        <f t="shared" si="6"/>
        <v>0</v>
      </c>
      <c r="Q68" s="125"/>
      <c r="R68" s="125"/>
      <c r="S68" s="125"/>
      <c r="T68" s="125"/>
      <c r="U68" s="125"/>
      <c r="V68" s="125"/>
      <c r="W68" s="125"/>
      <c r="X68" s="125"/>
      <c r="Y68" s="125"/>
      <c r="Z68" s="125"/>
    </row>
    <row r="69" spans="1:26">
      <c r="A69" s="161">
        <v>62</v>
      </c>
      <c r="B69" s="148" t="str">
        <f t="shared" si="7"/>
        <v>6-й год 2-й мес</v>
      </c>
      <c r="C69" s="149">
        <f t="shared" si="13"/>
        <v>43079</v>
      </c>
      <c r="D69" s="150">
        <f t="shared" si="3"/>
        <v>0</v>
      </c>
      <c r="E69" s="151">
        <f t="shared" si="8"/>
        <v>0</v>
      </c>
      <c r="F69" s="151">
        <f t="shared" si="14"/>
        <v>0</v>
      </c>
      <c r="G69" s="152">
        <f t="shared" si="9"/>
        <v>0</v>
      </c>
      <c r="H69" s="153">
        <f t="shared" si="4"/>
        <v>0</v>
      </c>
      <c r="I69" s="151">
        <f t="shared" si="15"/>
        <v>0</v>
      </c>
      <c r="J69" s="151">
        <f t="shared" si="10"/>
        <v>0</v>
      </c>
      <c r="K69" s="154">
        <f t="shared" si="11"/>
        <v>0</v>
      </c>
      <c r="L69" s="167"/>
      <c r="M69" s="168"/>
      <c r="N69" s="155">
        <f t="shared" si="5"/>
        <v>7</v>
      </c>
      <c r="O69" s="123">
        <f t="shared" si="12"/>
        <v>24</v>
      </c>
      <c r="P69" s="124">
        <f t="shared" si="6"/>
        <v>0</v>
      </c>
      <c r="Q69" s="125"/>
      <c r="R69" s="125"/>
      <c r="S69" s="125"/>
      <c r="T69" s="125"/>
      <c r="U69" s="125"/>
      <c r="V69" s="125"/>
      <c r="W69" s="125"/>
      <c r="X69" s="125"/>
      <c r="Y69" s="125"/>
      <c r="Z69" s="125"/>
    </row>
    <row r="70" spans="1:26">
      <c r="A70" s="161">
        <v>63</v>
      </c>
      <c r="B70" s="148" t="str">
        <f t="shared" si="7"/>
        <v>6-й год 3-й мес</v>
      </c>
      <c r="C70" s="149">
        <f t="shared" si="13"/>
        <v>43110</v>
      </c>
      <c r="D70" s="150">
        <f t="shared" si="3"/>
        <v>0</v>
      </c>
      <c r="E70" s="151">
        <f t="shared" si="8"/>
        <v>0</v>
      </c>
      <c r="F70" s="151">
        <f t="shared" si="14"/>
        <v>0</v>
      </c>
      <c r="G70" s="152">
        <f t="shared" si="9"/>
        <v>0</v>
      </c>
      <c r="H70" s="153">
        <f t="shared" si="4"/>
        <v>0</v>
      </c>
      <c r="I70" s="151">
        <f t="shared" si="15"/>
        <v>0</v>
      </c>
      <c r="J70" s="151">
        <f t="shared" si="10"/>
        <v>0</v>
      </c>
      <c r="K70" s="154">
        <f t="shared" si="11"/>
        <v>0</v>
      </c>
      <c r="L70" s="167"/>
      <c r="M70" s="168"/>
      <c r="N70" s="155">
        <f t="shared" si="5"/>
        <v>7</v>
      </c>
      <c r="O70" s="123">
        <f t="shared" si="12"/>
        <v>24</v>
      </c>
      <c r="P70" s="124">
        <f t="shared" si="6"/>
        <v>0</v>
      </c>
      <c r="Q70" s="125"/>
      <c r="R70" s="125"/>
      <c r="S70" s="125"/>
      <c r="T70" s="125"/>
      <c r="U70" s="125"/>
      <c r="V70" s="125"/>
      <c r="W70" s="125"/>
      <c r="X70" s="125"/>
      <c r="Y70" s="125"/>
      <c r="Z70" s="125"/>
    </row>
    <row r="71" spans="1:26">
      <c r="A71" s="161">
        <v>64</v>
      </c>
      <c r="B71" s="148" t="str">
        <f t="shared" si="7"/>
        <v>6-й год 4-й мес</v>
      </c>
      <c r="C71" s="149">
        <f t="shared" si="13"/>
        <v>43141</v>
      </c>
      <c r="D71" s="150">
        <f t="shared" si="3"/>
        <v>0</v>
      </c>
      <c r="E71" s="151">
        <f t="shared" si="8"/>
        <v>0</v>
      </c>
      <c r="F71" s="151">
        <f t="shared" si="14"/>
        <v>0</v>
      </c>
      <c r="G71" s="152">
        <f t="shared" si="9"/>
        <v>0</v>
      </c>
      <c r="H71" s="153">
        <f t="shared" si="4"/>
        <v>0</v>
      </c>
      <c r="I71" s="151">
        <f t="shared" si="15"/>
        <v>0</v>
      </c>
      <c r="J71" s="151">
        <f t="shared" si="10"/>
        <v>0</v>
      </c>
      <c r="K71" s="154">
        <f t="shared" si="11"/>
        <v>0</v>
      </c>
      <c r="L71" s="167"/>
      <c r="M71" s="168"/>
      <c r="N71" s="155">
        <f t="shared" si="5"/>
        <v>7</v>
      </c>
      <c r="O71" s="123">
        <f t="shared" si="12"/>
        <v>24</v>
      </c>
      <c r="P71" s="124">
        <f t="shared" si="6"/>
        <v>0</v>
      </c>
      <c r="Q71" s="125"/>
      <c r="R71" s="125"/>
      <c r="S71" s="125"/>
      <c r="T71" s="125"/>
      <c r="U71" s="125"/>
      <c r="V71" s="125"/>
      <c r="W71" s="125"/>
      <c r="X71" s="125"/>
      <c r="Y71" s="125"/>
      <c r="Z71" s="125"/>
    </row>
    <row r="72" spans="1:26">
      <c r="A72" s="161">
        <v>65</v>
      </c>
      <c r="B72" s="148" t="str">
        <f t="shared" si="7"/>
        <v>6-й год 5-й мес</v>
      </c>
      <c r="C72" s="149">
        <f t="shared" si="13"/>
        <v>43169</v>
      </c>
      <c r="D72" s="150">
        <f t="shared" ref="D72:D135" si="16">IF(P72*$D$2/100/12/(1-(1+$D$2/100/12)^(-O72))&lt;G71,ROUNDUP(P72*$D$2/100/12/(1-(1+$D$2/100/12)^(-O72)),0),G71+F72)</f>
        <v>0</v>
      </c>
      <c r="E72" s="151">
        <f t="shared" si="8"/>
        <v>0</v>
      </c>
      <c r="F72" s="151">
        <f t="shared" si="14"/>
        <v>0</v>
      </c>
      <c r="G72" s="152">
        <f t="shared" si="9"/>
        <v>0</v>
      </c>
      <c r="H72" s="153">
        <f t="shared" ref="H72:H135" si="17">I72+J72</f>
        <v>0</v>
      </c>
      <c r="I72" s="151">
        <f t="shared" si="15"/>
        <v>0</v>
      </c>
      <c r="J72" s="151">
        <f t="shared" si="10"/>
        <v>0</v>
      </c>
      <c r="K72" s="154">
        <f t="shared" si="11"/>
        <v>0</v>
      </c>
      <c r="L72" s="167"/>
      <c r="M72" s="168"/>
      <c r="N72" s="155">
        <f t="shared" ref="N72:N135" si="18">IF(ISBLANK(L71),VALUE(N71),ROW(L71))</f>
        <v>7</v>
      </c>
      <c r="O72" s="123">
        <f t="shared" si="12"/>
        <v>24</v>
      </c>
      <c r="P72" s="124">
        <f t="shared" ref="P72:P135" si="19">INDEX(G:G,N72,1)</f>
        <v>0</v>
      </c>
      <c r="Q72" s="125"/>
      <c r="R72" s="125"/>
      <c r="S72" s="125"/>
      <c r="T72" s="125"/>
      <c r="U72" s="125"/>
      <c r="V72" s="125"/>
      <c r="W72" s="125"/>
      <c r="X72" s="125"/>
      <c r="Y72" s="125"/>
      <c r="Z72" s="125"/>
    </row>
    <row r="73" spans="1:26">
      <c r="A73" s="161">
        <v>66</v>
      </c>
      <c r="B73" s="148" t="str">
        <f t="shared" ref="B73:B136" si="20">CONCATENATE(INT((A73-1)/12)+1,"-й год ",A73-1-INT((A73-1)/12)*12+1,"-й мес")</f>
        <v>6-й год 6-й мес</v>
      </c>
      <c r="C73" s="149">
        <f t="shared" si="13"/>
        <v>43200</v>
      </c>
      <c r="D73" s="150">
        <f t="shared" si="16"/>
        <v>0</v>
      </c>
      <c r="E73" s="151">
        <f t="shared" ref="E73:E136" si="21">D73-F73</f>
        <v>0</v>
      </c>
      <c r="F73" s="151">
        <f t="shared" si="14"/>
        <v>0</v>
      </c>
      <c r="G73" s="152">
        <f t="shared" ref="G73:G136" si="22">G72-E73-L73-M73</f>
        <v>0</v>
      </c>
      <c r="H73" s="153">
        <f t="shared" si="17"/>
        <v>0</v>
      </c>
      <c r="I73" s="151">
        <f t="shared" si="15"/>
        <v>0</v>
      </c>
      <c r="J73" s="151">
        <f t="shared" ref="J73:J136" si="23">K72*$D$2/12/100</f>
        <v>0</v>
      </c>
      <c r="K73" s="154">
        <f t="shared" ref="K73:K136" si="24">K72-I73-L73-M73</f>
        <v>0</v>
      </c>
      <c r="L73" s="167"/>
      <c r="M73" s="168"/>
      <c r="N73" s="155">
        <f t="shared" si="18"/>
        <v>7</v>
      </c>
      <c r="O73" s="123">
        <f t="shared" ref="O73:O136" si="25">O72+N72-N73</f>
        <v>24</v>
      </c>
      <c r="P73" s="124">
        <f t="shared" si="19"/>
        <v>0</v>
      </c>
      <c r="Q73" s="125"/>
      <c r="R73" s="125"/>
      <c r="S73" s="125"/>
      <c r="T73" s="125"/>
      <c r="U73" s="125"/>
      <c r="V73" s="125"/>
      <c r="W73" s="125"/>
      <c r="X73" s="125"/>
      <c r="Y73" s="125"/>
      <c r="Z73" s="125"/>
    </row>
    <row r="74" spans="1:26">
      <c r="A74" s="161">
        <v>67</v>
      </c>
      <c r="B74" s="148" t="str">
        <f t="shared" si="20"/>
        <v>6-й год 7-й мес</v>
      </c>
      <c r="C74" s="149">
        <f t="shared" ref="C74:C137" si="26">DATE(YEAR(C73),MONTH(C73)+1,DAY(C73))</f>
        <v>43230</v>
      </c>
      <c r="D74" s="150">
        <f t="shared" si="16"/>
        <v>0</v>
      </c>
      <c r="E74" s="151">
        <f t="shared" si="21"/>
        <v>0</v>
      </c>
      <c r="F74" s="151">
        <f t="shared" ref="F74:F137" si="27">G73*$D$2*(C74-C73)/(DATE(YEAR(C74)+1,1,1)-DATE(YEAR(C74),1,1))/100</f>
        <v>0</v>
      </c>
      <c r="G74" s="152">
        <f t="shared" si="22"/>
        <v>0</v>
      </c>
      <c r="H74" s="153">
        <f t="shared" si="17"/>
        <v>0</v>
      </c>
      <c r="I74" s="151">
        <f t="shared" ref="I74:I137" si="28">IF($D$1/$D$3&lt;K73,$D$1/$D$3,K73)</f>
        <v>0</v>
      </c>
      <c r="J74" s="151">
        <f t="shared" si="23"/>
        <v>0</v>
      </c>
      <c r="K74" s="154">
        <f t="shared" si="24"/>
        <v>0</v>
      </c>
      <c r="L74" s="167"/>
      <c r="M74" s="168"/>
      <c r="N74" s="155">
        <f t="shared" si="18"/>
        <v>7</v>
      </c>
      <c r="O74" s="123">
        <f t="shared" si="25"/>
        <v>24</v>
      </c>
      <c r="P74" s="124">
        <f t="shared" si="19"/>
        <v>0</v>
      </c>
      <c r="Q74" s="125"/>
      <c r="R74" s="125"/>
      <c r="S74" s="125"/>
      <c r="T74" s="125"/>
      <c r="U74" s="125"/>
      <c r="V74" s="125"/>
      <c r="W74" s="125"/>
      <c r="X74" s="125"/>
      <c r="Y74" s="125"/>
      <c r="Z74" s="125"/>
    </row>
    <row r="75" spans="1:26">
      <c r="A75" s="161">
        <v>68</v>
      </c>
      <c r="B75" s="148" t="str">
        <f t="shared" si="20"/>
        <v>6-й год 8-й мес</v>
      </c>
      <c r="C75" s="149">
        <f t="shared" si="26"/>
        <v>43261</v>
      </c>
      <c r="D75" s="150">
        <f t="shared" si="16"/>
        <v>0</v>
      </c>
      <c r="E75" s="151">
        <f t="shared" si="21"/>
        <v>0</v>
      </c>
      <c r="F75" s="151">
        <f t="shared" si="27"/>
        <v>0</v>
      </c>
      <c r="G75" s="152">
        <f t="shared" si="22"/>
        <v>0</v>
      </c>
      <c r="H75" s="153">
        <f t="shared" si="17"/>
        <v>0</v>
      </c>
      <c r="I75" s="151">
        <f t="shared" si="28"/>
        <v>0</v>
      </c>
      <c r="J75" s="151">
        <f t="shared" si="23"/>
        <v>0</v>
      </c>
      <c r="K75" s="154">
        <f t="shared" si="24"/>
        <v>0</v>
      </c>
      <c r="L75" s="167"/>
      <c r="M75" s="168"/>
      <c r="N75" s="155">
        <f t="shared" si="18"/>
        <v>7</v>
      </c>
      <c r="O75" s="123">
        <f t="shared" si="25"/>
        <v>24</v>
      </c>
      <c r="P75" s="124">
        <f t="shared" si="19"/>
        <v>0</v>
      </c>
      <c r="Q75" s="125"/>
      <c r="R75" s="125"/>
      <c r="S75" s="125"/>
      <c r="T75" s="125"/>
      <c r="U75" s="125"/>
      <c r="V75" s="125"/>
      <c r="W75" s="125"/>
      <c r="X75" s="125"/>
      <c r="Y75" s="125"/>
      <c r="Z75" s="125"/>
    </row>
    <row r="76" spans="1:26">
      <c r="A76" s="161">
        <v>69</v>
      </c>
      <c r="B76" s="148" t="str">
        <f t="shared" si="20"/>
        <v>6-й год 9-й мес</v>
      </c>
      <c r="C76" s="149">
        <f t="shared" si="26"/>
        <v>43291</v>
      </c>
      <c r="D76" s="150">
        <f t="shared" si="16"/>
        <v>0</v>
      </c>
      <c r="E76" s="151">
        <f t="shared" si="21"/>
        <v>0</v>
      </c>
      <c r="F76" s="151">
        <f t="shared" si="27"/>
        <v>0</v>
      </c>
      <c r="G76" s="152">
        <f t="shared" si="22"/>
        <v>0</v>
      </c>
      <c r="H76" s="153">
        <f t="shared" si="17"/>
        <v>0</v>
      </c>
      <c r="I76" s="151">
        <f t="shared" si="28"/>
        <v>0</v>
      </c>
      <c r="J76" s="151">
        <f t="shared" si="23"/>
        <v>0</v>
      </c>
      <c r="K76" s="154">
        <f t="shared" si="24"/>
        <v>0</v>
      </c>
      <c r="L76" s="167"/>
      <c r="M76" s="168"/>
      <c r="N76" s="155">
        <f t="shared" si="18"/>
        <v>7</v>
      </c>
      <c r="O76" s="123">
        <f t="shared" si="25"/>
        <v>24</v>
      </c>
      <c r="P76" s="124">
        <f t="shared" si="19"/>
        <v>0</v>
      </c>
      <c r="Q76" s="125"/>
      <c r="R76" s="125"/>
      <c r="S76" s="125"/>
      <c r="T76" s="125"/>
      <c r="U76" s="125"/>
      <c r="V76" s="125"/>
      <c r="W76" s="125"/>
      <c r="X76" s="125"/>
      <c r="Y76" s="125"/>
      <c r="Z76" s="125"/>
    </row>
    <row r="77" spans="1:26">
      <c r="A77" s="161">
        <v>70</v>
      </c>
      <c r="B77" s="148" t="str">
        <f t="shared" si="20"/>
        <v>6-й год 10-й мес</v>
      </c>
      <c r="C77" s="149">
        <f t="shared" si="26"/>
        <v>43322</v>
      </c>
      <c r="D77" s="150">
        <f t="shared" si="16"/>
        <v>0</v>
      </c>
      <c r="E77" s="151">
        <f t="shared" si="21"/>
        <v>0</v>
      </c>
      <c r="F77" s="151">
        <f t="shared" si="27"/>
        <v>0</v>
      </c>
      <c r="G77" s="152">
        <f t="shared" si="22"/>
        <v>0</v>
      </c>
      <c r="H77" s="153">
        <f t="shared" si="17"/>
        <v>0</v>
      </c>
      <c r="I77" s="151">
        <f t="shared" si="28"/>
        <v>0</v>
      </c>
      <c r="J77" s="151">
        <f t="shared" si="23"/>
        <v>0</v>
      </c>
      <c r="K77" s="154">
        <f t="shared" si="24"/>
        <v>0</v>
      </c>
      <c r="L77" s="167"/>
      <c r="M77" s="168"/>
      <c r="N77" s="155">
        <f t="shared" si="18"/>
        <v>7</v>
      </c>
      <c r="O77" s="123">
        <f t="shared" si="25"/>
        <v>24</v>
      </c>
      <c r="P77" s="124">
        <f t="shared" si="19"/>
        <v>0</v>
      </c>
      <c r="Q77" s="125"/>
      <c r="R77" s="125"/>
      <c r="S77" s="125"/>
      <c r="T77" s="125"/>
      <c r="U77" s="125"/>
      <c r="V77" s="125"/>
      <c r="W77" s="125"/>
      <c r="X77" s="125"/>
      <c r="Y77" s="125"/>
      <c r="Z77" s="125"/>
    </row>
    <row r="78" spans="1:26">
      <c r="A78" s="161">
        <v>71</v>
      </c>
      <c r="B78" s="148" t="str">
        <f t="shared" si="20"/>
        <v>6-й год 11-й мес</v>
      </c>
      <c r="C78" s="149">
        <f t="shared" si="26"/>
        <v>43353</v>
      </c>
      <c r="D78" s="150">
        <f t="shared" si="16"/>
        <v>0</v>
      </c>
      <c r="E78" s="151">
        <f t="shared" si="21"/>
        <v>0</v>
      </c>
      <c r="F78" s="151">
        <f t="shared" si="27"/>
        <v>0</v>
      </c>
      <c r="G78" s="152">
        <f t="shared" si="22"/>
        <v>0</v>
      </c>
      <c r="H78" s="153">
        <f t="shared" si="17"/>
        <v>0</v>
      </c>
      <c r="I78" s="151">
        <f t="shared" si="28"/>
        <v>0</v>
      </c>
      <c r="J78" s="151">
        <f t="shared" si="23"/>
        <v>0</v>
      </c>
      <c r="K78" s="154">
        <f t="shared" si="24"/>
        <v>0</v>
      </c>
      <c r="L78" s="167"/>
      <c r="M78" s="168"/>
      <c r="N78" s="155">
        <f t="shared" si="18"/>
        <v>7</v>
      </c>
      <c r="O78" s="123">
        <f t="shared" si="25"/>
        <v>24</v>
      </c>
      <c r="P78" s="124">
        <f t="shared" si="19"/>
        <v>0</v>
      </c>
      <c r="Q78" s="125"/>
      <c r="R78" s="125"/>
      <c r="S78" s="125"/>
      <c r="T78" s="125"/>
      <c r="U78" s="125"/>
      <c r="V78" s="125"/>
      <c r="W78" s="125"/>
      <c r="X78" s="125"/>
      <c r="Y78" s="125"/>
      <c r="Z78" s="125"/>
    </row>
    <row r="79" spans="1:26">
      <c r="A79" s="162">
        <v>72</v>
      </c>
      <c r="B79" s="148" t="str">
        <f t="shared" si="20"/>
        <v>6-й год 12-й мес</v>
      </c>
      <c r="C79" s="149">
        <f t="shared" si="26"/>
        <v>43383</v>
      </c>
      <c r="D79" s="150">
        <f t="shared" si="16"/>
        <v>0</v>
      </c>
      <c r="E79" s="163">
        <f t="shared" si="21"/>
        <v>0</v>
      </c>
      <c r="F79" s="151">
        <f t="shared" si="27"/>
        <v>0</v>
      </c>
      <c r="G79" s="164">
        <f t="shared" si="22"/>
        <v>0</v>
      </c>
      <c r="H79" s="165">
        <f t="shared" si="17"/>
        <v>0</v>
      </c>
      <c r="I79" s="163">
        <f t="shared" si="28"/>
        <v>0</v>
      </c>
      <c r="J79" s="163">
        <f t="shared" si="23"/>
        <v>0</v>
      </c>
      <c r="K79" s="166">
        <f t="shared" si="24"/>
        <v>0</v>
      </c>
      <c r="L79" s="170"/>
      <c r="M79" s="168"/>
      <c r="N79" s="155">
        <f t="shared" si="18"/>
        <v>7</v>
      </c>
      <c r="O79" s="123">
        <f t="shared" si="25"/>
        <v>24</v>
      </c>
      <c r="P79" s="124">
        <f t="shared" si="19"/>
        <v>0</v>
      </c>
      <c r="Q79" s="125"/>
      <c r="R79" s="125"/>
      <c r="S79" s="125"/>
      <c r="T79" s="125"/>
      <c r="U79" s="125"/>
      <c r="V79" s="125"/>
      <c r="W79" s="125"/>
      <c r="X79" s="125"/>
      <c r="Y79" s="125"/>
      <c r="Z79" s="125"/>
    </row>
    <row r="80" spans="1:26">
      <c r="A80" s="147">
        <v>73</v>
      </c>
      <c r="B80" s="148" t="str">
        <f t="shared" si="20"/>
        <v>7-й год 1-й мес</v>
      </c>
      <c r="C80" s="149">
        <f t="shared" si="26"/>
        <v>43414</v>
      </c>
      <c r="D80" s="150">
        <f t="shared" si="16"/>
        <v>0</v>
      </c>
      <c r="E80" s="151">
        <f t="shared" si="21"/>
        <v>0</v>
      </c>
      <c r="F80" s="151">
        <f t="shared" si="27"/>
        <v>0</v>
      </c>
      <c r="G80" s="152">
        <f t="shared" si="22"/>
        <v>0</v>
      </c>
      <c r="H80" s="153">
        <f t="shared" si="17"/>
        <v>0</v>
      </c>
      <c r="I80" s="151">
        <f t="shared" si="28"/>
        <v>0</v>
      </c>
      <c r="J80" s="151">
        <f t="shared" si="23"/>
        <v>0</v>
      </c>
      <c r="K80" s="154">
        <f t="shared" si="24"/>
        <v>0</v>
      </c>
      <c r="L80" s="167"/>
      <c r="M80" s="168"/>
      <c r="N80" s="155">
        <f t="shared" si="18"/>
        <v>7</v>
      </c>
      <c r="O80" s="123">
        <f t="shared" si="25"/>
        <v>24</v>
      </c>
      <c r="P80" s="124">
        <f t="shared" si="19"/>
        <v>0</v>
      </c>
      <c r="Q80" s="125"/>
      <c r="R80" s="125"/>
      <c r="S80" s="125"/>
      <c r="T80" s="125"/>
      <c r="U80" s="125"/>
      <c r="V80" s="125"/>
      <c r="W80" s="125"/>
      <c r="X80" s="125"/>
      <c r="Y80" s="125"/>
      <c r="Z80" s="125"/>
    </row>
    <row r="81" spans="1:26">
      <c r="A81" s="147">
        <v>74</v>
      </c>
      <c r="B81" s="148" t="str">
        <f t="shared" si="20"/>
        <v>7-й год 2-й мес</v>
      </c>
      <c r="C81" s="149">
        <f t="shared" si="26"/>
        <v>43444</v>
      </c>
      <c r="D81" s="150">
        <f t="shared" si="16"/>
        <v>0</v>
      </c>
      <c r="E81" s="151">
        <f t="shared" si="21"/>
        <v>0</v>
      </c>
      <c r="F81" s="151">
        <f t="shared" si="27"/>
        <v>0</v>
      </c>
      <c r="G81" s="152">
        <f t="shared" si="22"/>
        <v>0</v>
      </c>
      <c r="H81" s="153">
        <f t="shared" si="17"/>
        <v>0</v>
      </c>
      <c r="I81" s="151">
        <f t="shared" si="28"/>
        <v>0</v>
      </c>
      <c r="J81" s="151">
        <f t="shared" si="23"/>
        <v>0</v>
      </c>
      <c r="K81" s="154">
        <f t="shared" si="24"/>
        <v>0</v>
      </c>
      <c r="L81" s="167"/>
      <c r="M81" s="168"/>
      <c r="N81" s="155">
        <f t="shared" si="18"/>
        <v>7</v>
      </c>
      <c r="O81" s="123">
        <f t="shared" si="25"/>
        <v>24</v>
      </c>
      <c r="P81" s="124">
        <f t="shared" si="19"/>
        <v>0</v>
      </c>
      <c r="Q81" s="125"/>
      <c r="R81" s="125"/>
      <c r="S81" s="125"/>
      <c r="T81" s="125"/>
      <c r="U81" s="125"/>
      <c r="V81" s="125"/>
      <c r="W81" s="125"/>
      <c r="X81" s="125"/>
      <c r="Y81" s="125"/>
      <c r="Z81" s="125"/>
    </row>
    <row r="82" spans="1:26">
      <c r="A82" s="147">
        <v>75</v>
      </c>
      <c r="B82" s="148" t="str">
        <f t="shared" si="20"/>
        <v>7-й год 3-й мес</v>
      </c>
      <c r="C82" s="149">
        <f t="shared" si="26"/>
        <v>43475</v>
      </c>
      <c r="D82" s="150">
        <f t="shared" si="16"/>
        <v>0</v>
      </c>
      <c r="E82" s="151">
        <f t="shared" si="21"/>
        <v>0</v>
      </c>
      <c r="F82" s="151">
        <f t="shared" si="27"/>
        <v>0</v>
      </c>
      <c r="G82" s="152">
        <f t="shared" si="22"/>
        <v>0</v>
      </c>
      <c r="H82" s="153">
        <f t="shared" si="17"/>
        <v>0</v>
      </c>
      <c r="I82" s="151">
        <f t="shared" si="28"/>
        <v>0</v>
      </c>
      <c r="J82" s="151">
        <f t="shared" si="23"/>
        <v>0</v>
      </c>
      <c r="K82" s="154">
        <f t="shared" si="24"/>
        <v>0</v>
      </c>
      <c r="L82" s="167"/>
      <c r="M82" s="168"/>
      <c r="N82" s="155">
        <f t="shared" si="18"/>
        <v>7</v>
      </c>
      <c r="O82" s="123">
        <f t="shared" si="25"/>
        <v>24</v>
      </c>
      <c r="P82" s="124">
        <f t="shared" si="19"/>
        <v>0</v>
      </c>
      <c r="Q82" s="125"/>
      <c r="R82" s="125"/>
      <c r="S82" s="125"/>
      <c r="T82" s="125"/>
      <c r="U82" s="125"/>
      <c r="V82" s="125"/>
      <c r="W82" s="125"/>
      <c r="X82" s="125"/>
      <c r="Y82" s="125"/>
      <c r="Z82" s="125"/>
    </row>
    <row r="83" spans="1:26">
      <c r="A83" s="147">
        <v>76</v>
      </c>
      <c r="B83" s="148" t="str">
        <f t="shared" si="20"/>
        <v>7-й год 4-й мес</v>
      </c>
      <c r="C83" s="149">
        <f t="shared" si="26"/>
        <v>43506</v>
      </c>
      <c r="D83" s="150">
        <f t="shared" si="16"/>
        <v>0</v>
      </c>
      <c r="E83" s="151">
        <f t="shared" si="21"/>
        <v>0</v>
      </c>
      <c r="F83" s="151">
        <f t="shared" si="27"/>
        <v>0</v>
      </c>
      <c r="G83" s="152">
        <f t="shared" si="22"/>
        <v>0</v>
      </c>
      <c r="H83" s="153">
        <f t="shared" si="17"/>
        <v>0</v>
      </c>
      <c r="I83" s="151">
        <f t="shared" si="28"/>
        <v>0</v>
      </c>
      <c r="J83" s="151">
        <f t="shared" si="23"/>
        <v>0</v>
      </c>
      <c r="K83" s="154">
        <f t="shared" si="24"/>
        <v>0</v>
      </c>
      <c r="L83" s="167"/>
      <c r="M83" s="168"/>
      <c r="N83" s="155">
        <f t="shared" si="18"/>
        <v>7</v>
      </c>
      <c r="O83" s="123">
        <f t="shared" si="25"/>
        <v>24</v>
      </c>
      <c r="P83" s="124">
        <f t="shared" si="19"/>
        <v>0</v>
      </c>
      <c r="Q83" s="125"/>
      <c r="R83" s="125"/>
      <c r="S83" s="125"/>
      <c r="T83" s="125"/>
      <c r="U83" s="125"/>
      <c r="V83" s="125"/>
      <c r="W83" s="125"/>
      <c r="X83" s="125"/>
      <c r="Y83" s="125"/>
      <c r="Z83" s="125"/>
    </row>
    <row r="84" spans="1:26">
      <c r="A84" s="147">
        <v>77</v>
      </c>
      <c r="B84" s="148" t="str">
        <f t="shared" si="20"/>
        <v>7-й год 5-й мес</v>
      </c>
      <c r="C84" s="149">
        <f t="shared" si="26"/>
        <v>43534</v>
      </c>
      <c r="D84" s="150">
        <f t="shared" si="16"/>
        <v>0</v>
      </c>
      <c r="E84" s="151">
        <f t="shared" si="21"/>
        <v>0</v>
      </c>
      <c r="F84" s="151">
        <f t="shared" si="27"/>
        <v>0</v>
      </c>
      <c r="G84" s="152">
        <f t="shared" si="22"/>
        <v>0</v>
      </c>
      <c r="H84" s="153">
        <f t="shared" si="17"/>
        <v>0</v>
      </c>
      <c r="I84" s="151">
        <f t="shared" si="28"/>
        <v>0</v>
      </c>
      <c r="J84" s="151">
        <f t="shared" si="23"/>
        <v>0</v>
      </c>
      <c r="K84" s="154">
        <f t="shared" si="24"/>
        <v>0</v>
      </c>
      <c r="L84" s="167"/>
      <c r="M84" s="168"/>
      <c r="N84" s="155">
        <f t="shared" si="18"/>
        <v>7</v>
      </c>
      <c r="O84" s="123">
        <f t="shared" si="25"/>
        <v>24</v>
      </c>
      <c r="P84" s="124">
        <f t="shared" si="19"/>
        <v>0</v>
      </c>
      <c r="Q84" s="125"/>
      <c r="R84" s="125"/>
      <c r="S84" s="125"/>
      <c r="T84" s="125"/>
      <c r="U84" s="125"/>
      <c r="V84" s="125"/>
      <c r="W84" s="125"/>
      <c r="X84" s="125"/>
      <c r="Y84" s="125"/>
      <c r="Z84" s="125"/>
    </row>
    <row r="85" spans="1:26">
      <c r="A85" s="147">
        <v>78</v>
      </c>
      <c r="B85" s="148" t="str">
        <f t="shared" si="20"/>
        <v>7-й год 6-й мес</v>
      </c>
      <c r="C85" s="149">
        <f t="shared" si="26"/>
        <v>43565</v>
      </c>
      <c r="D85" s="150">
        <f t="shared" si="16"/>
        <v>0</v>
      </c>
      <c r="E85" s="151">
        <f t="shared" si="21"/>
        <v>0</v>
      </c>
      <c r="F85" s="151">
        <f t="shared" si="27"/>
        <v>0</v>
      </c>
      <c r="G85" s="152">
        <f t="shared" si="22"/>
        <v>0</v>
      </c>
      <c r="H85" s="153">
        <f t="shared" si="17"/>
        <v>0</v>
      </c>
      <c r="I85" s="151">
        <f t="shared" si="28"/>
        <v>0</v>
      </c>
      <c r="J85" s="151">
        <f t="shared" si="23"/>
        <v>0</v>
      </c>
      <c r="K85" s="154">
        <f t="shared" si="24"/>
        <v>0</v>
      </c>
      <c r="L85" s="167"/>
      <c r="M85" s="168"/>
      <c r="N85" s="155">
        <f t="shared" si="18"/>
        <v>7</v>
      </c>
      <c r="O85" s="123">
        <f t="shared" si="25"/>
        <v>24</v>
      </c>
      <c r="P85" s="124">
        <f t="shared" si="19"/>
        <v>0</v>
      </c>
      <c r="Q85" s="125"/>
      <c r="R85" s="125"/>
      <c r="S85" s="125"/>
      <c r="T85" s="125"/>
      <c r="U85" s="125"/>
      <c r="V85" s="125"/>
      <c r="W85" s="125"/>
      <c r="X85" s="125"/>
      <c r="Y85" s="125"/>
      <c r="Z85" s="125"/>
    </row>
    <row r="86" spans="1:26">
      <c r="A86" s="147">
        <v>79</v>
      </c>
      <c r="B86" s="148" t="str">
        <f t="shared" si="20"/>
        <v>7-й год 7-й мес</v>
      </c>
      <c r="C86" s="149">
        <f t="shared" si="26"/>
        <v>43595</v>
      </c>
      <c r="D86" s="150">
        <f t="shared" si="16"/>
        <v>0</v>
      </c>
      <c r="E86" s="151">
        <f t="shared" si="21"/>
        <v>0</v>
      </c>
      <c r="F86" s="151">
        <f t="shared" si="27"/>
        <v>0</v>
      </c>
      <c r="G86" s="152">
        <f t="shared" si="22"/>
        <v>0</v>
      </c>
      <c r="H86" s="153">
        <f t="shared" si="17"/>
        <v>0</v>
      </c>
      <c r="I86" s="151">
        <f t="shared" si="28"/>
        <v>0</v>
      </c>
      <c r="J86" s="151">
        <f t="shared" si="23"/>
        <v>0</v>
      </c>
      <c r="K86" s="154">
        <f t="shared" si="24"/>
        <v>0</v>
      </c>
      <c r="L86" s="167"/>
      <c r="M86" s="168"/>
      <c r="N86" s="155">
        <f t="shared" si="18"/>
        <v>7</v>
      </c>
      <c r="O86" s="123">
        <f t="shared" si="25"/>
        <v>24</v>
      </c>
      <c r="P86" s="124">
        <f t="shared" si="19"/>
        <v>0</v>
      </c>
      <c r="Q86" s="125"/>
      <c r="R86" s="125"/>
      <c r="S86" s="125"/>
      <c r="T86" s="125"/>
      <c r="U86" s="125"/>
      <c r="V86" s="125"/>
      <c r="W86" s="125"/>
      <c r="X86" s="125"/>
      <c r="Y86" s="125"/>
      <c r="Z86" s="125"/>
    </row>
    <row r="87" spans="1:26">
      <c r="A87" s="147">
        <v>80</v>
      </c>
      <c r="B87" s="148" t="str">
        <f t="shared" si="20"/>
        <v>7-й год 8-й мес</v>
      </c>
      <c r="C87" s="149">
        <f t="shared" si="26"/>
        <v>43626</v>
      </c>
      <c r="D87" s="150">
        <f t="shared" si="16"/>
        <v>0</v>
      </c>
      <c r="E87" s="151">
        <f t="shared" si="21"/>
        <v>0</v>
      </c>
      <c r="F87" s="151">
        <f t="shared" si="27"/>
        <v>0</v>
      </c>
      <c r="G87" s="152">
        <f t="shared" si="22"/>
        <v>0</v>
      </c>
      <c r="H87" s="153">
        <f t="shared" si="17"/>
        <v>0</v>
      </c>
      <c r="I87" s="151">
        <f t="shared" si="28"/>
        <v>0</v>
      </c>
      <c r="J87" s="151">
        <f t="shared" si="23"/>
        <v>0</v>
      </c>
      <c r="K87" s="154">
        <f t="shared" si="24"/>
        <v>0</v>
      </c>
      <c r="L87" s="167"/>
      <c r="M87" s="168"/>
      <c r="N87" s="155">
        <f t="shared" si="18"/>
        <v>7</v>
      </c>
      <c r="O87" s="123">
        <f t="shared" si="25"/>
        <v>24</v>
      </c>
      <c r="P87" s="124">
        <f t="shared" si="19"/>
        <v>0</v>
      </c>
      <c r="Q87" s="125"/>
      <c r="R87" s="125"/>
      <c r="S87" s="125"/>
      <c r="T87" s="125"/>
      <c r="U87" s="125"/>
      <c r="V87" s="125"/>
      <c r="W87" s="125"/>
      <c r="X87" s="125"/>
      <c r="Y87" s="125"/>
      <c r="Z87" s="125"/>
    </row>
    <row r="88" spans="1:26">
      <c r="A88" s="147">
        <v>81</v>
      </c>
      <c r="B88" s="148" t="str">
        <f t="shared" si="20"/>
        <v>7-й год 9-й мес</v>
      </c>
      <c r="C88" s="149">
        <f t="shared" si="26"/>
        <v>43656</v>
      </c>
      <c r="D88" s="150">
        <f t="shared" si="16"/>
        <v>0</v>
      </c>
      <c r="E88" s="151">
        <f t="shared" si="21"/>
        <v>0</v>
      </c>
      <c r="F88" s="151">
        <f t="shared" si="27"/>
        <v>0</v>
      </c>
      <c r="G88" s="152">
        <f t="shared" si="22"/>
        <v>0</v>
      </c>
      <c r="H88" s="153">
        <f t="shared" si="17"/>
        <v>0</v>
      </c>
      <c r="I88" s="151">
        <f t="shared" si="28"/>
        <v>0</v>
      </c>
      <c r="J88" s="151">
        <f t="shared" si="23"/>
        <v>0</v>
      </c>
      <c r="K88" s="154">
        <f t="shared" si="24"/>
        <v>0</v>
      </c>
      <c r="L88" s="167"/>
      <c r="M88" s="168"/>
      <c r="N88" s="155">
        <f t="shared" si="18"/>
        <v>7</v>
      </c>
      <c r="O88" s="123">
        <f t="shared" si="25"/>
        <v>24</v>
      </c>
      <c r="P88" s="124">
        <f t="shared" si="19"/>
        <v>0</v>
      </c>
      <c r="Q88" s="125"/>
      <c r="R88" s="125"/>
      <c r="S88" s="125"/>
      <c r="T88" s="125"/>
      <c r="U88" s="125"/>
      <c r="V88" s="125"/>
      <c r="W88" s="125"/>
      <c r="X88" s="125"/>
      <c r="Y88" s="125"/>
      <c r="Z88" s="125"/>
    </row>
    <row r="89" spans="1:26">
      <c r="A89" s="147">
        <v>82</v>
      </c>
      <c r="B89" s="148" t="str">
        <f t="shared" si="20"/>
        <v>7-й год 10-й мес</v>
      </c>
      <c r="C89" s="149">
        <f t="shared" si="26"/>
        <v>43687</v>
      </c>
      <c r="D89" s="150">
        <f t="shared" si="16"/>
        <v>0</v>
      </c>
      <c r="E89" s="151">
        <f t="shared" si="21"/>
        <v>0</v>
      </c>
      <c r="F89" s="151">
        <f t="shared" si="27"/>
        <v>0</v>
      </c>
      <c r="G89" s="152">
        <f t="shared" si="22"/>
        <v>0</v>
      </c>
      <c r="H89" s="153">
        <f t="shared" si="17"/>
        <v>0</v>
      </c>
      <c r="I89" s="151">
        <f t="shared" si="28"/>
        <v>0</v>
      </c>
      <c r="J89" s="151">
        <f t="shared" si="23"/>
        <v>0</v>
      </c>
      <c r="K89" s="154">
        <f t="shared" si="24"/>
        <v>0</v>
      </c>
      <c r="L89" s="167"/>
      <c r="M89" s="168"/>
      <c r="N89" s="155">
        <f t="shared" si="18"/>
        <v>7</v>
      </c>
      <c r="O89" s="123">
        <f t="shared" si="25"/>
        <v>24</v>
      </c>
      <c r="P89" s="124">
        <f t="shared" si="19"/>
        <v>0</v>
      </c>
      <c r="Q89" s="125"/>
      <c r="R89" s="125"/>
      <c r="S89" s="125"/>
      <c r="T89" s="125"/>
      <c r="U89" s="125"/>
      <c r="V89" s="125"/>
      <c r="W89" s="125"/>
      <c r="X89" s="125"/>
      <c r="Y89" s="125"/>
      <c r="Z89" s="125"/>
    </row>
    <row r="90" spans="1:26">
      <c r="A90" s="147">
        <v>83</v>
      </c>
      <c r="B90" s="148" t="str">
        <f t="shared" si="20"/>
        <v>7-й год 11-й мес</v>
      </c>
      <c r="C90" s="149">
        <f t="shared" si="26"/>
        <v>43718</v>
      </c>
      <c r="D90" s="150">
        <f t="shared" si="16"/>
        <v>0</v>
      </c>
      <c r="E90" s="151">
        <f t="shared" si="21"/>
        <v>0</v>
      </c>
      <c r="F90" s="151">
        <f t="shared" si="27"/>
        <v>0</v>
      </c>
      <c r="G90" s="152">
        <f t="shared" si="22"/>
        <v>0</v>
      </c>
      <c r="H90" s="153">
        <f t="shared" si="17"/>
        <v>0</v>
      </c>
      <c r="I90" s="151">
        <f t="shared" si="28"/>
        <v>0</v>
      </c>
      <c r="J90" s="151">
        <f t="shared" si="23"/>
        <v>0</v>
      </c>
      <c r="K90" s="154">
        <f t="shared" si="24"/>
        <v>0</v>
      </c>
      <c r="L90" s="167"/>
      <c r="M90" s="168"/>
      <c r="N90" s="155">
        <f t="shared" si="18"/>
        <v>7</v>
      </c>
      <c r="O90" s="123">
        <f t="shared" si="25"/>
        <v>24</v>
      </c>
      <c r="P90" s="124">
        <f t="shared" si="19"/>
        <v>0</v>
      </c>
      <c r="Q90" s="125"/>
      <c r="R90" s="125"/>
      <c r="S90" s="125"/>
      <c r="T90" s="125"/>
      <c r="U90" s="125"/>
      <c r="V90" s="125"/>
      <c r="W90" s="125"/>
      <c r="X90" s="125"/>
      <c r="Y90" s="125"/>
      <c r="Z90" s="125"/>
    </row>
    <row r="91" spans="1:26">
      <c r="A91" s="147">
        <v>84</v>
      </c>
      <c r="B91" s="148" t="str">
        <f t="shared" si="20"/>
        <v>7-й год 12-й мес</v>
      </c>
      <c r="C91" s="149">
        <f t="shared" si="26"/>
        <v>43748</v>
      </c>
      <c r="D91" s="150">
        <f t="shared" si="16"/>
        <v>0</v>
      </c>
      <c r="E91" s="151">
        <f t="shared" si="21"/>
        <v>0</v>
      </c>
      <c r="F91" s="151">
        <f t="shared" si="27"/>
        <v>0</v>
      </c>
      <c r="G91" s="152">
        <f t="shared" si="22"/>
        <v>0</v>
      </c>
      <c r="H91" s="153">
        <f t="shared" si="17"/>
        <v>0</v>
      </c>
      <c r="I91" s="151">
        <f t="shared" si="28"/>
        <v>0</v>
      </c>
      <c r="J91" s="151">
        <f t="shared" si="23"/>
        <v>0</v>
      </c>
      <c r="K91" s="154">
        <f t="shared" si="24"/>
        <v>0</v>
      </c>
      <c r="L91" s="167"/>
      <c r="M91" s="168"/>
      <c r="N91" s="155">
        <f t="shared" si="18"/>
        <v>7</v>
      </c>
      <c r="O91" s="123">
        <f t="shared" si="25"/>
        <v>24</v>
      </c>
      <c r="P91" s="124">
        <f t="shared" si="19"/>
        <v>0</v>
      </c>
      <c r="Q91" s="125"/>
      <c r="R91" s="125"/>
      <c r="S91" s="125"/>
      <c r="T91" s="125"/>
      <c r="U91" s="125"/>
      <c r="V91" s="125"/>
      <c r="W91" s="125"/>
      <c r="X91" s="125"/>
      <c r="Y91" s="125"/>
      <c r="Z91" s="125"/>
    </row>
    <row r="92" spans="1:26">
      <c r="A92" s="156">
        <v>85</v>
      </c>
      <c r="B92" s="148" t="str">
        <f t="shared" si="20"/>
        <v>8-й год 1-й мес</v>
      </c>
      <c r="C92" s="149">
        <f t="shared" si="26"/>
        <v>43779</v>
      </c>
      <c r="D92" s="150">
        <f t="shared" si="16"/>
        <v>0</v>
      </c>
      <c r="E92" s="157">
        <f t="shared" si="21"/>
        <v>0</v>
      </c>
      <c r="F92" s="151">
        <f t="shared" si="27"/>
        <v>0</v>
      </c>
      <c r="G92" s="158">
        <f t="shared" si="22"/>
        <v>0</v>
      </c>
      <c r="H92" s="159">
        <f t="shared" si="17"/>
        <v>0</v>
      </c>
      <c r="I92" s="157">
        <f t="shared" si="28"/>
        <v>0</v>
      </c>
      <c r="J92" s="157">
        <f t="shared" si="23"/>
        <v>0</v>
      </c>
      <c r="K92" s="160">
        <f t="shared" si="24"/>
        <v>0</v>
      </c>
      <c r="L92" s="169"/>
      <c r="M92" s="168"/>
      <c r="N92" s="155">
        <f t="shared" si="18"/>
        <v>7</v>
      </c>
      <c r="O92" s="123">
        <f t="shared" si="25"/>
        <v>24</v>
      </c>
      <c r="P92" s="124">
        <f t="shared" si="19"/>
        <v>0</v>
      </c>
      <c r="Q92" s="125"/>
      <c r="R92" s="125"/>
      <c r="S92" s="125"/>
      <c r="T92" s="125"/>
      <c r="U92" s="125"/>
      <c r="V92" s="125"/>
      <c r="W92" s="125"/>
      <c r="X92" s="125"/>
      <c r="Y92" s="125"/>
      <c r="Z92" s="125"/>
    </row>
    <row r="93" spans="1:26">
      <c r="A93" s="161">
        <v>86</v>
      </c>
      <c r="B93" s="148" t="str">
        <f t="shared" si="20"/>
        <v>8-й год 2-й мес</v>
      </c>
      <c r="C93" s="149">
        <f t="shared" si="26"/>
        <v>43809</v>
      </c>
      <c r="D93" s="150">
        <f t="shared" si="16"/>
        <v>0</v>
      </c>
      <c r="E93" s="151">
        <f t="shared" si="21"/>
        <v>0</v>
      </c>
      <c r="F93" s="151">
        <f t="shared" si="27"/>
        <v>0</v>
      </c>
      <c r="G93" s="152">
        <f t="shared" si="22"/>
        <v>0</v>
      </c>
      <c r="H93" s="153">
        <f t="shared" si="17"/>
        <v>0</v>
      </c>
      <c r="I93" s="151">
        <f t="shared" si="28"/>
        <v>0</v>
      </c>
      <c r="J93" s="151">
        <f t="shared" si="23"/>
        <v>0</v>
      </c>
      <c r="K93" s="154">
        <f t="shared" si="24"/>
        <v>0</v>
      </c>
      <c r="L93" s="167"/>
      <c r="M93" s="168"/>
      <c r="N93" s="155">
        <f t="shared" si="18"/>
        <v>7</v>
      </c>
      <c r="O93" s="123">
        <f t="shared" si="25"/>
        <v>24</v>
      </c>
      <c r="P93" s="124">
        <f t="shared" si="19"/>
        <v>0</v>
      </c>
      <c r="Q93" s="125"/>
      <c r="R93" s="125"/>
      <c r="S93" s="125"/>
      <c r="T93" s="125"/>
      <c r="U93" s="125"/>
      <c r="V93" s="125"/>
      <c r="W93" s="125"/>
      <c r="X93" s="125"/>
      <c r="Y93" s="125"/>
      <c r="Z93" s="125"/>
    </row>
    <row r="94" spans="1:26">
      <c r="A94" s="161">
        <v>87</v>
      </c>
      <c r="B94" s="148" t="str">
        <f t="shared" si="20"/>
        <v>8-й год 3-й мес</v>
      </c>
      <c r="C94" s="149">
        <f t="shared" si="26"/>
        <v>43840</v>
      </c>
      <c r="D94" s="150">
        <f t="shared" si="16"/>
        <v>0</v>
      </c>
      <c r="E94" s="151">
        <f t="shared" si="21"/>
        <v>0</v>
      </c>
      <c r="F94" s="151">
        <f t="shared" si="27"/>
        <v>0</v>
      </c>
      <c r="G94" s="152">
        <f t="shared" si="22"/>
        <v>0</v>
      </c>
      <c r="H94" s="153">
        <f t="shared" si="17"/>
        <v>0</v>
      </c>
      <c r="I94" s="151">
        <f t="shared" si="28"/>
        <v>0</v>
      </c>
      <c r="J94" s="151">
        <f t="shared" si="23"/>
        <v>0</v>
      </c>
      <c r="K94" s="154">
        <f t="shared" si="24"/>
        <v>0</v>
      </c>
      <c r="L94" s="167"/>
      <c r="M94" s="168"/>
      <c r="N94" s="155">
        <f t="shared" si="18"/>
        <v>7</v>
      </c>
      <c r="O94" s="123">
        <f t="shared" si="25"/>
        <v>24</v>
      </c>
      <c r="P94" s="124">
        <f t="shared" si="19"/>
        <v>0</v>
      </c>
      <c r="Q94" s="125"/>
      <c r="R94" s="125"/>
      <c r="S94" s="125"/>
      <c r="T94" s="125"/>
      <c r="U94" s="125"/>
      <c r="V94" s="125"/>
      <c r="W94" s="125"/>
      <c r="X94" s="125"/>
      <c r="Y94" s="125"/>
      <c r="Z94" s="125"/>
    </row>
    <row r="95" spans="1:26">
      <c r="A95" s="161">
        <v>88</v>
      </c>
      <c r="B95" s="148" t="str">
        <f t="shared" si="20"/>
        <v>8-й год 4-й мес</v>
      </c>
      <c r="C95" s="149">
        <f t="shared" si="26"/>
        <v>43871</v>
      </c>
      <c r="D95" s="150">
        <f t="shared" si="16"/>
        <v>0</v>
      </c>
      <c r="E95" s="151">
        <f t="shared" si="21"/>
        <v>0</v>
      </c>
      <c r="F95" s="151">
        <f t="shared" si="27"/>
        <v>0</v>
      </c>
      <c r="G95" s="152">
        <f t="shared" si="22"/>
        <v>0</v>
      </c>
      <c r="H95" s="153">
        <f t="shared" si="17"/>
        <v>0</v>
      </c>
      <c r="I95" s="151">
        <f t="shared" si="28"/>
        <v>0</v>
      </c>
      <c r="J95" s="151">
        <f t="shared" si="23"/>
        <v>0</v>
      </c>
      <c r="K95" s="154">
        <f t="shared" si="24"/>
        <v>0</v>
      </c>
      <c r="L95" s="167"/>
      <c r="M95" s="168"/>
      <c r="N95" s="155">
        <f t="shared" si="18"/>
        <v>7</v>
      </c>
      <c r="O95" s="123">
        <f t="shared" si="25"/>
        <v>24</v>
      </c>
      <c r="P95" s="124">
        <f t="shared" si="19"/>
        <v>0</v>
      </c>
      <c r="Q95" s="125"/>
      <c r="R95" s="125"/>
      <c r="S95" s="125"/>
      <c r="T95" s="125"/>
      <c r="U95" s="125"/>
      <c r="V95" s="125"/>
      <c r="W95" s="125"/>
      <c r="X95" s="125"/>
      <c r="Y95" s="125"/>
      <c r="Z95" s="125"/>
    </row>
    <row r="96" spans="1:26">
      <c r="A96" s="161">
        <v>89</v>
      </c>
      <c r="B96" s="148" t="str">
        <f t="shared" si="20"/>
        <v>8-й год 5-й мес</v>
      </c>
      <c r="C96" s="149">
        <f t="shared" si="26"/>
        <v>43900</v>
      </c>
      <c r="D96" s="150">
        <f t="shared" si="16"/>
        <v>0</v>
      </c>
      <c r="E96" s="151">
        <f t="shared" si="21"/>
        <v>0</v>
      </c>
      <c r="F96" s="151">
        <f t="shared" si="27"/>
        <v>0</v>
      </c>
      <c r="G96" s="152">
        <f t="shared" si="22"/>
        <v>0</v>
      </c>
      <c r="H96" s="153">
        <f t="shared" si="17"/>
        <v>0</v>
      </c>
      <c r="I96" s="151">
        <f t="shared" si="28"/>
        <v>0</v>
      </c>
      <c r="J96" s="151">
        <f t="shared" si="23"/>
        <v>0</v>
      </c>
      <c r="K96" s="154">
        <f t="shared" si="24"/>
        <v>0</v>
      </c>
      <c r="L96" s="167"/>
      <c r="M96" s="168"/>
      <c r="N96" s="155">
        <f t="shared" si="18"/>
        <v>7</v>
      </c>
      <c r="O96" s="123">
        <f t="shared" si="25"/>
        <v>24</v>
      </c>
      <c r="P96" s="124">
        <f t="shared" si="19"/>
        <v>0</v>
      </c>
      <c r="Q96" s="125"/>
      <c r="R96" s="125"/>
      <c r="S96" s="125"/>
      <c r="T96" s="125"/>
      <c r="U96" s="125"/>
      <c r="V96" s="125"/>
      <c r="W96" s="125"/>
      <c r="X96" s="125"/>
      <c r="Y96" s="125"/>
      <c r="Z96" s="125"/>
    </row>
    <row r="97" spans="1:26">
      <c r="A97" s="161">
        <v>90</v>
      </c>
      <c r="B97" s="148" t="str">
        <f t="shared" si="20"/>
        <v>8-й год 6-й мес</v>
      </c>
      <c r="C97" s="149">
        <f t="shared" si="26"/>
        <v>43931</v>
      </c>
      <c r="D97" s="150">
        <f t="shared" si="16"/>
        <v>0</v>
      </c>
      <c r="E97" s="151">
        <f t="shared" si="21"/>
        <v>0</v>
      </c>
      <c r="F97" s="151">
        <f t="shared" si="27"/>
        <v>0</v>
      </c>
      <c r="G97" s="152">
        <f t="shared" si="22"/>
        <v>0</v>
      </c>
      <c r="H97" s="153">
        <f t="shared" si="17"/>
        <v>0</v>
      </c>
      <c r="I97" s="151">
        <f t="shared" si="28"/>
        <v>0</v>
      </c>
      <c r="J97" s="151">
        <f t="shared" si="23"/>
        <v>0</v>
      </c>
      <c r="K97" s="154">
        <f t="shared" si="24"/>
        <v>0</v>
      </c>
      <c r="L97" s="167"/>
      <c r="M97" s="168"/>
      <c r="N97" s="155">
        <f t="shared" si="18"/>
        <v>7</v>
      </c>
      <c r="O97" s="123">
        <f t="shared" si="25"/>
        <v>24</v>
      </c>
      <c r="P97" s="124">
        <f t="shared" si="19"/>
        <v>0</v>
      </c>
      <c r="Q97" s="125"/>
      <c r="R97" s="125"/>
      <c r="S97" s="125"/>
      <c r="T97" s="125"/>
      <c r="U97" s="125"/>
      <c r="V97" s="125"/>
      <c r="W97" s="125"/>
      <c r="X97" s="125"/>
      <c r="Y97" s="125"/>
      <c r="Z97" s="125"/>
    </row>
    <row r="98" spans="1:26">
      <c r="A98" s="161">
        <v>91</v>
      </c>
      <c r="B98" s="148" t="str">
        <f t="shared" si="20"/>
        <v>8-й год 7-й мес</v>
      </c>
      <c r="C98" s="149">
        <f t="shared" si="26"/>
        <v>43961</v>
      </c>
      <c r="D98" s="150">
        <f t="shared" si="16"/>
        <v>0</v>
      </c>
      <c r="E98" s="151">
        <f t="shared" si="21"/>
        <v>0</v>
      </c>
      <c r="F98" s="151">
        <f t="shared" si="27"/>
        <v>0</v>
      </c>
      <c r="G98" s="152">
        <f t="shared" si="22"/>
        <v>0</v>
      </c>
      <c r="H98" s="153">
        <f t="shared" si="17"/>
        <v>0</v>
      </c>
      <c r="I98" s="151">
        <f t="shared" si="28"/>
        <v>0</v>
      </c>
      <c r="J98" s="151">
        <f t="shared" si="23"/>
        <v>0</v>
      </c>
      <c r="K98" s="154">
        <f t="shared" si="24"/>
        <v>0</v>
      </c>
      <c r="L98" s="167"/>
      <c r="M98" s="168"/>
      <c r="N98" s="155">
        <f t="shared" si="18"/>
        <v>7</v>
      </c>
      <c r="O98" s="123">
        <f t="shared" si="25"/>
        <v>24</v>
      </c>
      <c r="P98" s="124">
        <f t="shared" si="19"/>
        <v>0</v>
      </c>
      <c r="Q98" s="125"/>
      <c r="R98" s="125"/>
      <c r="S98" s="125"/>
      <c r="T98" s="125"/>
      <c r="U98" s="125"/>
      <c r="V98" s="125"/>
      <c r="W98" s="125"/>
      <c r="X98" s="125"/>
      <c r="Y98" s="125"/>
      <c r="Z98" s="125"/>
    </row>
    <row r="99" spans="1:26">
      <c r="A99" s="161">
        <v>92</v>
      </c>
      <c r="B99" s="148" t="str">
        <f t="shared" si="20"/>
        <v>8-й год 8-й мес</v>
      </c>
      <c r="C99" s="149">
        <f t="shared" si="26"/>
        <v>43992</v>
      </c>
      <c r="D99" s="150">
        <f t="shared" si="16"/>
        <v>0</v>
      </c>
      <c r="E99" s="151">
        <f t="shared" si="21"/>
        <v>0</v>
      </c>
      <c r="F99" s="151">
        <f t="shared" si="27"/>
        <v>0</v>
      </c>
      <c r="G99" s="152">
        <f t="shared" si="22"/>
        <v>0</v>
      </c>
      <c r="H99" s="153">
        <f t="shared" si="17"/>
        <v>0</v>
      </c>
      <c r="I99" s="151">
        <f t="shared" si="28"/>
        <v>0</v>
      </c>
      <c r="J99" s="151">
        <f t="shared" si="23"/>
        <v>0</v>
      </c>
      <c r="K99" s="154">
        <f t="shared" si="24"/>
        <v>0</v>
      </c>
      <c r="L99" s="167"/>
      <c r="M99" s="168"/>
      <c r="N99" s="155">
        <f t="shared" si="18"/>
        <v>7</v>
      </c>
      <c r="O99" s="123">
        <f t="shared" si="25"/>
        <v>24</v>
      </c>
      <c r="P99" s="124">
        <f t="shared" si="19"/>
        <v>0</v>
      </c>
      <c r="Q99" s="125"/>
      <c r="R99" s="125"/>
      <c r="S99" s="125"/>
      <c r="T99" s="125"/>
      <c r="U99" s="125"/>
      <c r="V99" s="125"/>
      <c r="W99" s="125"/>
      <c r="X99" s="125"/>
      <c r="Y99" s="125"/>
      <c r="Z99" s="125"/>
    </row>
    <row r="100" spans="1:26">
      <c r="A100" s="161">
        <v>93</v>
      </c>
      <c r="B100" s="148" t="str">
        <f t="shared" si="20"/>
        <v>8-й год 9-й мес</v>
      </c>
      <c r="C100" s="149">
        <f t="shared" si="26"/>
        <v>44022</v>
      </c>
      <c r="D100" s="150">
        <f t="shared" si="16"/>
        <v>0</v>
      </c>
      <c r="E100" s="151">
        <f t="shared" si="21"/>
        <v>0</v>
      </c>
      <c r="F100" s="151">
        <f t="shared" si="27"/>
        <v>0</v>
      </c>
      <c r="G100" s="152">
        <f t="shared" si="22"/>
        <v>0</v>
      </c>
      <c r="H100" s="153">
        <f t="shared" si="17"/>
        <v>0</v>
      </c>
      <c r="I100" s="151">
        <f t="shared" si="28"/>
        <v>0</v>
      </c>
      <c r="J100" s="151">
        <f t="shared" si="23"/>
        <v>0</v>
      </c>
      <c r="K100" s="154">
        <f t="shared" si="24"/>
        <v>0</v>
      </c>
      <c r="L100" s="167"/>
      <c r="M100" s="168"/>
      <c r="N100" s="155">
        <f t="shared" si="18"/>
        <v>7</v>
      </c>
      <c r="O100" s="123">
        <f t="shared" si="25"/>
        <v>24</v>
      </c>
      <c r="P100" s="124">
        <f t="shared" si="19"/>
        <v>0</v>
      </c>
      <c r="Q100" s="125"/>
      <c r="R100" s="125"/>
      <c r="S100" s="125"/>
      <c r="T100" s="125"/>
      <c r="U100" s="125"/>
      <c r="V100" s="125"/>
      <c r="W100" s="125"/>
      <c r="X100" s="125"/>
      <c r="Y100" s="125"/>
      <c r="Z100" s="125"/>
    </row>
    <row r="101" spans="1:26">
      <c r="A101" s="161">
        <v>94</v>
      </c>
      <c r="B101" s="148" t="str">
        <f t="shared" si="20"/>
        <v>8-й год 10-й мес</v>
      </c>
      <c r="C101" s="149">
        <f t="shared" si="26"/>
        <v>44053</v>
      </c>
      <c r="D101" s="150">
        <f t="shared" si="16"/>
        <v>0</v>
      </c>
      <c r="E101" s="151">
        <f t="shared" si="21"/>
        <v>0</v>
      </c>
      <c r="F101" s="151">
        <f t="shared" si="27"/>
        <v>0</v>
      </c>
      <c r="G101" s="152">
        <f t="shared" si="22"/>
        <v>0</v>
      </c>
      <c r="H101" s="153">
        <f t="shared" si="17"/>
        <v>0</v>
      </c>
      <c r="I101" s="151">
        <f t="shared" si="28"/>
        <v>0</v>
      </c>
      <c r="J101" s="151">
        <f t="shared" si="23"/>
        <v>0</v>
      </c>
      <c r="K101" s="154">
        <f t="shared" si="24"/>
        <v>0</v>
      </c>
      <c r="L101" s="167"/>
      <c r="M101" s="168"/>
      <c r="N101" s="155">
        <f t="shared" si="18"/>
        <v>7</v>
      </c>
      <c r="O101" s="123">
        <f t="shared" si="25"/>
        <v>24</v>
      </c>
      <c r="P101" s="124">
        <f t="shared" si="19"/>
        <v>0</v>
      </c>
      <c r="Q101" s="125"/>
      <c r="R101" s="125"/>
      <c r="S101" s="125"/>
      <c r="T101" s="125"/>
      <c r="U101" s="125"/>
      <c r="V101" s="125"/>
      <c r="W101" s="125"/>
      <c r="X101" s="125"/>
      <c r="Y101" s="125"/>
      <c r="Z101" s="125"/>
    </row>
    <row r="102" spans="1:26">
      <c r="A102" s="161">
        <v>95</v>
      </c>
      <c r="B102" s="148" t="str">
        <f t="shared" si="20"/>
        <v>8-й год 11-й мес</v>
      </c>
      <c r="C102" s="149">
        <f t="shared" si="26"/>
        <v>44084</v>
      </c>
      <c r="D102" s="150">
        <f t="shared" si="16"/>
        <v>0</v>
      </c>
      <c r="E102" s="151">
        <f t="shared" si="21"/>
        <v>0</v>
      </c>
      <c r="F102" s="151">
        <f t="shared" si="27"/>
        <v>0</v>
      </c>
      <c r="G102" s="152">
        <f t="shared" si="22"/>
        <v>0</v>
      </c>
      <c r="H102" s="153">
        <f t="shared" si="17"/>
        <v>0</v>
      </c>
      <c r="I102" s="151">
        <f t="shared" si="28"/>
        <v>0</v>
      </c>
      <c r="J102" s="151">
        <f t="shared" si="23"/>
        <v>0</v>
      </c>
      <c r="K102" s="154">
        <f t="shared" si="24"/>
        <v>0</v>
      </c>
      <c r="L102" s="167"/>
      <c r="M102" s="168"/>
      <c r="N102" s="155">
        <f t="shared" si="18"/>
        <v>7</v>
      </c>
      <c r="O102" s="123">
        <f t="shared" si="25"/>
        <v>24</v>
      </c>
      <c r="P102" s="124">
        <f t="shared" si="19"/>
        <v>0</v>
      </c>
      <c r="Q102" s="125"/>
      <c r="R102" s="125"/>
      <c r="S102" s="125"/>
      <c r="T102" s="125"/>
      <c r="U102" s="125"/>
      <c r="V102" s="125"/>
      <c r="W102" s="125"/>
      <c r="X102" s="125"/>
      <c r="Y102" s="125"/>
      <c r="Z102" s="125"/>
    </row>
    <row r="103" spans="1:26">
      <c r="A103" s="162">
        <v>96</v>
      </c>
      <c r="B103" s="148" t="str">
        <f t="shared" si="20"/>
        <v>8-й год 12-й мес</v>
      </c>
      <c r="C103" s="149">
        <f t="shared" si="26"/>
        <v>44114</v>
      </c>
      <c r="D103" s="150">
        <f t="shared" si="16"/>
        <v>0</v>
      </c>
      <c r="E103" s="163">
        <f t="shared" si="21"/>
        <v>0</v>
      </c>
      <c r="F103" s="151">
        <f t="shared" si="27"/>
        <v>0</v>
      </c>
      <c r="G103" s="164">
        <f t="shared" si="22"/>
        <v>0</v>
      </c>
      <c r="H103" s="165">
        <f t="shared" si="17"/>
        <v>0</v>
      </c>
      <c r="I103" s="163">
        <f t="shared" si="28"/>
        <v>0</v>
      </c>
      <c r="J103" s="163">
        <f t="shared" si="23"/>
        <v>0</v>
      </c>
      <c r="K103" s="166">
        <f t="shared" si="24"/>
        <v>0</v>
      </c>
      <c r="L103" s="170"/>
      <c r="M103" s="168"/>
      <c r="N103" s="155">
        <f t="shared" si="18"/>
        <v>7</v>
      </c>
      <c r="O103" s="123">
        <f t="shared" si="25"/>
        <v>24</v>
      </c>
      <c r="P103" s="124">
        <f t="shared" si="19"/>
        <v>0</v>
      </c>
      <c r="Q103" s="125"/>
      <c r="R103" s="125"/>
      <c r="S103" s="125"/>
      <c r="T103" s="125"/>
      <c r="U103" s="125"/>
      <c r="V103" s="125"/>
      <c r="W103" s="125"/>
      <c r="X103" s="125"/>
      <c r="Y103" s="125"/>
      <c r="Z103" s="125"/>
    </row>
    <row r="104" spans="1:26">
      <c r="A104" s="147">
        <v>97</v>
      </c>
      <c r="B104" s="148" t="str">
        <f t="shared" si="20"/>
        <v>9-й год 1-й мес</v>
      </c>
      <c r="C104" s="149">
        <f t="shared" si="26"/>
        <v>44145</v>
      </c>
      <c r="D104" s="150">
        <f t="shared" si="16"/>
        <v>0</v>
      </c>
      <c r="E104" s="151">
        <f t="shared" si="21"/>
        <v>0</v>
      </c>
      <c r="F104" s="151">
        <f t="shared" si="27"/>
        <v>0</v>
      </c>
      <c r="G104" s="152">
        <f t="shared" si="22"/>
        <v>0</v>
      </c>
      <c r="H104" s="153">
        <f t="shared" si="17"/>
        <v>0</v>
      </c>
      <c r="I104" s="151">
        <f t="shared" si="28"/>
        <v>0</v>
      </c>
      <c r="J104" s="151">
        <f t="shared" si="23"/>
        <v>0</v>
      </c>
      <c r="K104" s="154">
        <f t="shared" si="24"/>
        <v>0</v>
      </c>
      <c r="L104" s="167"/>
      <c r="M104" s="168"/>
      <c r="N104" s="155">
        <f t="shared" si="18"/>
        <v>7</v>
      </c>
      <c r="O104" s="123">
        <f t="shared" si="25"/>
        <v>24</v>
      </c>
      <c r="P104" s="124">
        <f t="shared" si="19"/>
        <v>0</v>
      </c>
      <c r="Q104" s="125"/>
      <c r="R104" s="125"/>
      <c r="S104" s="125"/>
      <c r="T104" s="125"/>
      <c r="U104" s="125"/>
      <c r="V104" s="125"/>
      <c r="W104" s="125"/>
      <c r="X104" s="125"/>
      <c r="Y104" s="125"/>
      <c r="Z104" s="125"/>
    </row>
    <row r="105" spans="1:26">
      <c r="A105" s="147">
        <v>98</v>
      </c>
      <c r="B105" s="148" t="str">
        <f t="shared" si="20"/>
        <v>9-й год 2-й мес</v>
      </c>
      <c r="C105" s="149">
        <f t="shared" si="26"/>
        <v>44175</v>
      </c>
      <c r="D105" s="150">
        <f t="shared" si="16"/>
        <v>0</v>
      </c>
      <c r="E105" s="151">
        <f t="shared" si="21"/>
        <v>0</v>
      </c>
      <c r="F105" s="151">
        <f t="shared" si="27"/>
        <v>0</v>
      </c>
      <c r="G105" s="152">
        <f t="shared" si="22"/>
        <v>0</v>
      </c>
      <c r="H105" s="153">
        <f t="shared" si="17"/>
        <v>0</v>
      </c>
      <c r="I105" s="151">
        <f t="shared" si="28"/>
        <v>0</v>
      </c>
      <c r="J105" s="151">
        <f t="shared" si="23"/>
        <v>0</v>
      </c>
      <c r="K105" s="154">
        <f t="shared" si="24"/>
        <v>0</v>
      </c>
      <c r="L105" s="167"/>
      <c r="M105" s="168"/>
      <c r="N105" s="155">
        <f t="shared" si="18"/>
        <v>7</v>
      </c>
      <c r="O105" s="123">
        <f t="shared" si="25"/>
        <v>24</v>
      </c>
      <c r="P105" s="124">
        <f t="shared" si="19"/>
        <v>0</v>
      </c>
      <c r="Q105" s="125"/>
      <c r="R105" s="125"/>
      <c r="S105" s="125"/>
      <c r="T105" s="125"/>
      <c r="U105" s="125"/>
      <c r="V105" s="125"/>
      <c r="W105" s="125"/>
      <c r="X105" s="125"/>
      <c r="Y105" s="125"/>
      <c r="Z105" s="125"/>
    </row>
    <row r="106" spans="1:26">
      <c r="A106" s="147">
        <v>99</v>
      </c>
      <c r="B106" s="148" t="str">
        <f t="shared" si="20"/>
        <v>9-й год 3-й мес</v>
      </c>
      <c r="C106" s="149">
        <f t="shared" si="26"/>
        <v>44206</v>
      </c>
      <c r="D106" s="150">
        <f t="shared" si="16"/>
        <v>0</v>
      </c>
      <c r="E106" s="151">
        <f t="shared" si="21"/>
        <v>0</v>
      </c>
      <c r="F106" s="151">
        <f t="shared" si="27"/>
        <v>0</v>
      </c>
      <c r="G106" s="152">
        <f t="shared" si="22"/>
        <v>0</v>
      </c>
      <c r="H106" s="153">
        <f t="shared" si="17"/>
        <v>0</v>
      </c>
      <c r="I106" s="151">
        <f t="shared" si="28"/>
        <v>0</v>
      </c>
      <c r="J106" s="151">
        <f t="shared" si="23"/>
        <v>0</v>
      </c>
      <c r="K106" s="154">
        <f t="shared" si="24"/>
        <v>0</v>
      </c>
      <c r="L106" s="167"/>
      <c r="M106" s="168"/>
      <c r="N106" s="155">
        <f t="shared" si="18"/>
        <v>7</v>
      </c>
      <c r="O106" s="123">
        <f t="shared" si="25"/>
        <v>24</v>
      </c>
      <c r="P106" s="124">
        <f t="shared" si="19"/>
        <v>0</v>
      </c>
      <c r="Q106" s="125"/>
      <c r="R106" s="125"/>
      <c r="S106" s="125"/>
      <c r="T106" s="125"/>
      <c r="U106" s="125"/>
      <c r="V106" s="125"/>
      <c r="W106" s="125"/>
      <c r="X106" s="125"/>
      <c r="Y106" s="125"/>
      <c r="Z106" s="125"/>
    </row>
    <row r="107" spans="1:26">
      <c r="A107" s="147">
        <v>100</v>
      </c>
      <c r="B107" s="148" t="str">
        <f t="shared" si="20"/>
        <v>9-й год 4-й мес</v>
      </c>
      <c r="C107" s="149">
        <f t="shared" si="26"/>
        <v>44237</v>
      </c>
      <c r="D107" s="150">
        <f t="shared" si="16"/>
        <v>0</v>
      </c>
      <c r="E107" s="151">
        <f t="shared" si="21"/>
        <v>0</v>
      </c>
      <c r="F107" s="151">
        <f t="shared" si="27"/>
        <v>0</v>
      </c>
      <c r="G107" s="152">
        <f t="shared" si="22"/>
        <v>0</v>
      </c>
      <c r="H107" s="153">
        <f t="shared" si="17"/>
        <v>0</v>
      </c>
      <c r="I107" s="151">
        <f t="shared" si="28"/>
        <v>0</v>
      </c>
      <c r="J107" s="151">
        <f t="shared" si="23"/>
        <v>0</v>
      </c>
      <c r="K107" s="154">
        <f t="shared" si="24"/>
        <v>0</v>
      </c>
      <c r="L107" s="167"/>
      <c r="M107" s="168"/>
      <c r="N107" s="155">
        <f t="shared" si="18"/>
        <v>7</v>
      </c>
      <c r="O107" s="123">
        <f t="shared" si="25"/>
        <v>24</v>
      </c>
      <c r="P107" s="124">
        <f t="shared" si="19"/>
        <v>0</v>
      </c>
      <c r="Q107" s="125"/>
      <c r="R107" s="125"/>
      <c r="S107" s="125"/>
      <c r="T107" s="125"/>
      <c r="U107" s="125"/>
      <c r="V107" s="125"/>
      <c r="W107" s="125"/>
      <c r="X107" s="125"/>
      <c r="Y107" s="125"/>
      <c r="Z107" s="125"/>
    </row>
    <row r="108" spans="1:26">
      <c r="A108" s="147">
        <v>101</v>
      </c>
      <c r="B108" s="148" t="str">
        <f t="shared" si="20"/>
        <v>9-й год 5-й мес</v>
      </c>
      <c r="C108" s="149">
        <f t="shared" si="26"/>
        <v>44265</v>
      </c>
      <c r="D108" s="150">
        <f t="shared" si="16"/>
        <v>0</v>
      </c>
      <c r="E108" s="151">
        <f t="shared" si="21"/>
        <v>0</v>
      </c>
      <c r="F108" s="151">
        <f t="shared" si="27"/>
        <v>0</v>
      </c>
      <c r="G108" s="152">
        <f t="shared" si="22"/>
        <v>0</v>
      </c>
      <c r="H108" s="153">
        <f t="shared" si="17"/>
        <v>0</v>
      </c>
      <c r="I108" s="151">
        <f t="shared" si="28"/>
        <v>0</v>
      </c>
      <c r="J108" s="151">
        <f t="shared" si="23"/>
        <v>0</v>
      </c>
      <c r="K108" s="154">
        <f t="shared" si="24"/>
        <v>0</v>
      </c>
      <c r="L108" s="167"/>
      <c r="M108" s="168"/>
      <c r="N108" s="155">
        <f t="shared" si="18"/>
        <v>7</v>
      </c>
      <c r="O108" s="123">
        <f t="shared" si="25"/>
        <v>24</v>
      </c>
      <c r="P108" s="124">
        <f t="shared" si="19"/>
        <v>0</v>
      </c>
      <c r="Q108" s="125"/>
      <c r="R108" s="125"/>
      <c r="S108" s="125"/>
      <c r="T108" s="125"/>
      <c r="U108" s="125"/>
      <c r="V108" s="125"/>
      <c r="W108" s="125"/>
      <c r="X108" s="125"/>
      <c r="Y108" s="125"/>
      <c r="Z108" s="125"/>
    </row>
    <row r="109" spans="1:26">
      <c r="A109" s="147">
        <v>102</v>
      </c>
      <c r="B109" s="148" t="str">
        <f t="shared" si="20"/>
        <v>9-й год 6-й мес</v>
      </c>
      <c r="C109" s="149">
        <f t="shared" si="26"/>
        <v>44296</v>
      </c>
      <c r="D109" s="150">
        <f t="shared" si="16"/>
        <v>0</v>
      </c>
      <c r="E109" s="151">
        <f t="shared" si="21"/>
        <v>0</v>
      </c>
      <c r="F109" s="151">
        <f t="shared" si="27"/>
        <v>0</v>
      </c>
      <c r="G109" s="152">
        <f t="shared" si="22"/>
        <v>0</v>
      </c>
      <c r="H109" s="153">
        <f t="shared" si="17"/>
        <v>0</v>
      </c>
      <c r="I109" s="151">
        <f t="shared" si="28"/>
        <v>0</v>
      </c>
      <c r="J109" s="151">
        <f t="shared" si="23"/>
        <v>0</v>
      </c>
      <c r="K109" s="154">
        <f t="shared" si="24"/>
        <v>0</v>
      </c>
      <c r="L109" s="167"/>
      <c r="M109" s="168"/>
      <c r="N109" s="155">
        <f t="shared" si="18"/>
        <v>7</v>
      </c>
      <c r="O109" s="123">
        <f t="shared" si="25"/>
        <v>24</v>
      </c>
      <c r="P109" s="124">
        <f t="shared" si="19"/>
        <v>0</v>
      </c>
      <c r="Q109" s="125"/>
      <c r="R109" s="125"/>
      <c r="S109" s="125"/>
      <c r="T109" s="125"/>
      <c r="U109" s="125"/>
      <c r="V109" s="125"/>
      <c r="W109" s="125"/>
      <c r="X109" s="125"/>
      <c r="Y109" s="125"/>
      <c r="Z109" s="125"/>
    </row>
    <row r="110" spans="1:26">
      <c r="A110" s="147">
        <v>103</v>
      </c>
      <c r="B110" s="148" t="str">
        <f t="shared" si="20"/>
        <v>9-й год 7-й мес</v>
      </c>
      <c r="C110" s="149">
        <f t="shared" si="26"/>
        <v>44326</v>
      </c>
      <c r="D110" s="150">
        <f t="shared" si="16"/>
        <v>0</v>
      </c>
      <c r="E110" s="151">
        <f t="shared" si="21"/>
        <v>0</v>
      </c>
      <c r="F110" s="151">
        <f t="shared" si="27"/>
        <v>0</v>
      </c>
      <c r="G110" s="152">
        <f t="shared" si="22"/>
        <v>0</v>
      </c>
      <c r="H110" s="153">
        <f t="shared" si="17"/>
        <v>0</v>
      </c>
      <c r="I110" s="151">
        <f t="shared" si="28"/>
        <v>0</v>
      </c>
      <c r="J110" s="151">
        <f t="shared" si="23"/>
        <v>0</v>
      </c>
      <c r="K110" s="154">
        <f t="shared" si="24"/>
        <v>0</v>
      </c>
      <c r="L110" s="167"/>
      <c r="M110" s="168"/>
      <c r="N110" s="155">
        <f t="shared" si="18"/>
        <v>7</v>
      </c>
      <c r="O110" s="123">
        <f t="shared" si="25"/>
        <v>24</v>
      </c>
      <c r="P110" s="124">
        <f t="shared" si="19"/>
        <v>0</v>
      </c>
      <c r="Q110" s="125"/>
      <c r="R110" s="125"/>
      <c r="S110" s="125"/>
      <c r="T110" s="125"/>
      <c r="U110" s="125"/>
      <c r="V110" s="125"/>
      <c r="W110" s="125"/>
      <c r="X110" s="125"/>
      <c r="Y110" s="125"/>
      <c r="Z110" s="125"/>
    </row>
    <row r="111" spans="1:26">
      <c r="A111" s="147">
        <v>104</v>
      </c>
      <c r="B111" s="148" t="str">
        <f t="shared" si="20"/>
        <v>9-й год 8-й мес</v>
      </c>
      <c r="C111" s="149">
        <f t="shared" si="26"/>
        <v>44357</v>
      </c>
      <c r="D111" s="150">
        <f t="shared" si="16"/>
        <v>0</v>
      </c>
      <c r="E111" s="151">
        <f t="shared" si="21"/>
        <v>0</v>
      </c>
      <c r="F111" s="151">
        <f t="shared" si="27"/>
        <v>0</v>
      </c>
      <c r="G111" s="152">
        <f t="shared" si="22"/>
        <v>0</v>
      </c>
      <c r="H111" s="153">
        <f t="shared" si="17"/>
        <v>0</v>
      </c>
      <c r="I111" s="151">
        <f t="shared" si="28"/>
        <v>0</v>
      </c>
      <c r="J111" s="151">
        <f t="shared" si="23"/>
        <v>0</v>
      </c>
      <c r="K111" s="154">
        <f t="shared" si="24"/>
        <v>0</v>
      </c>
      <c r="L111" s="167"/>
      <c r="M111" s="168"/>
      <c r="N111" s="155">
        <f t="shared" si="18"/>
        <v>7</v>
      </c>
      <c r="O111" s="123">
        <f t="shared" si="25"/>
        <v>24</v>
      </c>
      <c r="P111" s="124">
        <f t="shared" si="19"/>
        <v>0</v>
      </c>
      <c r="Q111" s="125"/>
      <c r="R111" s="125"/>
      <c r="S111" s="125"/>
      <c r="T111" s="125"/>
      <c r="U111" s="125"/>
      <c r="V111" s="125"/>
      <c r="W111" s="125"/>
      <c r="X111" s="125"/>
      <c r="Y111" s="125"/>
      <c r="Z111" s="125"/>
    </row>
    <row r="112" spans="1:26">
      <c r="A112" s="147">
        <v>105</v>
      </c>
      <c r="B112" s="148" t="str">
        <f t="shared" si="20"/>
        <v>9-й год 9-й мес</v>
      </c>
      <c r="C112" s="149">
        <f t="shared" si="26"/>
        <v>44387</v>
      </c>
      <c r="D112" s="150">
        <f t="shared" si="16"/>
        <v>0</v>
      </c>
      <c r="E112" s="151">
        <f t="shared" si="21"/>
        <v>0</v>
      </c>
      <c r="F112" s="151">
        <f t="shared" si="27"/>
        <v>0</v>
      </c>
      <c r="G112" s="152">
        <f t="shared" si="22"/>
        <v>0</v>
      </c>
      <c r="H112" s="153">
        <f t="shared" si="17"/>
        <v>0</v>
      </c>
      <c r="I112" s="151">
        <f t="shared" si="28"/>
        <v>0</v>
      </c>
      <c r="J112" s="151">
        <f t="shared" si="23"/>
        <v>0</v>
      </c>
      <c r="K112" s="154">
        <f t="shared" si="24"/>
        <v>0</v>
      </c>
      <c r="L112" s="167"/>
      <c r="M112" s="168"/>
      <c r="N112" s="155">
        <f t="shared" si="18"/>
        <v>7</v>
      </c>
      <c r="O112" s="123">
        <f t="shared" si="25"/>
        <v>24</v>
      </c>
      <c r="P112" s="124">
        <f t="shared" si="19"/>
        <v>0</v>
      </c>
      <c r="Q112" s="125"/>
      <c r="R112" s="125"/>
      <c r="S112" s="125"/>
      <c r="T112" s="125"/>
      <c r="U112" s="125"/>
      <c r="V112" s="125"/>
      <c r="W112" s="125"/>
      <c r="X112" s="125"/>
      <c r="Y112" s="125"/>
      <c r="Z112" s="125"/>
    </row>
    <row r="113" spans="1:26">
      <c r="A113" s="147">
        <v>106</v>
      </c>
      <c r="B113" s="148" t="str">
        <f t="shared" si="20"/>
        <v>9-й год 10-й мес</v>
      </c>
      <c r="C113" s="149">
        <f t="shared" si="26"/>
        <v>44418</v>
      </c>
      <c r="D113" s="150">
        <f t="shared" si="16"/>
        <v>0</v>
      </c>
      <c r="E113" s="151">
        <f t="shared" si="21"/>
        <v>0</v>
      </c>
      <c r="F113" s="151">
        <f t="shared" si="27"/>
        <v>0</v>
      </c>
      <c r="G113" s="152">
        <f t="shared" si="22"/>
        <v>0</v>
      </c>
      <c r="H113" s="153">
        <f t="shared" si="17"/>
        <v>0</v>
      </c>
      <c r="I113" s="151">
        <f t="shared" si="28"/>
        <v>0</v>
      </c>
      <c r="J113" s="151">
        <f t="shared" si="23"/>
        <v>0</v>
      </c>
      <c r="K113" s="154">
        <f t="shared" si="24"/>
        <v>0</v>
      </c>
      <c r="L113" s="167"/>
      <c r="M113" s="168"/>
      <c r="N113" s="155">
        <f t="shared" si="18"/>
        <v>7</v>
      </c>
      <c r="O113" s="123">
        <f t="shared" si="25"/>
        <v>24</v>
      </c>
      <c r="P113" s="124">
        <f t="shared" si="19"/>
        <v>0</v>
      </c>
      <c r="Q113" s="125"/>
      <c r="R113" s="125"/>
      <c r="S113" s="125"/>
      <c r="T113" s="125"/>
      <c r="U113" s="125"/>
      <c r="V113" s="125"/>
      <c r="W113" s="125"/>
      <c r="X113" s="125"/>
      <c r="Y113" s="125"/>
      <c r="Z113" s="125"/>
    </row>
    <row r="114" spans="1:26">
      <c r="A114" s="147">
        <v>107</v>
      </c>
      <c r="B114" s="148" t="str">
        <f t="shared" si="20"/>
        <v>9-й год 11-й мес</v>
      </c>
      <c r="C114" s="149">
        <f t="shared" si="26"/>
        <v>44449</v>
      </c>
      <c r="D114" s="150">
        <f t="shared" si="16"/>
        <v>0</v>
      </c>
      <c r="E114" s="151">
        <f t="shared" si="21"/>
        <v>0</v>
      </c>
      <c r="F114" s="151">
        <f t="shared" si="27"/>
        <v>0</v>
      </c>
      <c r="G114" s="152">
        <f t="shared" si="22"/>
        <v>0</v>
      </c>
      <c r="H114" s="153">
        <f t="shared" si="17"/>
        <v>0</v>
      </c>
      <c r="I114" s="151">
        <f t="shared" si="28"/>
        <v>0</v>
      </c>
      <c r="J114" s="151">
        <f t="shared" si="23"/>
        <v>0</v>
      </c>
      <c r="K114" s="154">
        <f t="shared" si="24"/>
        <v>0</v>
      </c>
      <c r="L114" s="167"/>
      <c r="M114" s="168"/>
      <c r="N114" s="155">
        <f t="shared" si="18"/>
        <v>7</v>
      </c>
      <c r="O114" s="123">
        <f t="shared" si="25"/>
        <v>24</v>
      </c>
      <c r="P114" s="124">
        <f t="shared" si="19"/>
        <v>0</v>
      </c>
      <c r="Q114" s="125"/>
      <c r="R114" s="125"/>
      <c r="S114" s="125"/>
      <c r="T114" s="125"/>
      <c r="U114" s="125"/>
      <c r="V114" s="125"/>
      <c r="W114" s="125"/>
      <c r="X114" s="125"/>
      <c r="Y114" s="125"/>
      <c r="Z114" s="125"/>
    </row>
    <row r="115" spans="1:26">
      <c r="A115" s="147">
        <v>108</v>
      </c>
      <c r="B115" s="148" t="str">
        <f t="shared" si="20"/>
        <v>9-й год 12-й мес</v>
      </c>
      <c r="C115" s="149">
        <f t="shared" si="26"/>
        <v>44479</v>
      </c>
      <c r="D115" s="150">
        <f t="shared" si="16"/>
        <v>0</v>
      </c>
      <c r="E115" s="151">
        <f t="shared" si="21"/>
        <v>0</v>
      </c>
      <c r="F115" s="151">
        <f t="shared" si="27"/>
        <v>0</v>
      </c>
      <c r="G115" s="152">
        <f t="shared" si="22"/>
        <v>0</v>
      </c>
      <c r="H115" s="153">
        <f t="shared" si="17"/>
        <v>0</v>
      </c>
      <c r="I115" s="151">
        <f t="shared" si="28"/>
        <v>0</v>
      </c>
      <c r="J115" s="151">
        <f t="shared" si="23"/>
        <v>0</v>
      </c>
      <c r="K115" s="154">
        <f t="shared" si="24"/>
        <v>0</v>
      </c>
      <c r="L115" s="167"/>
      <c r="M115" s="168"/>
      <c r="N115" s="155">
        <f t="shared" si="18"/>
        <v>7</v>
      </c>
      <c r="O115" s="123">
        <f t="shared" si="25"/>
        <v>24</v>
      </c>
      <c r="P115" s="124">
        <f t="shared" si="19"/>
        <v>0</v>
      </c>
      <c r="Q115" s="125"/>
      <c r="R115" s="125"/>
      <c r="S115" s="125"/>
      <c r="T115" s="125"/>
      <c r="U115" s="125"/>
      <c r="V115" s="125"/>
      <c r="W115" s="125"/>
      <c r="X115" s="125"/>
      <c r="Y115" s="125"/>
      <c r="Z115" s="125"/>
    </row>
    <row r="116" spans="1:26">
      <c r="A116" s="156">
        <v>109</v>
      </c>
      <c r="B116" s="148" t="str">
        <f t="shared" si="20"/>
        <v>10-й год 1-й мес</v>
      </c>
      <c r="C116" s="149">
        <f t="shared" si="26"/>
        <v>44510</v>
      </c>
      <c r="D116" s="150">
        <f t="shared" si="16"/>
        <v>0</v>
      </c>
      <c r="E116" s="157">
        <f t="shared" si="21"/>
        <v>0</v>
      </c>
      <c r="F116" s="151">
        <f t="shared" si="27"/>
        <v>0</v>
      </c>
      <c r="G116" s="158">
        <f t="shared" si="22"/>
        <v>0</v>
      </c>
      <c r="H116" s="159">
        <f t="shared" si="17"/>
        <v>0</v>
      </c>
      <c r="I116" s="157">
        <f t="shared" si="28"/>
        <v>0</v>
      </c>
      <c r="J116" s="157">
        <f t="shared" si="23"/>
        <v>0</v>
      </c>
      <c r="K116" s="160">
        <f t="shared" si="24"/>
        <v>0</v>
      </c>
      <c r="L116" s="169"/>
      <c r="M116" s="168"/>
      <c r="N116" s="155">
        <f t="shared" si="18"/>
        <v>7</v>
      </c>
      <c r="O116" s="123">
        <f t="shared" si="25"/>
        <v>24</v>
      </c>
      <c r="P116" s="124">
        <f t="shared" si="19"/>
        <v>0</v>
      </c>
      <c r="Q116" s="125"/>
      <c r="R116" s="125"/>
      <c r="S116" s="125"/>
      <c r="T116" s="125"/>
      <c r="U116" s="125"/>
      <c r="V116" s="125"/>
      <c r="W116" s="125"/>
      <c r="X116" s="125"/>
      <c r="Y116" s="125"/>
      <c r="Z116" s="125"/>
    </row>
    <row r="117" spans="1:26">
      <c r="A117" s="161">
        <v>110</v>
      </c>
      <c r="B117" s="148" t="str">
        <f t="shared" si="20"/>
        <v>10-й год 2-й мес</v>
      </c>
      <c r="C117" s="149">
        <f t="shared" si="26"/>
        <v>44540</v>
      </c>
      <c r="D117" s="150">
        <f t="shared" si="16"/>
        <v>0</v>
      </c>
      <c r="E117" s="151">
        <f t="shared" si="21"/>
        <v>0</v>
      </c>
      <c r="F117" s="151">
        <f t="shared" si="27"/>
        <v>0</v>
      </c>
      <c r="G117" s="152">
        <f t="shared" si="22"/>
        <v>0</v>
      </c>
      <c r="H117" s="153">
        <f t="shared" si="17"/>
        <v>0</v>
      </c>
      <c r="I117" s="151">
        <f t="shared" si="28"/>
        <v>0</v>
      </c>
      <c r="J117" s="151">
        <f t="shared" si="23"/>
        <v>0</v>
      </c>
      <c r="K117" s="154">
        <f t="shared" si="24"/>
        <v>0</v>
      </c>
      <c r="L117" s="167"/>
      <c r="M117" s="168"/>
      <c r="N117" s="155">
        <f t="shared" si="18"/>
        <v>7</v>
      </c>
      <c r="O117" s="123">
        <f t="shared" si="25"/>
        <v>24</v>
      </c>
      <c r="P117" s="124">
        <f t="shared" si="19"/>
        <v>0</v>
      </c>
      <c r="Q117" s="125"/>
      <c r="R117" s="125"/>
      <c r="S117" s="125"/>
      <c r="T117" s="125"/>
      <c r="U117" s="125"/>
      <c r="V117" s="125"/>
      <c r="W117" s="125"/>
      <c r="X117" s="125"/>
      <c r="Y117" s="125"/>
      <c r="Z117" s="125"/>
    </row>
    <row r="118" spans="1:26">
      <c r="A118" s="161">
        <v>111</v>
      </c>
      <c r="B118" s="148" t="str">
        <f t="shared" si="20"/>
        <v>10-й год 3-й мес</v>
      </c>
      <c r="C118" s="149">
        <f t="shared" si="26"/>
        <v>44571</v>
      </c>
      <c r="D118" s="150">
        <f t="shared" si="16"/>
        <v>0</v>
      </c>
      <c r="E118" s="151">
        <f t="shared" si="21"/>
        <v>0</v>
      </c>
      <c r="F118" s="151">
        <f t="shared" si="27"/>
        <v>0</v>
      </c>
      <c r="G118" s="152">
        <f t="shared" si="22"/>
        <v>0</v>
      </c>
      <c r="H118" s="153">
        <f t="shared" si="17"/>
        <v>0</v>
      </c>
      <c r="I118" s="151">
        <f t="shared" si="28"/>
        <v>0</v>
      </c>
      <c r="J118" s="151">
        <f t="shared" si="23"/>
        <v>0</v>
      </c>
      <c r="K118" s="154">
        <f t="shared" si="24"/>
        <v>0</v>
      </c>
      <c r="L118" s="167"/>
      <c r="M118" s="168"/>
      <c r="N118" s="155">
        <f t="shared" si="18"/>
        <v>7</v>
      </c>
      <c r="O118" s="123">
        <f t="shared" si="25"/>
        <v>24</v>
      </c>
      <c r="P118" s="124">
        <f t="shared" si="19"/>
        <v>0</v>
      </c>
      <c r="Q118" s="125"/>
      <c r="R118" s="125"/>
      <c r="S118" s="125"/>
      <c r="T118" s="125"/>
      <c r="U118" s="125"/>
      <c r="V118" s="125"/>
      <c r="W118" s="125"/>
      <c r="X118" s="125"/>
      <c r="Y118" s="125"/>
      <c r="Z118" s="125"/>
    </row>
    <row r="119" spans="1:26">
      <c r="A119" s="161">
        <v>112</v>
      </c>
      <c r="B119" s="148" t="str">
        <f t="shared" si="20"/>
        <v>10-й год 4-й мес</v>
      </c>
      <c r="C119" s="149">
        <f t="shared" si="26"/>
        <v>44602</v>
      </c>
      <c r="D119" s="150">
        <f t="shared" si="16"/>
        <v>0</v>
      </c>
      <c r="E119" s="151">
        <f t="shared" si="21"/>
        <v>0</v>
      </c>
      <c r="F119" s="151">
        <f t="shared" si="27"/>
        <v>0</v>
      </c>
      <c r="G119" s="152">
        <f t="shared" si="22"/>
        <v>0</v>
      </c>
      <c r="H119" s="153">
        <f t="shared" si="17"/>
        <v>0</v>
      </c>
      <c r="I119" s="151">
        <f t="shared" si="28"/>
        <v>0</v>
      </c>
      <c r="J119" s="151">
        <f t="shared" si="23"/>
        <v>0</v>
      </c>
      <c r="K119" s="154">
        <f t="shared" si="24"/>
        <v>0</v>
      </c>
      <c r="L119" s="167"/>
      <c r="M119" s="168"/>
      <c r="N119" s="155">
        <f t="shared" si="18"/>
        <v>7</v>
      </c>
      <c r="O119" s="123">
        <f t="shared" si="25"/>
        <v>24</v>
      </c>
      <c r="P119" s="124">
        <f t="shared" si="19"/>
        <v>0</v>
      </c>
      <c r="Q119" s="125"/>
      <c r="R119" s="125"/>
      <c r="S119" s="125"/>
      <c r="T119" s="125"/>
      <c r="U119" s="125"/>
      <c r="V119" s="125"/>
      <c r="W119" s="125"/>
      <c r="X119" s="125"/>
      <c r="Y119" s="125"/>
      <c r="Z119" s="125"/>
    </row>
    <row r="120" spans="1:26">
      <c r="A120" s="161">
        <v>113</v>
      </c>
      <c r="B120" s="148" t="str">
        <f t="shared" si="20"/>
        <v>10-й год 5-й мес</v>
      </c>
      <c r="C120" s="149">
        <f t="shared" si="26"/>
        <v>44630</v>
      </c>
      <c r="D120" s="150">
        <f t="shared" si="16"/>
        <v>0</v>
      </c>
      <c r="E120" s="151">
        <f t="shared" si="21"/>
        <v>0</v>
      </c>
      <c r="F120" s="151">
        <f t="shared" si="27"/>
        <v>0</v>
      </c>
      <c r="G120" s="152">
        <f t="shared" si="22"/>
        <v>0</v>
      </c>
      <c r="H120" s="153">
        <f t="shared" si="17"/>
        <v>0</v>
      </c>
      <c r="I120" s="151">
        <f t="shared" si="28"/>
        <v>0</v>
      </c>
      <c r="J120" s="151">
        <f t="shared" si="23"/>
        <v>0</v>
      </c>
      <c r="K120" s="154">
        <f t="shared" si="24"/>
        <v>0</v>
      </c>
      <c r="L120" s="167"/>
      <c r="M120" s="168"/>
      <c r="N120" s="155">
        <f t="shared" si="18"/>
        <v>7</v>
      </c>
      <c r="O120" s="123">
        <f t="shared" si="25"/>
        <v>24</v>
      </c>
      <c r="P120" s="124">
        <f t="shared" si="19"/>
        <v>0</v>
      </c>
      <c r="Q120" s="125"/>
      <c r="R120" s="125"/>
      <c r="S120" s="125"/>
      <c r="T120" s="125"/>
      <c r="U120" s="125"/>
      <c r="V120" s="125"/>
      <c r="W120" s="125"/>
      <c r="X120" s="125"/>
      <c r="Y120" s="125"/>
      <c r="Z120" s="125"/>
    </row>
    <row r="121" spans="1:26">
      <c r="A121" s="161">
        <v>114</v>
      </c>
      <c r="B121" s="148" t="str">
        <f t="shared" si="20"/>
        <v>10-й год 6-й мес</v>
      </c>
      <c r="C121" s="149">
        <f t="shared" si="26"/>
        <v>44661</v>
      </c>
      <c r="D121" s="150">
        <f t="shared" si="16"/>
        <v>0</v>
      </c>
      <c r="E121" s="151">
        <f t="shared" si="21"/>
        <v>0</v>
      </c>
      <c r="F121" s="151">
        <f t="shared" si="27"/>
        <v>0</v>
      </c>
      <c r="G121" s="152">
        <f t="shared" si="22"/>
        <v>0</v>
      </c>
      <c r="H121" s="153">
        <f t="shared" si="17"/>
        <v>0</v>
      </c>
      <c r="I121" s="151">
        <f t="shared" si="28"/>
        <v>0</v>
      </c>
      <c r="J121" s="151">
        <f t="shared" si="23"/>
        <v>0</v>
      </c>
      <c r="K121" s="154">
        <f t="shared" si="24"/>
        <v>0</v>
      </c>
      <c r="L121" s="167"/>
      <c r="M121" s="168"/>
      <c r="N121" s="155">
        <f t="shared" si="18"/>
        <v>7</v>
      </c>
      <c r="O121" s="123">
        <f t="shared" si="25"/>
        <v>24</v>
      </c>
      <c r="P121" s="124">
        <f t="shared" si="19"/>
        <v>0</v>
      </c>
      <c r="Q121" s="125"/>
      <c r="R121" s="125"/>
      <c r="S121" s="125"/>
      <c r="T121" s="125"/>
      <c r="U121" s="125"/>
      <c r="V121" s="125"/>
      <c r="W121" s="125"/>
      <c r="X121" s="125"/>
      <c r="Y121" s="125"/>
      <c r="Z121" s="125"/>
    </row>
    <row r="122" spans="1:26">
      <c r="A122" s="161">
        <v>115</v>
      </c>
      <c r="B122" s="148" t="str">
        <f t="shared" si="20"/>
        <v>10-й год 7-й мес</v>
      </c>
      <c r="C122" s="149">
        <f t="shared" si="26"/>
        <v>44691</v>
      </c>
      <c r="D122" s="150">
        <f t="shared" si="16"/>
        <v>0</v>
      </c>
      <c r="E122" s="151">
        <f t="shared" si="21"/>
        <v>0</v>
      </c>
      <c r="F122" s="151">
        <f t="shared" si="27"/>
        <v>0</v>
      </c>
      <c r="G122" s="152">
        <f t="shared" si="22"/>
        <v>0</v>
      </c>
      <c r="H122" s="153">
        <f t="shared" si="17"/>
        <v>0</v>
      </c>
      <c r="I122" s="151">
        <f t="shared" si="28"/>
        <v>0</v>
      </c>
      <c r="J122" s="151">
        <f t="shared" si="23"/>
        <v>0</v>
      </c>
      <c r="K122" s="154">
        <f t="shared" si="24"/>
        <v>0</v>
      </c>
      <c r="L122" s="167"/>
      <c r="M122" s="168"/>
      <c r="N122" s="155">
        <f t="shared" si="18"/>
        <v>7</v>
      </c>
      <c r="O122" s="123">
        <f t="shared" si="25"/>
        <v>24</v>
      </c>
      <c r="P122" s="124">
        <f t="shared" si="19"/>
        <v>0</v>
      </c>
      <c r="Q122" s="125"/>
      <c r="R122" s="125"/>
      <c r="S122" s="125"/>
      <c r="T122" s="125"/>
      <c r="U122" s="125"/>
      <c r="V122" s="125"/>
      <c r="W122" s="125"/>
      <c r="X122" s="125"/>
      <c r="Y122" s="125"/>
      <c r="Z122" s="125"/>
    </row>
    <row r="123" spans="1:26">
      <c r="A123" s="161">
        <v>116</v>
      </c>
      <c r="B123" s="148" t="str">
        <f t="shared" si="20"/>
        <v>10-й год 8-й мес</v>
      </c>
      <c r="C123" s="149">
        <f t="shared" si="26"/>
        <v>44722</v>
      </c>
      <c r="D123" s="150">
        <f t="shared" si="16"/>
        <v>0</v>
      </c>
      <c r="E123" s="151">
        <f t="shared" si="21"/>
        <v>0</v>
      </c>
      <c r="F123" s="151">
        <f t="shared" si="27"/>
        <v>0</v>
      </c>
      <c r="G123" s="152">
        <f t="shared" si="22"/>
        <v>0</v>
      </c>
      <c r="H123" s="153">
        <f t="shared" si="17"/>
        <v>0</v>
      </c>
      <c r="I123" s="151">
        <f t="shared" si="28"/>
        <v>0</v>
      </c>
      <c r="J123" s="151">
        <f t="shared" si="23"/>
        <v>0</v>
      </c>
      <c r="K123" s="154">
        <f t="shared" si="24"/>
        <v>0</v>
      </c>
      <c r="L123" s="167"/>
      <c r="M123" s="168"/>
      <c r="N123" s="155">
        <f t="shared" si="18"/>
        <v>7</v>
      </c>
      <c r="O123" s="123">
        <f t="shared" si="25"/>
        <v>24</v>
      </c>
      <c r="P123" s="124">
        <f t="shared" si="19"/>
        <v>0</v>
      </c>
      <c r="Q123" s="125"/>
      <c r="R123" s="125"/>
      <c r="S123" s="125"/>
      <c r="T123" s="125"/>
      <c r="U123" s="125"/>
      <c r="V123" s="125"/>
      <c r="W123" s="125"/>
      <c r="X123" s="125"/>
      <c r="Y123" s="125"/>
      <c r="Z123" s="125"/>
    </row>
    <row r="124" spans="1:26">
      <c r="A124" s="161">
        <v>117</v>
      </c>
      <c r="B124" s="148" t="str">
        <f t="shared" si="20"/>
        <v>10-й год 9-й мес</v>
      </c>
      <c r="C124" s="149">
        <f t="shared" si="26"/>
        <v>44752</v>
      </c>
      <c r="D124" s="150">
        <f t="shared" si="16"/>
        <v>0</v>
      </c>
      <c r="E124" s="151">
        <f t="shared" si="21"/>
        <v>0</v>
      </c>
      <c r="F124" s="151">
        <f t="shared" si="27"/>
        <v>0</v>
      </c>
      <c r="G124" s="152">
        <f t="shared" si="22"/>
        <v>0</v>
      </c>
      <c r="H124" s="153">
        <f t="shared" si="17"/>
        <v>0</v>
      </c>
      <c r="I124" s="151">
        <f t="shared" si="28"/>
        <v>0</v>
      </c>
      <c r="J124" s="151">
        <f t="shared" si="23"/>
        <v>0</v>
      </c>
      <c r="K124" s="154">
        <f t="shared" si="24"/>
        <v>0</v>
      </c>
      <c r="L124" s="167"/>
      <c r="M124" s="168"/>
      <c r="N124" s="155">
        <f t="shared" si="18"/>
        <v>7</v>
      </c>
      <c r="O124" s="123">
        <f t="shared" si="25"/>
        <v>24</v>
      </c>
      <c r="P124" s="124">
        <f t="shared" si="19"/>
        <v>0</v>
      </c>
      <c r="Q124" s="125"/>
      <c r="R124" s="125"/>
      <c r="S124" s="125"/>
      <c r="T124" s="125"/>
      <c r="U124" s="125"/>
      <c r="V124" s="125"/>
      <c r="W124" s="125"/>
      <c r="X124" s="125"/>
      <c r="Y124" s="125"/>
      <c r="Z124" s="125"/>
    </row>
    <row r="125" spans="1:26">
      <c r="A125" s="161">
        <v>118</v>
      </c>
      <c r="B125" s="148" t="str">
        <f t="shared" si="20"/>
        <v>10-й год 10-й мес</v>
      </c>
      <c r="C125" s="149">
        <f t="shared" si="26"/>
        <v>44783</v>
      </c>
      <c r="D125" s="150">
        <f t="shared" si="16"/>
        <v>0</v>
      </c>
      <c r="E125" s="151">
        <f t="shared" si="21"/>
        <v>0</v>
      </c>
      <c r="F125" s="151">
        <f t="shared" si="27"/>
        <v>0</v>
      </c>
      <c r="G125" s="152">
        <f t="shared" si="22"/>
        <v>0</v>
      </c>
      <c r="H125" s="153">
        <f t="shared" si="17"/>
        <v>0</v>
      </c>
      <c r="I125" s="151">
        <f t="shared" si="28"/>
        <v>0</v>
      </c>
      <c r="J125" s="151">
        <f t="shared" si="23"/>
        <v>0</v>
      </c>
      <c r="K125" s="154">
        <f t="shared" si="24"/>
        <v>0</v>
      </c>
      <c r="L125" s="167"/>
      <c r="M125" s="168"/>
      <c r="N125" s="155">
        <f t="shared" si="18"/>
        <v>7</v>
      </c>
      <c r="O125" s="123">
        <f t="shared" si="25"/>
        <v>24</v>
      </c>
      <c r="P125" s="124">
        <f t="shared" si="19"/>
        <v>0</v>
      </c>
      <c r="Q125" s="125"/>
      <c r="R125" s="125"/>
      <c r="S125" s="125"/>
      <c r="T125" s="125"/>
      <c r="U125" s="125"/>
      <c r="V125" s="125"/>
      <c r="W125" s="125"/>
      <c r="X125" s="125"/>
      <c r="Y125" s="125"/>
      <c r="Z125" s="125"/>
    </row>
    <row r="126" spans="1:26">
      <c r="A126" s="161">
        <v>119</v>
      </c>
      <c r="B126" s="148" t="str">
        <f t="shared" si="20"/>
        <v>10-й год 11-й мес</v>
      </c>
      <c r="C126" s="149">
        <f t="shared" si="26"/>
        <v>44814</v>
      </c>
      <c r="D126" s="150">
        <f t="shared" si="16"/>
        <v>0</v>
      </c>
      <c r="E126" s="151">
        <f t="shared" si="21"/>
        <v>0</v>
      </c>
      <c r="F126" s="151">
        <f t="shared" si="27"/>
        <v>0</v>
      </c>
      <c r="G126" s="152">
        <f t="shared" si="22"/>
        <v>0</v>
      </c>
      <c r="H126" s="153">
        <f t="shared" si="17"/>
        <v>0</v>
      </c>
      <c r="I126" s="151">
        <f t="shared" si="28"/>
        <v>0</v>
      </c>
      <c r="J126" s="151">
        <f t="shared" si="23"/>
        <v>0</v>
      </c>
      <c r="K126" s="154">
        <f t="shared" si="24"/>
        <v>0</v>
      </c>
      <c r="L126" s="167"/>
      <c r="M126" s="168"/>
      <c r="N126" s="155">
        <f t="shared" si="18"/>
        <v>7</v>
      </c>
      <c r="O126" s="123">
        <f t="shared" si="25"/>
        <v>24</v>
      </c>
      <c r="P126" s="124">
        <f t="shared" si="19"/>
        <v>0</v>
      </c>
      <c r="Q126" s="125"/>
      <c r="R126" s="125"/>
      <c r="S126" s="125"/>
      <c r="T126" s="125"/>
      <c r="U126" s="125"/>
      <c r="V126" s="125"/>
      <c r="W126" s="125"/>
      <c r="X126" s="125"/>
      <c r="Y126" s="125"/>
      <c r="Z126" s="125"/>
    </row>
    <row r="127" spans="1:26">
      <c r="A127" s="162">
        <v>120</v>
      </c>
      <c r="B127" s="148" t="str">
        <f t="shared" si="20"/>
        <v>10-й год 12-й мес</v>
      </c>
      <c r="C127" s="149">
        <f t="shared" si="26"/>
        <v>44844</v>
      </c>
      <c r="D127" s="150">
        <f t="shared" si="16"/>
        <v>0</v>
      </c>
      <c r="E127" s="163">
        <f t="shared" si="21"/>
        <v>0</v>
      </c>
      <c r="F127" s="151">
        <f t="shared" si="27"/>
        <v>0</v>
      </c>
      <c r="G127" s="164">
        <f t="shared" si="22"/>
        <v>0</v>
      </c>
      <c r="H127" s="165">
        <f t="shared" si="17"/>
        <v>0</v>
      </c>
      <c r="I127" s="163">
        <f t="shared" si="28"/>
        <v>0</v>
      </c>
      <c r="J127" s="163">
        <f t="shared" si="23"/>
        <v>0</v>
      </c>
      <c r="K127" s="166">
        <f t="shared" si="24"/>
        <v>0</v>
      </c>
      <c r="L127" s="170"/>
      <c r="M127" s="168"/>
      <c r="N127" s="155">
        <f t="shared" si="18"/>
        <v>7</v>
      </c>
      <c r="O127" s="123">
        <f t="shared" si="25"/>
        <v>24</v>
      </c>
      <c r="P127" s="124">
        <f t="shared" si="19"/>
        <v>0</v>
      </c>
      <c r="Q127" s="125"/>
      <c r="R127" s="125"/>
      <c r="S127" s="125"/>
      <c r="T127" s="125"/>
      <c r="U127" s="125"/>
      <c r="V127" s="125"/>
      <c r="W127" s="125"/>
      <c r="X127" s="125"/>
      <c r="Y127" s="125"/>
      <c r="Z127" s="125"/>
    </row>
    <row r="128" spans="1:26">
      <c r="A128" s="147">
        <v>121</v>
      </c>
      <c r="B128" s="148" t="str">
        <f t="shared" si="20"/>
        <v>11-й год 1-й мес</v>
      </c>
      <c r="C128" s="149">
        <f t="shared" si="26"/>
        <v>44875</v>
      </c>
      <c r="D128" s="150">
        <f t="shared" si="16"/>
        <v>0</v>
      </c>
      <c r="E128" s="151">
        <f t="shared" si="21"/>
        <v>0</v>
      </c>
      <c r="F128" s="151">
        <f t="shared" si="27"/>
        <v>0</v>
      </c>
      <c r="G128" s="152">
        <f t="shared" si="22"/>
        <v>0</v>
      </c>
      <c r="H128" s="153">
        <f t="shared" si="17"/>
        <v>0</v>
      </c>
      <c r="I128" s="151">
        <f t="shared" si="28"/>
        <v>0</v>
      </c>
      <c r="J128" s="151">
        <f t="shared" si="23"/>
        <v>0</v>
      </c>
      <c r="K128" s="154">
        <f t="shared" si="24"/>
        <v>0</v>
      </c>
      <c r="L128" s="167"/>
      <c r="M128" s="168"/>
      <c r="N128" s="155">
        <f t="shared" si="18"/>
        <v>7</v>
      </c>
      <c r="O128" s="123">
        <f t="shared" si="25"/>
        <v>24</v>
      </c>
      <c r="P128" s="124">
        <f t="shared" si="19"/>
        <v>0</v>
      </c>
      <c r="Q128" s="125"/>
      <c r="R128" s="125"/>
      <c r="S128" s="125"/>
      <c r="T128" s="125"/>
      <c r="U128" s="125"/>
      <c r="V128" s="125"/>
      <c r="W128" s="125"/>
      <c r="X128" s="125"/>
      <c r="Y128" s="125"/>
      <c r="Z128" s="125"/>
    </row>
    <row r="129" spans="1:26">
      <c r="A129" s="147">
        <v>122</v>
      </c>
      <c r="B129" s="148" t="str">
        <f t="shared" si="20"/>
        <v>11-й год 2-й мес</v>
      </c>
      <c r="C129" s="149">
        <f t="shared" si="26"/>
        <v>44905</v>
      </c>
      <c r="D129" s="150">
        <f t="shared" si="16"/>
        <v>0</v>
      </c>
      <c r="E129" s="151">
        <f t="shared" si="21"/>
        <v>0</v>
      </c>
      <c r="F129" s="151">
        <f t="shared" si="27"/>
        <v>0</v>
      </c>
      <c r="G129" s="152">
        <f t="shared" si="22"/>
        <v>0</v>
      </c>
      <c r="H129" s="153">
        <f t="shared" si="17"/>
        <v>0</v>
      </c>
      <c r="I129" s="151">
        <f t="shared" si="28"/>
        <v>0</v>
      </c>
      <c r="J129" s="151">
        <f t="shared" si="23"/>
        <v>0</v>
      </c>
      <c r="K129" s="154">
        <f t="shared" si="24"/>
        <v>0</v>
      </c>
      <c r="L129" s="167"/>
      <c r="M129" s="168"/>
      <c r="N129" s="155">
        <f t="shared" si="18"/>
        <v>7</v>
      </c>
      <c r="O129" s="123">
        <f t="shared" si="25"/>
        <v>24</v>
      </c>
      <c r="P129" s="124">
        <f t="shared" si="19"/>
        <v>0</v>
      </c>
      <c r="Q129" s="125"/>
      <c r="R129" s="125"/>
      <c r="S129" s="125"/>
      <c r="T129" s="125"/>
      <c r="U129" s="125"/>
      <c r="V129" s="125"/>
      <c r="W129" s="125"/>
      <c r="X129" s="125"/>
      <c r="Y129" s="125"/>
      <c r="Z129" s="125"/>
    </row>
    <row r="130" spans="1:26">
      <c r="A130" s="147">
        <v>123</v>
      </c>
      <c r="B130" s="148" t="str">
        <f t="shared" si="20"/>
        <v>11-й год 3-й мес</v>
      </c>
      <c r="C130" s="149">
        <f t="shared" si="26"/>
        <v>44936</v>
      </c>
      <c r="D130" s="150">
        <f t="shared" si="16"/>
        <v>0</v>
      </c>
      <c r="E130" s="151">
        <f t="shared" si="21"/>
        <v>0</v>
      </c>
      <c r="F130" s="151">
        <f t="shared" si="27"/>
        <v>0</v>
      </c>
      <c r="G130" s="152">
        <f t="shared" si="22"/>
        <v>0</v>
      </c>
      <c r="H130" s="153">
        <f t="shared" si="17"/>
        <v>0</v>
      </c>
      <c r="I130" s="151">
        <f t="shared" si="28"/>
        <v>0</v>
      </c>
      <c r="J130" s="151">
        <f t="shared" si="23"/>
        <v>0</v>
      </c>
      <c r="K130" s="154">
        <f t="shared" si="24"/>
        <v>0</v>
      </c>
      <c r="L130" s="167"/>
      <c r="M130" s="168"/>
      <c r="N130" s="155">
        <f t="shared" si="18"/>
        <v>7</v>
      </c>
      <c r="O130" s="123">
        <f t="shared" si="25"/>
        <v>24</v>
      </c>
      <c r="P130" s="124">
        <f t="shared" si="19"/>
        <v>0</v>
      </c>
      <c r="Q130" s="125"/>
      <c r="R130" s="125"/>
      <c r="S130" s="125"/>
      <c r="T130" s="125"/>
      <c r="U130" s="125"/>
      <c r="V130" s="125"/>
      <c r="W130" s="125"/>
      <c r="X130" s="125"/>
      <c r="Y130" s="125"/>
      <c r="Z130" s="125"/>
    </row>
    <row r="131" spans="1:26">
      <c r="A131" s="147">
        <v>124</v>
      </c>
      <c r="B131" s="148" t="str">
        <f t="shared" si="20"/>
        <v>11-й год 4-й мес</v>
      </c>
      <c r="C131" s="149">
        <f t="shared" si="26"/>
        <v>44967</v>
      </c>
      <c r="D131" s="150">
        <f t="shared" si="16"/>
        <v>0</v>
      </c>
      <c r="E131" s="151">
        <f t="shared" si="21"/>
        <v>0</v>
      </c>
      <c r="F131" s="151">
        <f t="shared" si="27"/>
        <v>0</v>
      </c>
      <c r="G131" s="152">
        <f t="shared" si="22"/>
        <v>0</v>
      </c>
      <c r="H131" s="153">
        <f t="shared" si="17"/>
        <v>0</v>
      </c>
      <c r="I131" s="151">
        <f t="shared" si="28"/>
        <v>0</v>
      </c>
      <c r="J131" s="151">
        <f t="shared" si="23"/>
        <v>0</v>
      </c>
      <c r="K131" s="154">
        <f t="shared" si="24"/>
        <v>0</v>
      </c>
      <c r="L131" s="167"/>
      <c r="M131" s="168"/>
      <c r="N131" s="155">
        <f t="shared" si="18"/>
        <v>7</v>
      </c>
      <c r="O131" s="123">
        <f t="shared" si="25"/>
        <v>24</v>
      </c>
      <c r="P131" s="124">
        <f t="shared" si="19"/>
        <v>0</v>
      </c>
      <c r="Q131" s="125"/>
      <c r="R131" s="125"/>
      <c r="S131" s="125"/>
      <c r="T131" s="125"/>
      <c r="U131" s="125"/>
      <c r="V131" s="125"/>
      <c r="W131" s="125"/>
      <c r="X131" s="125"/>
      <c r="Y131" s="125"/>
      <c r="Z131" s="125"/>
    </row>
    <row r="132" spans="1:26">
      <c r="A132" s="147">
        <v>125</v>
      </c>
      <c r="B132" s="148" t="str">
        <f t="shared" si="20"/>
        <v>11-й год 5-й мес</v>
      </c>
      <c r="C132" s="149">
        <f t="shared" si="26"/>
        <v>44995</v>
      </c>
      <c r="D132" s="150">
        <f t="shared" si="16"/>
        <v>0</v>
      </c>
      <c r="E132" s="151">
        <f t="shared" si="21"/>
        <v>0</v>
      </c>
      <c r="F132" s="151">
        <f t="shared" si="27"/>
        <v>0</v>
      </c>
      <c r="G132" s="152">
        <f t="shared" si="22"/>
        <v>0</v>
      </c>
      <c r="H132" s="153">
        <f t="shared" si="17"/>
        <v>0</v>
      </c>
      <c r="I132" s="151">
        <f t="shared" si="28"/>
        <v>0</v>
      </c>
      <c r="J132" s="151">
        <f t="shared" si="23"/>
        <v>0</v>
      </c>
      <c r="K132" s="154">
        <f t="shared" si="24"/>
        <v>0</v>
      </c>
      <c r="L132" s="167"/>
      <c r="M132" s="168"/>
      <c r="N132" s="155">
        <f t="shared" si="18"/>
        <v>7</v>
      </c>
      <c r="O132" s="123">
        <f t="shared" si="25"/>
        <v>24</v>
      </c>
      <c r="P132" s="124">
        <f t="shared" si="19"/>
        <v>0</v>
      </c>
      <c r="Q132" s="125"/>
      <c r="R132" s="125"/>
      <c r="S132" s="125"/>
      <c r="T132" s="125"/>
      <c r="U132" s="125"/>
      <c r="V132" s="125"/>
      <c r="W132" s="125"/>
      <c r="X132" s="125"/>
      <c r="Y132" s="125"/>
      <c r="Z132" s="125"/>
    </row>
    <row r="133" spans="1:26">
      <c r="A133" s="147">
        <v>126</v>
      </c>
      <c r="B133" s="148" t="str">
        <f t="shared" si="20"/>
        <v>11-й год 6-й мес</v>
      </c>
      <c r="C133" s="149">
        <f t="shared" si="26"/>
        <v>45026</v>
      </c>
      <c r="D133" s="150">
        <f t="shared" si="16"/>
        <v>0</v>
      </c>
      <c r="E133" s="151">
        <f t="shared" si="21"/>
        <v>0</v>
      </c>
      <c r="F133" s="151">
        <f t="shared" si="27"/>
        <v>0</v>
      </c>
      <c r="G133" s="152">
        <f t="shared" si="22"/>
        <v>0</v>
      </c>
      <c r="H133" s="153">
        <f t="shared" si="17"/>
        <v>0</v>
      </c>
      <c r="I133" s="151">
        <f t="shared" si="28"/>
        <v>0</v>
      </c>
      <c r="J133" s="151">
        <f t="shared" si="23"/>
        <v>0</v>
      </c>
      <c r="K133" s="154">
        <f t="shared" si="24"/>
        <v>0</v>
      </c>
      <c r="L133" s="167"/>
      <c r="M133" s="168"/>
      <c r="N133" s="155">
        <f t="shared" si="18"/>
        <v>7</v>
      </c>
      <c r="O133" s="123">
        <f t="shared" si="25"/>
        <v>24</v>
      </c>
      <c r="P133" s="124">
        <f t="shared" si="19"/>
        <v>0</v>
      </c>
      <c r="Q133" s="125"/>
      <c r="R133" s="125"/>
      <c r="S133" s="125"/>
      <c r="T133" s="125"/>
      <c r="U133" s="125"/>
      <c r="V133" s="125"/>
      <c r="W133" s="125"/>
      <c r="X133" s="125"/>
      <c r="Y133" s="125"/>
      <c r="Z133" s="125"/>
    </row>
    <row r="134" spans="1:26">
      <c r="A134" s="147">
        <v>127</v>
      </c>
      <c r="B134" s="148" t="str">
        <f t="shared" si="20"/>
        <v>11-й год 7-й мес</v>
      </c>
      <c r="C134" s="149">
        <f t="shared" si="26"/>
        <v>45056</v>
      </c>
      <c r="D134" s="150">
        <f t="shared" si="16"/>
        <v>0</v>
      </c>
      <c r="E134" s="151">
        <f t="shared" si="21"/>
        <v>0</v>
      </c>
      <c r="F134" s="151">
        <f t="shared" si="27"/>
        <v>0</v>
      </c>
      <c r="G134" s="152">
        <f t="shared" si="22"/>
        <v>0</v>
      </c>
      <c r="H134" s="153">
        <f t="shared" si="17"/>
        <v>0</v>
      </c>
      <c r="I134" s="151">
        <f t="shared" si="28"/>
        <v>0</v>
      </c>
      <c r="J134" s="151">
        <f t="shared" si="23"/>
        <v>0</v>
      </c>
      <c r="K134" s="154">
        <f t="shared" si="24"/>
        <v>0</v>
      </c>
      <c r="L134" s="167"/>
      <c r="M134" s="168"/>
      <c r="N134" s="155">
        <f t="shared" si="18"/>
        <v>7</v>
      </c>
      <c r="O134" s="123">
        <f t="shared" si="25"/>
        <v>24</v>
      </c>
      <c r="P134" s="124">
        <f t="shared" si="19"/>
        <v>0</v>
      </c>
      <c r="Q134" s="125"/>
      <c r="R134" s="125"/>
      <c r="S134" s="125"/>
      <c r="T134" s="125"/>
      <c r="U134" s="125"/>
      <c r="V134" s="125"/>
      <c r="W134" s="125"/>
      <c r="X134" s="125"/>
      <c r="Y134" s="125"/>
      <c r="Z134" s="125"/>
    </row>
    <row r="135" spans="1:26">
      <c r="A135" s="147">
        <v>128</v>
      </c>
      <c r="B135" s="148" t="str">
        <f t="shared" si="20"/>
        <v>11-й год 8-й мес</v>
      </c>
      <c r="C135" s="149">
        <f t="shared" si="26"/>
        <v>45087</v>
      </c>
      <c r="D135" s="150">
        <f t="shared" si="16"/>
        <v>0</v>
      </c>
      <c r="E135" s="151">
        <f t="shared" si="21"/>
        <v>0</v>
      </c>
      <c r="F135" s="151">
        <f t="shared" si="27"/>
        <v>0</v>
      </c>
      <c r="G135" s="152">
        <f t="shared" si="22"/>
        <v>0</v>
      </c>
      <c r="H135" s="153">
        <f t="shared" si="17"/>
        <v>0</v>
      </c>
      <c r="I135" s="151">
        <f t="shared" si="28"/>
        <v>0</v>
      </c>
      <c r="J135" s="151">
        <f t="shared" si="23"/>
        <v>0</v>
      </c>
      <c r="K135" s="154">
        <f t="shared" si="24"/>
        <v>0</v>
      </c>
      <c r="L135" s="167"/>
      <c r="M135" s="168"/>
      <c r="N135" s="155">
        <f t="shared" si="18"/>
        <v>7</v>
      </c>
      <c r="O135" s="123">
        <f t="shared" si="25"/>
        <v>24</v>
      </c>
      <c r="P135" s="124">
        <f t="shared" si="19"/>
        <v>0</v>
      </c>
      <c r="Q135" s="125"/>
      <c r="R135" s="125"/>
      <c r="S135" s="125"/>
      <c r="T135" s="125"/>
      <c r="U135" s="125"/>
      <c r="V135" s="125"/>
      <c r="W135" s="125"/>
      <c r="X135" s="125"/>
      <c r="Y135" s="125"/>
      <c r="Z135" s="125"/>
    </row>
    <row r="136" spans="1:26">
      <c r="A136" s="147">
        <v>129</v>
      </c>
      <c r="B136" s="148" t="str">
        <f t="shared" si="20"/>
        <v>11-й год 9-й мес</v>
      </c>
      <c r="C136" s="149">
        <f t="shared" si="26"/>
        <v>45117</v>
      </c>
      <c r="D136" s="150">
        <f t="shared" ref="D136:D199" si="29">IF(P136*$D$2/100/12/(1-(1+$D$2/100/12)^(-O136))&lt;G135,ROUNDUP(P136*$D$2/100/12/(1-(1+$D$2/100/12)^(-O136)),0),G135+F136)</f>
        <v>0</v>
      </c>
      <c r="E136" s="151">
        <f t="shared" si="21"/>
        <v>0</v>
      </c>
      <c r="F136" s="151">
        <f t="shared" si="27"/>
        <v>0</v>
      </c>
      <c r="G136" s="152">
        <f t="shared" si="22"/>
        <v>0</v>
      </c>
      <c r="H136" s="153">
        <f t="shared" ref="H136:H199" si="30">I136+J136</f>
        <v>0</v>
      </c>
      <c r="I136" s="151">
        <f t="shared" si="28"/>
        <v>0</v>
      </c>
      <c r="J136" s="151">
        <f t="shared" si="23"/>
        <v>0</v>
      </c>
      <c r="K136" s="154">
        <f t="shared" si="24"/>
        <v>0</v>
      </c>
      <c r="L136" s="167"/>
      <c r="M136" s="168"/>
      <c r="N136" s="155">
        <f t="shared" ref="N136:N199" si="31">IF(ISBLANK(L135),VALUE(N135),ROW(L135))</f>
        <v>7</v>
      </c>
      <c r="O136" s="123">
        <f t="shared" si="25"/>
        <v>24</v>
      </c>
      <c r="P136" s="124">
        <f t="shared" ref="P136:P199" si="32">INDEX(G:G,N136,1)</f>
        <v>0</v>
      </c>
      <c r="Q136" s="125"/>
      <c r="R136" s="125"/>
      <c r="S136" s="125"/>
      <c r="T136" s="125"/>
      <c r="U136" s="125"/>
      <c r="V136" s="125"/>
      <c r="W136" s="125"/>
      <c r="X136" s="125"/>
      <c r="Y136" s="125"/>
      <c r="Z136" s="125"/>
    </row>
    <row r="137" spans="1:26">
      <c r="A137" s="147">
        <v>130</v>
      </c>
      <c r="B137" s="148" t="str">
        <f t="shared" ref="B137:B200" si="33">CONCATENATE(INT((A137-1)/12)+1,"-й год ",A137-1-INT((A137-1)/12)*12+1,"-й мес")</f>
        <v>11-й год 10-й мес</v>
      </c>
      <c r="C137" s="149">
        <f t="shared" si="26"/>
        <v>45148</v>
      </c>
      <c r="D137" s="150">
        <f t="shared" si="29"/>
        <v>0</v>
      </c>
      <c r="E137" s="151">
        <f t="shared" ref="E137:E200" si="34">D137-F137</f>
        <v>0</v>
      </c>
      <c r="F137" s="151">
        <f t="shared" si="27"/>
        <v>0</v>
      </c>
      <c r="G137" s="152">
        <f t="shared" ref="G137:G200" si="35">G136-E137-L137-M137</f>
        <v>0</v>
      </c>
      <c r="H137" s="153">
        <f t="shared" si="30"/>
        <v>0</v>
      </c>
      <c r="I137" s="151">
        <f t="shared" si="28"/>
        <v>0</v>
      </c>
      <c r="J137" s="151">
        <f t="shared" ref="J137:J200" si="36">K136*$D$2/12/100</f>
        <v>0</v>
      </c>
      <c r="K137" s="154">
        <f t="shared" ref="K137:K200" si="37">K136-I137-L137-M137</f>
        <v>0</v>
      </c>
      <c r="L137" s="167"/>
      <c r="M137" s="168"/>
      <c r="N137" s="155">
        <f t="shared" si="31"/>
        <v>7</v>
      </c>
      <c r="O137" s="123">
        <f t="shared" ref="O137:O200" si="38">O136+N136-N137</f>
        <v>24</v>
      </c>
      <c r="P137" s="124">
        <f t="shared" si="32"/>
        <v>0</v>
      </c>
      <c r="Q137" s="125"/>
      <c r="R137" s="125"/>
      <c r="S137" s="125"/>
      <c r="T137" s="125"/>
      <c r="U137" s="125"/>
      <c r="V137" s="125"/>
      <c r="W137" s="125"/>
      <c r="X137" s="125"/>
      <c r="Y137" s="125"/>
      <c r="Z137" s="125"/>
    </row>
    <row r="138" spans="1:26">
      <c r="A138" s="147">
        <v>131</v>
      </c>
      <c r="B138" s="148" t="str">
        <f t="shared" si="33"/>
        <v>11-й год 11-й мес</v>
      </c>
      <c r="C138" s="149">
        <f t="shared" ref="C138:C201" si="39">DATE(YEAR(C137),MONTH(C137)+1,DAY(C137))</f>
        <v>45179</v>
      </c>
      <c r="D138" s="150">
        <f t="shared" si="29"/>
        <v>0</v>
      </c>
      <c r="E138" s="151">
        <f t="shared" si="34"/>
        <v>0</v>
      </c>
      <c r="F138" s="151">
        <f t="shared" ref="F138:F201" si="40">G137*$D$2*(C138-C137)/(DATE(YEAR(C138)+1,1,1)-DATE(YEAR(C138),1,1))/100</f>
        <v>0</v>
      </c>
      <c r="G138" s="152">
        <f t="shared" si="35"/>
        <v>0</v>
      </c>
      <c r="H138" s="153">
        <f t="shared" si="30"/>
        <v>0</v>
      </c>
      <c r="I138" s="151">
        <f t="shared" ref="I138:I201" si="41">IF($D$1/$D$3&lt;K137,$D$1/$D$3,K137)</f>
        <v>0</v>
      </c>
      <c r="J138" s="151">
        <f t="shared" si="36"/>
        <v>0</v>
      </c>
      <c r="K138" s="154">
        <f t="shared" si="37"/>
        <v>0</v>
      </c>
      <c r="L138" s="167"/>
      <c r="M138" s="168"/>
      <c r="N138" s="155">
        <f t="shared" si="31"/>
        <v>7</v>
      </c>
      <c r="O138" s="123">
        <f t="shared" si="38"/>
        <v>24</v>
      </c>
      <c r="P138" s="124">
        <f t="shared" si="32"/>
        <v>0</v>
      </c>
      <c r="Q138" s="125"/>
      <c r="R138" s="125"/>
      <c r="S138" s="125"/>
      <c r="T138" s="125"/>
      <c r="U138" s="125"/>
      <c r="V138" s="125"/>
      <c r="W138" s="125"/>
      <c r="X138" s="125"/>
      <c r="Y138" s="125"/>
      <c r="Z138" s="125"/>
    </row>
    <row r="139" spans="1:26">
      <c r="A139" s="147">
        <v>132</v>
      </c>
      <c r="B139" s="148" t="str">
        <f t="shared" si="33"/>
        <v>11-й год 12-й мес</v>
      </c>
      <c r="C139" s="149">
        <f t="shared" si="39"/>
        <v>45209</v>
      </c>
      <c r="D139" s="150">
        <f t="shared" si="29"/>
        <v>0</v>
      </c>
      <c r="E139" s="151">
        <f t="shared" si="34"/>
        <v>0</v>
      </c>
      <c r="F139" s="151">
        <f t="shared" si="40"/>
        <v>0</v>
      </c>
      <c r="G139" s="152">
        <f t="shared" si="35"/>
        <v>0</v>
      </c>
      <c r="H139" s="153">
        <f t="shared" si="30"/>
        <v>0</v>
      </c>
      <c r="I139" s="151">
        <f t="shared" si="41"/>
        <v>0</v>
      </c>
      <c r="J139" s="151">
        <f t="shared" si="36"/>
        <v>0</v>
      </c>
      <c r="K139" s="154">
        <f t="shared" si="37"/>
        <v>0</v>
      </c>
      <c r="L139" s="167"/>
      <c r="M139" s="168"/>
      <c r="N139" s="155">
        <f t="shared" si="31"/>
        <v>7</v>
      </c>
      <c r="O139" s="123">
        <f t="shared" si="38"/>
        <v>24</v>
      </c>
      <c r="P139" s="124">
        <f t="shared" si="32"/>
        <v>0</v>
      </c>
      <c r="Q139" s="125"/>
      <c r="R139" s="125"/>
      <c r="S139" s="125"/>
      <c r="T139" s="125"/>
      <c r="U139" s="125"/>
      <c r="V139" s="125"/>
      <c r="W139" s="125"/>
      <c r="X139" s="125"/>
      <c r="Y139" s="125"/>
      <c r="Z139" s="125"/>
    </row>
    <row r="140" spans="1:26">
      <c r="A140" s="156">
        <v>133</v>
      </c>
      <c r="B140" s="148" t="str">
        <f t="shared" si="33"/>
        <v>12-й год 1-й мес</v>
      </c>
      <c r="C140" s="149">
        <f t="shared" si="39"/>
        <v>45240</v>
      </c>
      <c r="D140" s="150">
        <f t="shared" si="29"/>
        <v>0</v>
      </c>
      <c r="E140" s="157">
        <f t="shared" si="34"/>
        <v>0</v>
      </c>
      <c r="F140" s="151">
        <f t="shared" si="40"/>
        <v>0</v>
      </c>
      <c r="G140" s="158">
        <f t="shared" si="35"/>
        <v>0</v>
      </c>
      <c r="H140" s="159">
        <f t="shared" si="30"/>
        <v>0</v>
      </c>
      <c r="I140" s="157">
        <f t="shared" si="41"/>
        <v>0</v>
      </c>
      <c r="J140" s="157">
        <f t="shared" si="36"/>
        <v>0</v>
      </c>
      <c r="K140" s="160">
        <f t="shared" si="37"/>
        <v>0</v>
      </c>
      <c r="L140" s="169"/>
      <c r="M140" s="168"/>
      <c r="N140" s="155">
        <f t="shared" si="31"/>
        <v>7</v>
      </c>
      <c r="O140" s="123">
        <f t="shared" si="38"/>
        <v>24</v>
      </c>
      <c r="P140" s="124">
        <f t="shared" si="32"/>
        <v>0</v>
      </c>
      <c r="Q140" s="125"/>
      <c r="R140" s="125"/>
      <c r="S140" s="125"/>
      <c r="T140" s="125"/>
      <c r="U140" s="125"/>
      <c r="V140" s="125"/>
      <c r="W140" s="125"/>
      <c r="X140" s="125"/>
      <c r="Y140" s="125"/>
      <c r="Z140" s="125"/>
    </row>
    <row r="141" spans="1:26">
      <c r="A141" s="161">
        <v>134</v>
      </c>
      <c r="B141" s="148" t="str">
        <f t="shared" si="33"/>
        <v>12-й год 2-й мес</v>
      </c>
      <c r="C141" s="149">
        <f t="shared" si="39"/>
        <v>45270</v>
      </c>
      <c r="D141" s="150">
        <f t="shared" si="29"/>
        <v>0</v>
      </c>
      <c r="E141" s="151">
        <f t="shared" si="34"/>
        <v>0</v>
      </c>
      <c r="F141" s="151">
        <f t="shared" si="40"/>
        <v>0</v>
      </c>
      <c r="G141" s="152">
        <f t="shared" si="35"/>
        <v>0</v>
      </c>
      <c r="H141" s="153">
        <f t="shared" si="30"/>
        <v>0</v>
      </c>
      <c r="I141" s="151">
        <f t="shared" si="41"/>
        <v>0</v>
      </c>
      <c r="J141" s="151">
        <f t="shared" si="36"/>
        <v>0</v>
      </c>
      <c r="K141" s="154">
        <f t="shared" si="37"/>
        <v>0</v>
      </c>
      <c r="L141" s="167"/>
      <c r="M141" s="171"/>
      <c r="N141" s="155">
        <f t="shared" si="31"/>
        <v>7</v>
      </c>
      <c r="O141" s="123">
        <f t="shared" si="38"/>
        <v>24</v>
      </c>
      <c r="P141" s="124">
        <f t="shared" si="32"/>
        <v>0</v>
      </c>
      <c r="Q141" s="125"/>
      <c r="R141" s="125"/>
      <c r="S141" s="125"/>
      <c r="T141" s="125"/>
      <c r="U141" s="125"/>
      <c r="V141" s="125"/>
      <c r="W141" s="125"/>
      <c r="X141" s="125"/>
      <c r="Y141" s="125"/>
      <c r="Z141" s="125"/>
    </row>
    <row r="142" spans="1:26">
      <c r="A142" s="161">
        <v>135</v>
      </c>
      <c r="B142" s="148" t="str">
        <f t="shared" si="33"/>
        <v>12-й год 3-й мес</v>
      </c>
      <c r="C142" s="149">
        <f t="shared" si="39"/>
        <v>45301</v>
      </c>
      <c r="D142" s="150">
        <f t="shared" si="29"/>
        <v>0</v>
      </c>
      <c r="E142" s="151">
        <f t="shared" si="34"/>
        <v>0</v>
      </c>
      <c r="F142" s="151">
        <f t="shared" si="40"/>
        <v>0</v>
      </c>
      <c r="G142" s="152">
        <f t="shared" si="35"/>
        <v>0</v>
      </c>
      <c r="H142" s="153">
        <f t="shared" si="30"/>
        <v>0</v>
      </c>
      <c r="I142" s="151">
        <f t="shared" si="41"/>
        <v>0</v>
      </c>
      <c r="J142" s="151">
        <f t="shared" si="36"/>
        <v>0</v>
      </c>
      <c r="K142" s="154">
        <f t="shared" si="37"/>
        <v>0</v>
      </c>
      <c r="L142" s="167"/>
      <c r="M142" s="171"/>
      <c r="N142" s="155">
        <f t="shared" si="31"/>
        <v>7</v>
      </c>
      <c r="O142" s="123">
        <f t="shared" si="38"/>
        <v>24</v>
      </c>
      <c r="P142" s="124">
        <f t="shared" si="32"/>
        <v>0</v>
      </c>
      <c r="Q142" s="125"/>
      <c r="R142" s="125"/>
      <c r="S142" s="125"/>
      <c r="T142" s="125"/>
      <c r="U142" s="125"/>
      <c r="V142" s="125"/>
      <c r="W142" s="125"/>
      <c r="X142" s="125"/>
      <c r="Y142" s="125"/>
      <c r="Z142" s="125"/>
    </row>
    <row r="143" spans="1:26">
      <c r="A143" s="161">
        <v>136</v>
      </c>
      <c r="B143" s="148" t="str">
        <f t="shared" si="33"/>
        <v>12-й год 4-й мес</v>
      </c>
      <c r="C143" s="149">
        <f t="shared" si="39"/>
        <v>45332</v>
      </c>
      <c r="D143" s="150">
        <f t="shared" si="29"/>
        <v>0</v>
      </c>
      <c r="E143" s="151">
        <f t="shared" si="34"/>
        <v>0</v>
      </c>
      <c r="F143" s="151">
        <f t="shared" si="40"/>
        <v>0</v>
      </c>
      <c r="G143" s="152">
        <f t="shared" si="35"/>
        <v>0</v>
      </c>
      <c r="H143" s="153">
        <f t="shared" si="30"/>
        <v>0</v>
      </c>
      <c r="I143" s="151">
        <f t="shared" si="41"/>
        <v>0</v>
      </c>
      <c r="J143" s="151">
        <f t="shared" si="36"/>
        <v>0</v>
      </c>
      <c r="K143" s="154">
        <f t="shared" si="37"/>
        <v>0</v>
      </c>
      <c r="L143" s="167"/>
      <c r="M143" s="171"/>
      <c r="N143" s="155">
        <f t="shared" si="31"/>
        <v>7</v>
      </c>
      <c r="O143" s="123">
        <f t="shared" si="38"/>
        <v>24</v>
      </c>
      <c r="P143" s="124">
        <f t="shared" si="32"/>
        <v>0</v>
      </c>
      <c r="Q143" s="125"/>
      <c r="R143" s="125"/>
      <c r="S143" s="125"/>
      <c r="T143" s="125"/>
      <c r="U143" s="125"/>
      <c r="V143" s="125"/>
      <c r="W143" s="125"/>
      <c r="X143" s="125"/>
      <c r="Y143" s="125"/>
      <c r="Z143" s="125"/>
    </row>
    <row r="144" spans="1:26">
      <c r="A144" s="161">
        <v>137</v>
      </c>
      <c r="B144" s="148" t="str">
        <f t="shared" si="33"/>
        <v>12-й год 5-й мес</v>
      </c>
      <c r="C144" s="149">
        <f t="shared" si="39"/>
        <v>45361</v>
      </c>
      <c r="D144" s="150">
        <f t="shared" si="29"/>
        <v>0</v>
      </c>
      <c r="E144" s="151">
        <f t="shared" si="34"/>
        <v>0</v>
      </c>
      <c r="F144" s="151">
        <f t="shared" si="40"/>
        <v>0</v>
      </c>
      <c r="G144" s="152">
        <f t="shared" si="35"/>
        <v>0</v>
      </c>
      <c r="H144" s="153">
        <f t="shared" si="30"/>
        <v>0</v>
      </c>
      <c r="I144" s="151">
        <f t="shared" si="41"/>
        <v>0</v>
      </c>
      <c r="J144" s="151">
        <f t="shared" si="36"/>
        <v>0</v>
      </c>
      <c r="K144" s="154">
        <f t="shared" si="37"/>
        <v>0</v>
      </c>
      <c r="L144" s="167"/>
      <c r="M144" s="171"/>
      <c r="N144" s="155">
        <f t="shared" si="31"/>
        <v>7</v>
      </c>
      <c r="O144" s="123">
        <f t="shared" si="38"/>
        <v>24</v>
      </c>
      <c r="P144" s="124">
        <f t="shared" si="32"/>
        <v>0</v>
      </c>
      <c r="Q144" s="125"/>
      <c r="R144" s="125"/>
      <c r="S144" s="125"/>
      <c r="T144" s="125"/>
      <c r="U144" s="125"/>
      <c r="V144" s="125"/>
      <c r="W144" s="125"/>
      <c r="X144" s="125"/>
      <c r="Y144" s="125"/>
      <c r="Z144" s="125"/>
    </row>
    <row r="145" spans="1:26">
      <c r="A145" s="161">
        <v>138</v>
      </c>
      <c r="B145" s="148" t="str">
        <f t="shared" si="33"/>
        <v>12-й год 6-й мес</v>
      </c>
      <c r="C145" s="149">
        <f t="shared" si="39"/>
        <v>45392</v>
      </c>
      <c r="D145" s="150">
        <f t="shared" si="29"/>
        <v>0</v>
      </c>
      <c r="E145" s="151">
        <f t="shared" si="34"/>
        <v>0</v>
      </c>
      <c r="F145" s="151">
        <f t="shared" si="40"/>
        <v>0</v>
      </c>
      <c r="G145" s="152">
        <f t="shared" si="35"/>
        <v>0</v>
      </c>
      <c r="H145" s="153">
        <f t="shared" si="30"/>
        <v>0</v>
      </c>
      <c r="I145" s="151">
        <f t="shared" si="41"/>
        <v>0</v>
      </c>
      <c r="J145" s="151">
        <f t="shared" si="36"/>
        <v>0</v>
      </c>
      <c r="K145" s="154">
        <f t="shared" si="37"/>
        <v>0</v>
      </c>
      <c r="L145" s="167"/>
      <c r="M145" s="171"/>
      <c r="N145" s="155">
        <f t="shared" si="31"/>
        <v>7</v>
      </c>
      <c r="O145" s="123">
        <f t="shared" si="38"/>
        <v>24</v>
      </c>
      <c r="P145" s="124">
        <f t="shared" si="32"/>
        <v>0</v>
      </c>
      <c r="Q145" s="125"/>
      <c r="R145" s="125"/>
      <c r="S145" s="125"/>
      <c r="T145" s="125"/>
      <c r="U145" s="125"/>
      <c r="V145" s="125"/>
      <c r="W145" s="125"/>
      <c r="X145" s="125"/>
      <c r="Y145" s="125"/>
      <c r="Z145" s="125"/>
    </row>
    <row r="146" spans="1:26">
      <c r="A146" s="161">
        <v>139</v>
      </c>
      <c r="B146" s="148" t="str">
        <f t="shared" si="33"/>
        <v>12-й год 7-й мес</v>
      </c>
      <c r="C146" s="149">
        <f t="shared" si="39"/>
        <v>45422</v>
      </c>
      <c r="D146" s="150">
        <f t="shared" si="29"/>
        <v>0</v>
      </c>
      <c r="E146" s="151">
        <f t="shared" si="34"/>
        <v>0</v>
      </c>
      <c r="F146" s="151">
        <f t="shared" si="40"/>
        <v>0</v>
      </c>
      <c r="G146" s="152">
        <f t="shared" si="35"/>
        <v>0</v>
      </c>
      <c r="H146" s="153">
        <f t="shared" si="30"/>
        <v>0</v>
      </c>
      <c r="I146" s="151">
        <f t="shared" si="41"/>
        <v>0</v>
      </c>
      <c r="J146" s="151">
        <f t="shared" si="36"/>
        <v>0</v>
      </c>
      <c r="K146" s="154">
        <f t="shared" si="37"/>
        <v>0</v>
      </c>
      <c r="L146" s="167"/>
      <c r="M146" s="171"/>
      <c r="N146" s="155">
        <f t="shared" si="31"/>
        <v>7</v>
      </c>
      <c r="O146" s="123">
        <f t="shared" si="38"/>
        <v>24</v>
      </c>
      <c r="P146" s="124">
        <f t="shared" si="32"/>
        <v>0</v>
      </c>
      <c r="Q146" s="125"/>
      <c r="R146" s="125"/>
      <c r="S146" s="125"/>
      <c r="T146" s="125"/>
      <c r="U146" s="125"/>
      <c r="V146" s="125"/>
      <c r="W146" s="125"/>
      <c r="X146" s="125"/>
      <c r="Y146" s="125"/>
      <c r="Z146" s="125"/>
    </row>
    <row r="147" spans="1:26">
      <c r="A147" s="161">
        <v>140</v>
      </c>
      <c r="B147" s="148" t="str">
        <f t="shared" si="33"/>
        <v>12-й год 8-й мес</v>
      </c>
      <c r="C147" s="149">
        <f t="shared" si="39"/>
        <v>45453</v>
      </c>
      <c r="D147" s="150">
        <f t="shared" si="29"/>
        <v>0</v>
      </c>
      <c r="E147" s="151">
        <f t="shared" si="34"/>
        <v>0</v>
      </c>
      <c r="F147" s="151">
        <f t="shared" si="40"/>
        <v>0</v>
      </c>
      <c r="G147" s="152">
        <f t="shared" si="35"/>
        <v>0</v>
      </c>
      <c r="H147" s="153">
        <f t="shared" si="30"/>
        <v>0</v>
      </c>
      <c r="I147" s="151">
        <f t="shared" si="41"/>
        <v>0</v>
      </c>
      <c r="J147" s="151">
        <f t="shared" si="36"/>
        <v>0</v>
      </c>
      <c r="K147" s="154">
        <f t="shared" si="37"/>
        <v>0</v>
      </c>
      <c r="L147" s="167"/>
      <c r="M147" s="171"/>
      <c r="N147" s="155">
        <f t="shared" si="31"/>
        <v>7</v>
      </c>
      <c r="O147" s="123">
        <f t="shared" si="38"/>
        <v>24</v>
      </c>
      <c r="P147" s="124">
        <f t="shared" si="32"/>
        <v>0</v>
      </c>
      <c r="Q147" s="125"/>
      <c r="R147" s="125"/>
      <c r="S147" s="125"/>
      <c r="T147" s="125"/>
      <c r="U147" s="125"/>
      <c r="V147" s="125"/>
      <c r="W147" s="125"/>
      <c r="X147" s="125"/>
      <c r="Y147" s="125"/>
      <c r="Z147" s="125"/>
    </row>
    <row r="148" spans="1:26">
      <c r="A148" s="161">
        <v>141</v>
      </c>
      <c r="B148" s="148" t="str">
        <f t="shared" si="33"/>
        <v>12-й год 9-й мес</v>
      </c>
      <c r="C148" s="149">
        <f t="shared" si="39"/>
        <v>45483</v>
      </c>
      <c r="D148" s="150">
        <f t="shared" si="29"/>
        <v>0</v>
      </c>
      <c r="E148" s="151">
        <f t="shared" si="34"/>
        <v>0</v>
      </c>
      <c r="F148" s="151">
        <f t="shared" si="40"/>
        <v>0</v>
      </c>
      <c r="G148" s="152">
        <f t="shared" si="35"/>
        <v>0</v>
      </c>
      <c r="H148" s="153">
        <f t="shared" si="30"/>
        <v>0</v>
      </c>
      <c r="I148" s="151">
        <f t="shared" si="41"/>
        <v>0</v>
      </c>
      <c r="J148" s="151">
        <f t="shared" si="36"/>
        <v>0</v>
      </c>
      <c r="K148" s="154">
        <f t="shared" si="37"/>
        <v>0</v>
      </c>
      <c r="L148" s="167"/>
      <c r="M148" s="171"/>
      <c r="N148" s="155">
        <f t="shared" si="31"/>
        <v>7</v>
      </c>
      <c r="O148" s="123">
        <f t="shared" si="38"/>
        <v>24</v>
      </c>
      <c r="P148" s="124">
        <f t="shared" si="32"/>
        <v>0</v>
      </c>
      <c r="Q148" s="125"/>
      <c r="R148" s="125"/>
      <c r="S148" s="125"/>
      <c r="T148" s="125"/>
      <c r="U148" s="125"/>
      <c r="V148" s="125"/>
      <c r="W148" s="125"/>
      <c r="X148" s="125"/>
      <c r="Y148" s="125"/>
      <c r="Z148" s="125"/>
    </row>
    <row r="149" spans="1:26">
      <c r="A149" s="161">
        <v>142</v>
      </c>
      <c r="B149" s="148" t="str">
        <f t="shared" si="33"/>
        <v>12-й год 10-й мес</v>
      </c>
      <c r="C149" s="149">
        <f t="shared" si="39"/>
        <v>45514</v>
      </c>
      <c r="D149" s="150">
        <f t="shared" si="29"/>
        <v>0</v>
      </c>
      <c r="E149" s="151">
        <f t="shared" si="34"/>
        <v>0</v>
      </c>
      <c r="F149" s="151">
        <f t="shared" si="40"/>
        <v>0</v>
      </c>
      <c r="G149" s="152">
        <f t="shared" si="35"/>
        <v>0</v>
      </c>
      <c r="H149" s="153">
        <f t="shared" si="30"/>
        <v>0</v>
      </c>
      <c r="I149" s="151">
        <f t="shared" si="41"/>
        <v>0</v>
      </c>
      <c r="J149" s="151">
        <f t="shared" si="36"/>
        <v>0</v>
      </c>
      <c r="K149" s="154">
        <f t="shared" si="37"/>
        <v>0</v>
      </c>
      <c r="L149" s="167"/>
      <c r="M149" s="171"/>
      <c r="N149" s="155">
        <f t="shared" si="31"/>
        <v>7</v>
      </c>
      <c r="O149" s="123">
        <f t="shared" si="38"/>
        <v>24</v>
      </c>
      <c r="P149" s="124">
        <f t="shared" si="32"/>
        <v>0</v>
      </c>
      <c r="Q149" s="125"/>
      <c r="R149" s="125"/>
      <c r="S149" s="125"/>
      <c r="T149" s="125"/>
      <c r="U149" s="125"/>
      <c r="V149" s="125"/>
      <c r="W149" s="125"/>
      <c r="X149" s="125"/>
      <c r="Y149" s="125"/>
      <c r="Z149" s="125"/>
    </row>
    <row r="150" spans="1:26">
      <c r="A150" s="161">
        <v>143</v>
      </c>
      <c r="B150" s="148" t="str">
        <f t="shared" si="33"/>
        <v>12-й год 11-й мес</v>
      </c>
      <c r="C150" s="149">
        <f t="shared" si="39"/>
        <v>45545</v>
      </c>
      <c r="D150" s="150">
        <f t="shared" si="29"/>
        <v>0</v>
      </c>
      <c r="E150" s="151">
        <f t="shared" si="34"/>
        <v>0</v>
      </c>
      <c r="F150" s="151">
        <f t="shared" si="40"/>
        <v>0</v>
      </c>
      <c r="G150" s="152">
        <f t="shared" si="35"/>
        <v>0</v>
      </c>
      <c r="H150" s="153">
        <f t="shared" si="30"/>
        <v>0</v>
      </c>
      <c r="I150" s="151">
        <f t="shared" si="41"/>
        <v>0</v>
      </c>
      <c r="J150" s="151">
        <f t="shared" si="36"/>
        <v>0</v>
      </c>
      <c r="K150" s="154">
        <f t="shared" si="37"/>
        <v>0</v>
      </c>
      <c r="L150" s="167"/>
      <c r="M150" s="171"/>
      <c r="N150" s="155">
        <f t="shared" si="31"/>
        <v>7</v>
      </c>
      <c r="O150" s="123">
        <f t="shared" si="38"/>
        <v>24</v>
      </c>
      <c r="P150" s="124">
        <f t="shared" si="32"/>
        <v>0</v>
      </c>
      <c r="Q150" s="125"/>
      <c r="R150" s="125"/>
      <c r="S150" s="125"/>
      <c r="T150" s="125"/>
      <c r="U150" s="125"/>
      <c r="V150" s="125"/>
      <c r="W150" s="125"/>
      <c r="X150" s="125"/>
      <c r="Y150" s="125"/>
      <c r="Z150" s="125"/>
    </row>
    <row r="151" spans="1:26">
      <c r="A151" s="162">
        <v>144</v>
      </c>
      <c r="B151" s="148" t="str">
        <f t="shared" si="33"/>
        <v>12-й год 12-й мес</v>
      </c>
      <c r="C151" s="149">
        <f t="shared" si="39"/>
        <v>45575</v>
      </c>
      <c r="D151" s="150">
        <f t="shared" si="29"/>
        <v>0</v>
      </c>
      <c r="E151" s="163">
        <f t="shared" si="34"/>
        <v>0</v>
      </c>
      <c r="F151" s="151">
        <f t="shared" si="40"/>
        <v>0</v>
      </c>
      <c r="G151" s="164">
        <f t="shared" si="35"/>
        <v>0</v>
      </c>
      <c r="H151" s="165">
        <f t="shared" si="30"/>
        <v>0</v>
      </c>
      <c r="I151" s="163">
        <f t="shared" si="41"/>
        <v>0</v>
      </c>
      <c r="J151" s="163">
        <f t="shared" si="36"/>
        <v>0</v>
      </c>
      <c r="K151" s="166">
        <f t="shared" si="37"/>
        <v>0</v>
      </c>
      <c r="L151" s="170"/>
      <c r="M151" s="172"/>
      <c r="N151" s="155">
        <f t="shared" si="31"/>
        <v>7</v>
      </c>
      <c r="O151" s="123">
        <f t="shared" si="38"/>
        <v>24</v>
      </c>
      <c r="P151" s="124">
        <f t="shared" si="32"/>
        <v>0</v>
      </c>
      <c r="Q151" s="125"/>
      <c r="R151" s="125"/>
      <c r="S151" s="125"/>
      <c r="T151" s="125"/>
      <c r="U151" s="125"/>
      <c r="V151" s="125"/>
      <c r="W151" s="125"/>
      <c r="X151" s="125"/>
      <c r="Y151" s="125"/>
      <c r="Z151" s="125"/>
    </row>
    <row r="152" spans="1:26">
      <c r="A152" s="147">
        <v>145</v>
      </c>
      <c r="B152" s="148" t="str">
        <f t="shared" si="33"/>
        <v>13-й год 1-й мес</v>
      </c>
      <c r="C152" s="149">
        <f t="shared" si="39"/>
        <v>45606</v>
      </c>
      <c r="D152" s="150">
        <f t="shared" si="29"/>
        <v>0</v>
      </c>
      <c r="E152" s="151">
        <f t="shared" si="34"/>
        <v>0</v>
      </c>
      <c r="F152" s="151">
        <f t="shared" si="40"/>
        <v>0</v>
      </c>
      <c r="G152" s="152">
        <f t="shared" si="35"/>
        <v>0</v>
      </c>
      <c r="H152" s="153">
        <f t="shared" si="30"/>
        <v>0</v>
      </c>
      <c r="I152" s="151">
        <f t="shared" si="41"/>
        <v>0</v>
      </c>
      <c r="J152" s="151">
        <f t="shared" si="36"/>
        <v>0</v>
      </c>
      <c r="K152" s="154">
        <f t="shared" si="37"/>
        <v>0</v>
      </c>
      <c r="L152" s="167"/>
      <c r="M152" s="171"/>
      <c r="N152" s="155">
        <f t="shared" si="31"/>
        <v>7</v>
      </c>
      <c r="O152" s="123">
        <f t="shared" si="38"/>
        <v>24</v>
      </c>
      <c r="P152" s="124">
        <f t="shared" si="32"/>
        <v>0</v>
      </c>
      <c r="Q152" s="125"/>
      <c r="R152" s="125"/>
      <c r="S152" s="125"/>
      <c r="T152" s="125"/>
      <c r="U152" s="125"/>
      <c r="V152" s="125"/>
      <c r="W152" s="125"/>
      <c r="X152" s="125"/>
      <c r="Y152" s="125"/>
      <c r="Z152" s="125"/>
    </row>
    <row r="153" spans="1:26">
      <c r="A153" s="147">
        <v>146</v>
      </c>
      <c r="B153" s="148" t="str">
        <f t="shared" si="33"/>
        <v>13-й год 2-й мес</v>
      </c>
      <c r="C153" s="149">
        <f t="shared" si="39"/>
        <v>45636</v>
      </c>
      <c r="D153" s="150">
        <f t="shared" si="29"/>
        <v>0</v>
      </c>
      <c r="E153" s="151">
        <f t="shared" si="34"/>
        <v>0</v>
      </c>
      <c r="F153" s="151">
        <f t="shared" si="40"/>
        <v>0</v>
      </c>
      <c r="G153" s="152">
        <f t="shared" si="35"/>
        <v>0</v>
      </c>
      <c r="H153" s="153">
        <f t="shared" si="30"/>
        <v>0</v>
      </c>
      <c r="I153" s="151">
        <f t="shared" si="41"/>
        <v>0</v>
      </c>
      <c r="J153" s="151">
        <f t="shared" si="36"/>
        <v>0</v>
      </c>
      <c r="K153" s="154">
        <f t="shared" si="37"/>
        <v>0</v>
      </c>
      <c r="L153" s="167"/>
      <c r="M153" s="171"/>
      <c r="N153" s="155">
        <f t="shared" si="31"/>
        <v>7</v>
      </c>
      <c r="O153" s="123">
        <f t="shared" si="38"/>
        <v>24</v>
      </c>
      <c r="P153" s="124">
        <f t="shared" si="32"/>
        <v>0</v>
      </c>
      <c r="Q153" s="125"/>
      <c r="R153" s="125"/>
      <c r="S153" s="125"/>
      <c r="T153" s="125"/>
      <c r="U153" s="125"/>
      <c r="V153" s="125"/>
      <c r="W153" s="125"/>
      <c r="X153" s="125"/>
      <c r="Y153" s="125"/>
      <c r="Z153" s="125"/>
    </row>
    <row r="154" spans="1:26">
      <c r="A154" s="147">
        <v>147</v>
      </c>
      <c r="B154" s="148" t="str">
        <f t="shared" si="33"/>
        <v>13-й год 3-й мес</v>
      </c>
      <c r="C154" s="149">
        <f t="shared" si="39"/>
        <v>45667</v>
      </c>
      <c r="D154" s="150">
        <f t="shared" si="29"/>
        <v>0</v>
      </c>
      <c r="E154" s="151">
        <f t="shared" si="34"/>
        <v>0</v>
      </c>
      <c r="F154" s="151">
        <f t="shared" si="40"/>
        <v>0</v>
      </c>
      <c r="G154" s="152">
        <f t="shared" si="35"/>
        <v>0</v>
      </c>
      <c r="H154" s="153">
        <f t="shared" si="30"/>
        <v>0</v>
      </c>
      <c r="I154" s="151">
        <f t="shared" si="41"/>
        <v>0</v>
      </c>
      <c r="J154" s="151">
        <f t="shared" si="36"/>
        <v>0</v>
      </c>
      <c r="K154" s="154">
        <f t="shared" si="37"/>
        <v>0</v>
      </c>
      <c r="L154" s="167"/>
      <c r="M154" s="171"/>
      <c r="N154" s="155">
        <f t="shared" si="31"/>
        <v>7</v>
      </c>
      <c r="O154" s="123">
        <f t="shared" si="38"/>
        <v>24</v>
      </c>
      <c r="P154" s="124">
        <f t="shared" si="32"/>
        <v>0</v>
      </c>
      <c r="Q154" s="125"/>
      <c r="R154" s="125"/>
      <c r="S154" s="125"/>
      <c r="T154" s="125"/>
      <c r="U154" s="125"/>
      <c r="V154" s="125"/>
      <c r="W154" s="125"/>
      <c r="X154" s="125"/>
      <c r="Y154" s="125"/>
      <c r="Z154" s="125"/>
    </row>
    <row r="155" spans="1:26">
      <c r="A155" s="147">
        <v>148</v>
      </c>
      <c r="B155" s="148" t="str">
        <f t="shared" si="33"/>
        <v>13-й год 4-й мес</v>
      </c>
      <c r="C155" s="149">
        <f t="shared" si="39"/>
        <v>45698</v>
      </c>
      <c r="D155" s="150">
        <f t="shared" si="29"/>
        <v>0</v>
      </c>
      <c r="E155" s="151">
        <f t="shared" si="34"/>
        <v>0</v>
      </c>
      <c r="F155" s="151">
        <f t="shared" si="40"/>
        <v>0</v>
      </c>
      <c r="G155" s="152">
        <f t="shared" si="35"/>
        <v>0</v>
      </c>
      <c r="H155" s="153">
        <f t="shared" si="30"/>
        <v>0</v>
      </c>
      <c r="I155" s="151">
        <f t="shared" si="41"/>
        <v>0</v>
      </c>
      <c r="J155" s="151">
        <f t="shared" si="36"/>
        <v>0</v>
      </c>
      <c r="K155" s="154">
        <f t="shared" si="37"/>
        <v>0</v>
      </c>
      <c r="L155" s="167"/>
      <c r="M155" s="171"/>
      <c r="N155" s="155">
        <f t="shared" si="31"/>
        <v>7</v>
      </c>
      <c r="O155" s="123">
        <f t="shared" si="38"/>
        <v>24</v>
      </c>
      <c r="P155" s="124">
        <f t="shared" si="32"/>
        <v>0</v>
      </c>
      <c r="Q155" s="125"/>
      <c r="R155" s="125"/>
      <c r="S155" s="125"/>
      <c r="T155" s="125"/>
      <c r="U155" s="125"/>
      <c r="V155" s="125"/>
      <c r="W155" s="125"/>
      <c r="X155" s="125"/>
      <c r="Y155" s="125"/>
      <c r="Z155" s="125"/>
    </row>
    <row r="156" spans="1:26">
      <c r="A156" s="147">
        <v>149</v>
      </c>
      <c r="B156" s="148" t="str">
        <f t="shared" si="33"/>
        <v>13-й год 5-й мес</v>
      </c>
      <c r="C156" s="149">
        <f t="shared" si="39"/>
        <v>45726</v>
      </c>
      <c r="D156" s="150">
        <f t="shared" si="29"/>
        <v>0</v>
      </c>
      <c r="E156" s="151">
        <f t="shared" si="34"/>
        <v>0</v>
      </c>
      <c r="F156" s="151">
        <f t="shared" si="40"/>
        <v>0</v>
      </c>
      <c r="G156" s="152">
        <f t="shared" si="35"/>
        <v>0</v>
      </c>
      <c r="H156" s="153">
        <f t="shared" si="30"/>
        <v>0</v>
      </c>
      <c r="I156" s="151">
        <f t="shared" si="41"/>
        <v>0</v>
      </c>
      <c r="J156" s="151">
        <f t="shared" si="36"/>
        <v>0</v>
      </c>
      <c r="K156" s="154">
        <f t="shared" si="37"/>
        <v>0</v>
      </c>
      <c r="L156" s="167"/>
      <c r="M156" s="171"/>
      <c r="N156" s="155">
        <f t="shared" si="31"/>
        <v>7</v>
      </c>
      <c r="O156" s="123">
        <f t="shared" si="38"/>
        <v>24</v>
      </c>
      <c r="P156" s="124">
        <f t="shared" si="32"/>
        <v>0</v>
      </c>
      <c r="Q156" s="125"/>
      <c r="R156" s="125"/>
      <c r="S156" s="125"/>
      <c r="T156" s="125"/>
      <c r="U156" s="125"/>
      <c r="V156" s="125"/>
      <c r="W156" s="125"/>
      <c r="X156" s="125"/>
      <c r="Y156" s="125"/>
      <c r="Z156" s="125"/>
    </row>
    <row r="157" spans="1:26">
      <c r="A157" s="147">
        <v>150</v>
      </c>
      <c r="B157" s="148" t="str">
        <f t="shared" si="33"/>
        <v>13-й год 6-й мес</v>
      </c>
      <c r="C157" s="149">
        <f t="shared" si="39"/>
        <v>45757</v>
      </c>
      <c r="D157" s="150">
        <f t="shared" si="29"/>
        <v>0</v>
      </c>
      <c r="E157" s="151">
        <f t="shared" si="34"/>
        <v>0</v>
      </c>
      <c r="F157" s="151">
        <f t="shared" si="40"/>
        <v>0</v>
      </c>
      <c r="G157" s="152">
        <f t="shared" si="35"/>
        <v>0</v>
      </c>
      <c r="H157" s="153">
        <f t="shared" si="30"/>
        <v>0</v>
      </c>
      <c r="I157" s="151">
        <f t="shared" si="41"/>
        <v>0</v>
      </c>
      <c r="J157" s="151">
        <f t="shared" si="36"/>
        <v>0</v>
      </c>
      <c r="K157" s="154">
        <f t="shared" si="37"/>
        <v>0</v>
      </c>
      <c r="L157" s="167"/>
      <c r="M157" s="171"/>
      <c r="N157" s="155">
        <f t="shared" si="31"/>
        <v>7</v>
      </c>
      <c r="O157" s="123">
        <f t="shared" si="38"/>
        <v>24</v>
      </c>
      <c r="P157" s="124">
        <f t="shared" si="32"/>
        <v>0</v>
      </c>
      <c r="Q157" s="125"/>
      <c r="R157" s="125"/>
      <c r="S157" s="125"/>
      <c r="T157" s="125"/>
      <c r="U157" s="125"/>
      <c r="V157" s="125"/>
      <c r="W157" s="125"/>
      <c r="X157" s="125"/>
      <c r="Y157" s="125"/>
      <c r="Z157" s="125"/>
    </row>
    <row r="158" spans="1:26">
      <c r="A158" s="147">
        <v>151</v>
      </c>
      <c r="B158" s="148" t="str">
        <f t="shared" si="33"/>
        <v>13-й год 7-й мес</v>
      </c>
      <c r="C158" s="149">
        <f t="shared" si="39"/>
        <v>45787</v>
      </c>
      <c r="D158" s="150">
        <f t="shared" si="29"/>
        <v>0</v>
      </c>
      <c r="E158" s="151">
        <f t="shared" si="34"/>
        <v>0</v>
      </c>
      <c r="F158" s="151">
        <f t="shared" si="40"/>
        <v>0</v>
      </c>
      <c r="G158" s="152">
        <f t="shared" si="35"/>
        <v>0</v>
      </c>
      <c r="H158" s="153">
        <f t="shared" si="30"/>
        <v>0</v>
      </c>
      <c r="I158" s="151">
        <f t="shared" si="41"/>
        <v>0</v>
      </c>
      <c r="J158" s="151">
        <f t="shared" si="36"/>
        <v>0</v>
      </c>
      <c r="K158" s="154">
        <f t="shared" si="37"/>
        <v>0</v>
      </c>
      <c r="L158" s="167"/>
      <c r="M158" s="171"/>
      <c r="N158" s="155">
        <f t="shared" si="31"/>
        <v>7</v>
      </c>
      <c r="O158" s="123">
        <f t="shared" si="38"/>
        <v>24</v>
      </c>
      <c r="P158" s="124">
        <f t="shared" si="32"/>
        <v>0</v>
      </c>
      <c r="Q158" s="125"/>
      <c r="R158" s="125"/>
      <c r="S158" s="125"/>
      <c r="T158" s="125"/>
      <c r="U158" s="125"/>
      <c r="V158" s="125"/>
      <c r="W158" s="125"/>
      <c r="X158" s="125"/>
      <c r="Y158" s="125"/>
      <c r="Z158" s="125"/>
    </row>
    <row r="159" spans="1:26">
      <c r="A159" s="147">
        <v>152</v>
      </c>
      <c r="B159" s="148" t="str">
        <f t="shared" si="33"/>
        <v>13-й год 8-й мес</v>
      </c>
      <c r="C159" s="149">
        <f t="shared" si="39"/>
        <v>45818</v>
      </c>
      <c r="D159" s="150">
        <f t="shared" si="29"/>
        <v>0</v>
      </c>
      <c r="E159" s="151">
        <f t="shared" si="34"/>
        <v>0</v>
      </c>
      <c r="F159" s="151">
        <f t="shared" si="40"/>
        <v>0</v>
      </c>
      <c r="G159" s="152">
        <f t="shared" si="35"/>
        <v>0</v>
      </c>
      <c r="H159" s="153">
        <f t="shared" si="30"/>
        <v>0</v>
      </c>
      <c r="I159" s="151">
        <f t="shared" si="41"/>
        <v>0</v>
      </c>
      <c r="J159" s="151">
        <f t="shared" si="36"/>
        <v>0</v>
      </c>
      <c r="K159" s="154">
        <f t="shared" si="37"/>
        <v>0</v>
      </c>
      <c r="L159" s="167"/>
      <c r="M159" s="171"/>
      <c r="N159" s="155">
        <f t="shared" si="31"/>
        <v>7</v>
      </c>
      <c r="O159" s="123">
        <f t="shared" si="38"/>
        <v>24</v>
      </c>
      <c r="P159" s="124">
        <f t="shared" si="32"/>
        <v>0</v>
      </c>
      <c r="Q159" s="125"/>
      <c r="R159" s="125"/>
      <c r="S159" s="125"/>
      <c r="T159" s="125"/>
      <c r="U159" s="125"/>
      <c r="V159" s="125"/>
      <c r="W159" s="125"/>
      <c r="X159" s="125"/>
      <c r="Y159" s="125"/>
      <c r="Z159" s="125"/>
    </row>
    <row r="160" spans="1:26">
      <c r="A160" s="147">
        <v>153</v>
      </c>
      <c r="B160" s="148" t="str">
        <f t="shared" si="33"/>
        <v>13-й год 9-й мес</v>
      </c>
      <c r="C160" s="149">
        <f t="shared" si="39"/>
        <v>45848</v>
      </c>
      <c r="D160" s="150">
        <f t="shared" si="29"/>
        <v>0</v>
      </c>
      <c r="E160" s="151">
        <f t="shared" si="34"/>
        <v>0</v>
      </c>
      <c r="F160" s="151">
        <f t="shared" si="40"/>
        <v>0</v>
      </c>
      <c r="G160" s="152">
        <f t="shared" si="35"/>
        <v>0</v>
      </c>
      <c r="H160" s="153">
        <f t="shared" si="30"/>
        <v>0</v>
      </c>
      <c r="I160" s="151">
        <f t="shared" si="41"/>
        <v>0</v>
      </c>
      <c r="J160" s="151">
        <f t="shared" si="36"/>
        <v>0</v>
      </c>
      <c r="K160" s="154">
        <f t="shared" si="37"/>
        <v>0</v>
      </c>
      <c r="L160" s="167"/>
      <c r="M160" s="171"/>
      <c r="N160" s="155">
        <f t="shared" si="31"/>
        <v>7</v>
      </c>
      <c r="O160" s="123">
        <f t="shared" si="38"/>
        <v>24</v>
      </c>
      <c r="P160" s="124">
        <f t="shared" si="32"/>
        <v>0</v>
      </c>
      <c r="Q160" s="125"/>
      <c r="R160" s="125"/>
      <c r="S160" s="125"/>
      <c r="T160" s="125"/>
      <c r="U160" s="125"/>
      <c r="V160" s="125"/>
      <c r="W160" s="125"/>
      <c r="X160" s="125"/>
      <c r="Y160" s="125"/>
      <c r="Z160" s="125"/>
    </row>
    <row r="161" spans="1:26">
      <c r="A161" s="147">
        <v>154</v>
      </c>
      <c r="B161" s="148" t="str">
        <f t="shared" si="33"/>
        <v>13-й год 10-й мес</v>
      </c>
      <c r="C161" s="149">
        <f t="shared" si="39"/>
        <v>45879</v>
      </c>
      <c r="D161" s="150">
        <f t="shared" si="29"/>
        <v>0</v>
      </c>
      <c r="E161" s="151">
        <f t="shared" si="34"/>
        <v>0</v>
      </c>
      <c r="F161" s="151">
        <f t="shared" si="40"/>
        <v>0</v>
      </c>
      <c r="G161" s="152">
        <f t="shared" si="35"/>
        <v>0</v>
      </c>
      <c r="H161" s="153">
        <f t="shared" si="30"/>
        <v>0</v>
      </c>
      <c r="I161" s="151">
        <f t="shared" si="41"/>
        <v>0</v>
      </c>
      <c r="J161" s="151">
        <f t="shared" si="36"/>
        <v>0</v>
      </c>
      <c r="K161" s="154">
        <f t="shared" si="37"/>
        <v>0</v>
      </c>
      <c r="L161" s="167"/>
      <c r="M161" s="171"/>
      <c r="N161" s="155">
        <f t="shared" si="31"/>
        <v>7</v>
      </c>
      <c r="O161" s="123">
        <f t="shared" si="38"/>
        <v>24</v>
      </c>
      <c r="P161" s="124">
        <f t="shared" si="32"/>
        <v>0</v>
      </c>
      <c r="Q161" s="125"/>
      <c r="R161" s="125"/>
      <c r="S161" s="125"/>
      <c r="T161" s="125"/>
      <c r="U161" s="125"/>
      <c r="V161" s="125"/>
      <c r="W161" s="125"/>
      <c r="X161" s="125"/>
      <c r="Y161" s="125"/>
      <c r="Z161" s="125"/>
    </row>
    <row r="162" spans="1:26">
      <c r="A162" s="147">
        <v>155</v>
      </c>
      <c r="B162" s="148" t="str">
        <f t="shared" si="33"/>
        <v>13-й год 11-й мес</v>
      </c>
      <c r="C162" s="149">
        <f t="shared" si="39"/>
        <v>45910</v>
      </c>
      <c r="D162" s="150">
        <f t="shared" si="29"/>
        <v>0</v>
      </c>
      <c r="E162" s="151">
        <f t="shared" si="34"/>
        <v>0</v>
      </c>
      <c r="F162" s="151">
        <f t="shared" si="40"/>
        <v>0</v>
      </c>
      <c r="G162" s="152">
        <f t="shared" si="35"/>
        <v>0</v>
      </c>
      <c r="H162" s="153">
        <f t="shared" si="30"/>
        <v>0</v>
      </c>
      <c r="I162" s="151">
        <f t="shared" si="41"/>
        <v>0</v>
      </c>
      <c r="J162" s="151">
        <f t="shared" si="36"/>
        <v>0</v>
      </c>
      <c r="K162" s="154">
        <f t="shared" si="37"/>
        <v>0</v>
      </c>
      <c r="L162" s="167"/>
      <c r="M162" s="171"/>
      <c r="N162" s="155">
        <f t="shared" si="31"/>
        <v>7</v>
      </c>
      <c r="O162" s="123">
        <f t="shared" si="38"/>
        <v>24</v>
      </c>
      <c r="P162" s="124">
        <f t="shared" si="32"/>
        <v>0</v>
      </c>
      <c r="Q162" s="125"/>
      <c r="R162" s="125"/>
      <c r="S162" s="125"/>
      <c r="T162" s="125"/>
      <c r="U162" s="125"/>
      <c r="V162" s="125"/>
      <c r="W162" s="125"/>
      <c r="X162" s="125"/>
      <c r="Y162" s="125"/>
      <c r="Z162" s="125"/>
    </row>
    <row r="163" spans="1:26">
      <c r="A163" s="147">
        <v>156</v>
      </c>
      <c r="B163" s="148" t="str">
        <f t="shared" si="33"/>
        <v>13-й год 12-й мес</v>
      </c>
      <c r="C163" s="149">
        <f t="shared" si="39"/>
        <v>45940</v>
      </c>
      <c r="D163" s="150">
        <f t="shared" si="29"/>
        <v>0</v>
      </c>
      <c r="E163" s="151">
        <f t="shared" si="34"/>
        <v>0</v>
      </c>
      <c r="F163" s="151">
        <f t="shared" si="40"/>
        <v>0</v>
      </c>
      <c r="G163" s="152">
        <f t="shared" si="35"/>
        <v>0</v>
      </c>
      <c r="H163" s="153">
        <f t="shared" si="30"/>
        <v>0</v>
      </c>
      <c r="I163" s="151">
        <f t="shared" si="41"/>
        <v>0</v>
      </c>
      <c r="J163" s="151">
        <f t="shared" si="36"/>
        <v>0</v>
      </c>
      <c r="K163" s="154">
        <f t="shared" si="37"/>
        <v>0</v>
      </c>
      <c r="L163" s="167"/>
      <c r="M163" s="171"/>
      <c r="N163" s="155">
        <f t="shared" si="31"/>
        <v>7</v>
      </c>
      <c r="O163" s="123">
        <f t="shared" si="38"/>
        <v>24</v>
      </c>
      <c r="P163" s="124">
        <f t="shared" si="32"/>
        <v>0</v>
      </c>
      <c r="Q163" s="125"/>
      <c r="R163" s="125"/>
      <c r="S163" s="125"/>
      <c r="T163" s="125"/>
      <c r="U163" s="125"/>
      <c r="V163" s="125"/>
      <c r="W163" s="125"/>
      <c r="X163" s="125"/>
      <c r="Y163" s="125"/>
      <c r="Z163" s="125"/>
    </row>
    <row r="164" spans="1:26">
      <c r="A164" s="156">
        <v>157</v>
      </c>
      <c r="B164" s="148" t="str">
        <f t="shared" si="33"/>
        <v>14-й год 1-й мес</v>
      </c>
      <c r="C164" s="149">
        <f t="shared" si="39"/>
        <v>45971</v>
      </c>
      <c r="D164" s="150">
        <f t="shared" si="29"/>
        <v>0</v>
      </c>
      <c r="E164" s="157">
        <f t="shared" si="34"/>
        <v>0</v>
      </c>
      <c r="F164" s="151">
        <f t="shared" si="40"/>
        <v>0</v>
      </c>
      <c r="G164" s="158">
        <f t="shared" si="35"/>
        <v>0</v>
      </c>
      <c r="H164" s="159">
        <f t="shared" si="30"/>
        <v>0</v>
      </c>
      <c r="I164" s="157">
        <f t="shared" si="41"/>
        <v>0</v>
      </c>
      <c r="J164" s="157">
        <f t="shared" si="36"/>
        <v>0</v>
      </c>
      <c r="K164" s="160">
        <f t="shared" si="37"/>
        <v>0</v>
      </c>
      <c r="L164" s="169"/>
      <c r="M164" s="168"/>
      <c r="N164" s="155">
        <f t="shared" si="31"/>
        <v>7</v>
      </c>
      <c r="O164" s="123">
        <f t="shared" si="38"/>
        <v>24</v>
      </c>
      <c r="P164" s="124">
        <f t="shared" si="32"/>
        <v>0</v>
      </c>
      <c r="Q164" s="125"/>
      <c r="R164" s="125"/>
      <c r="S164" s="125"/>
      <c r="T164" s="125"/>
      <c r="U164" s="125"/>
      <c r="V164" s="125"/>
      <c r="W164" s="125"/>
      <c r="X164" s="125"/>
      <c r="Y164" s="125"/>
      <c r="Z164" s="125"/>
    </row>
    <row r="165" spans="1:26">
      <c r="A165" s="161">
        <v>158</v>
      </c>
      <c r="B165" s="148" t="str">
        <f t="shared" si="33"/>
        <v>14-й год 2-й мес</v>
      </c>
      <c r="C165" s="149">
        <f t="shared" si="39"/>
        <v>46001</v>
      </c>
      <c r="D165" s="150">
        <f t="shared" si="29"/>
        <v>0</v>
      </c>
      <c r="E165" s="151">
        <f t="shared" si="34"/>
        <v>0</v>
      </c>
      <c r="F165" s="151">
        <f t="shared" si="40"/>
        <v>0</v>
      </c>
      <c r="G165" s="152">
        <f t="shared" si="35"/>
        <v>0</v>
      </c>
      <c r="H165" s="153">
        <f t="shared" si="30"/>
        <v>0</v>
      </c>
      <c r="I165" s="151">
        <f t="shared" si="41"/>
        <v>0</v>
      </c>
      <c r="J165" s="151">
        <f t="shared" si="36"/>
        <v>0</v>
      </c>
      <c r="K165" s="154">
        <f t="shared" si="37"/>
        <v>0</v>
      </c>
      <c r="L165" s="167"/>
      <c r="M165" s="171"/>
      <c r="N165" s="155">
        <f t="shared" si="31"/>
        <v>7</v>
      </c>
      <c r="O165" s="123">
        <f t="shared" si="38"/>
        <v>24</v>
      </c>
      <c r="P165" s="124">
        <f t="shared" si="32"/>
        <v>0</v>
      </c>
      <c r="Q165" s="125"/>
      <c r="R165" s="125"/>
      <c r="S165" s="125"/>
      <c r="T165" s="125"/>
      <c r="U165" s="125"/>
      <c r="V165" s="125"/>
      <c r="W165" s="125"/>
      <c r="X165" s="125"/>
      <c r="Y165" s="125"/>
      <c r="Z165" s="125"/>
    </row>
    <row r="166" spans="1:26">
      <c r="A166" s="161">
        <v>159</v>
      </c>
      <c r="B166" s="148" t="str">
        <f t="shared" si="33"/>
        <v>14-й год 3-й мес</v>
      </c>
      <c r="C166" s="149">
        <f t="shared" si="39"/>
        <v>46032</v>
      </c>
      <c r="D166" s="150">
        <f t="shared" si="29"/>
        <v>0</v>
      </c>
      <c r="E166" s="151">
        <f t="shared" si="34"/>
        <v>0</v>
      </c>
      <c r="F166" s="151">
        <f t="shared" si="40"/>
        <v>0</v>
      </c>
      <c r="G166" s="152">
        <f t="shared" si="35"/>
        <v>0</v>
      </c>
      <c r="H166" s="153">
        <f t="shared" si="30"/>
        <v>0</v>
      </c>
      <c r="I166" s="151">
        <f t="shared" si="41"/>
        <v>0</v>
      </c>
      <c r="J166" s="151">
        <f t="shared" si="36"/>
        <v>0</v>
      </c>
      <c r="K166" s="154">
        <f t="shared" si="37"/>
        <v>0</v>
      </c>
      <c r="L166" s="167"/>
      <c r="M166" s="171"/>
      <c r="N166" s="155">
        <f t="shared" si="31"/>
        <v>7</v>
      </c>
      <c r="O166" s="123">
        <f t="shared" si="38"/>
        <v>24</v>
      </c>
      <c r="P166" s="124">
        <f t="shared" si="32"/>
        <v>0</v>
      </c>
      <c r="Q166" s="125"/>
      <c r="R166" s="125"/>
      <c r="S166" s="125"/>
      <c r="T166" s="125"/>
      <c r="U166" s="125"/>
      <c r="V166" s="125"/>
      <c r="W166" s="125"/>
      <c r="X166" s="125"/>
      <c r="Y166" s="125"/>
      <c r="Z166" s="125"/>
    </row>
    <row r="167" spans="1:26">
      <c r="A167" s="161">
        <v>160</v>
      </c>
      <c r="B167" s="148" t="str">
        <f t="shared" si="33"/>
        <v>14-й год 4-й мес</v>
      </c>
      <c r="C167" s="149">
        <f t="shared" si="39"/>
        <v>46063</v>
      </c>
      <c r="D167" s="150">
        <f t="shared" si="29"/>
        <v>0</v>
      </c>
      <c r="E167" s="151">
        <f t="shared" si="34"/>
        <v>0</v>
      </c>
      <c r="F167" s="151">
        <f t="shared" si="40"/>
        <v>0</v>
      </c>
      <c r="G167" s="152">
        <f t="shared" si="35"/>
        <v>0</v>
      </c>
      <c r="H167" s="153">
        <f t="shared" si="30"/>
        <v>0</v>
      </c>
      <c r="I167" s="151">
        <f t="shared" si="41"/>
        <v>0</v>
      </c>
      <c r="J167" s="151">
        <f t="shared" si="36"/>
        <v>0</v>
      </c>
      <c r="K167" s="154">
        <f t="shared" si="37"/>
        <v>0</v>
      </c>
      <c r="L167" s="167"/>
      <c r="M167" s="171"/>
      <c r="N167" s="155">
        <f t="shared" si="31"/>
        <v>7</v>
      </c>
      <c r="O167" s="123">
        <f t="shared" si="38"/>
        <v>24</v>
      </c>
      <c r="P167" s="124">
        <f t="shared" si="32"/>
        <v>0</v>
      </c>
      <c r="Q167" s="125"/>
      <c r="R167" s="125"/>
      <c r="S167" s="125"/>
      <c r="T167" s="125"/>
      <c r="U167" s="125"/>
      <c r="V167" s="125"/>
      <c r="W167" s="125"/>
      <c r="X167" s="125"/>
      <c r="Y167" s="125"/>
      <c r="Z167" s="125"/>
    </row>
    <row r="168" spans="1:26">
      <c r="A168" s="161">
        <v>161</v>
      </c>
      <c r="B168" s="148" t="str">
        <f t="shared" si="33"/>
        <v>14-й год 5-й мес</v>
      </c>
      <c r="C168" s="149">
        <f t="shared" si="39"/>
        <v>46091</v>
      </c>
      <c r="D168" s="150">
        <f t="shared" si="29"/>
        <v>0</v>
      </c>
      <c r="E168" s="151">
        <f t="shared" si="34"/>
        <v>0</v>
      </c>
      <c r="F168" s="151">
        <f t="shared" si="40"/>
        <v>0</v>
      </c>
      <c r="G168" s="152">
        <f t="shared" si="35"/>
        <v>0</v>
      </c>
      <c r="H168" s="153">
        <f t="shared" si="30"/>
        <v>0</v>
      </c>
      <c r="I168" s="151">
        <f t="shared" si="41"/>
        <v>0</v>
      </c>
      <c r="J168" s="151">
        <f t="shared" si="36"/>
        <v>0</v>
      </c>
      <c r="K168" s="154">
        <f t="shared" si="37"/>
        <v>0</v>
      </c>
      <c r="L168" s="167"/>
      <c r="M168" s="171"/>
      <c r="N168" s="155">
        <f t="shared" si="31"/>
        <v>7</v>
      </c>
      <c r="O168" s="123">
        <f t="shared" si="38"/>
        <v>24</v>
      </c>
      <c r="P168" s="124">
        <f t="shared" si="32"/>
        <v>0</v>
      </c>
      <c r="Q168" s="125"/>
      <c r="R168" s="125"/>
      <c r="S168" s="125"/>
      <c r="T168" s="125"/>
      <c r="U168" s="125"/>
      <c r="V168" s="125"/>
      <c r="W168" s="125"/>
      <c r="X168" s="125"/>
      <c r="Y168" s="125"/>
      <c r="Z168" s="125"/>
    </row>
    <row r="169" spans="1:26">
      <c r="A169" s="161">
        <v>162</v>
      </c>
      <c r="B169" s="148" t="str">
        <f t="shared" si="33"/>
        <v>14-й год 6-й мес</v>
      </c>
      <c r="C169" s="149">
        <f t="shared" si="39"/>
        <v>46122</v>
      </c>
      <c r="D169" s="150">
        <f t="shared" si="29"/>
        <v>0</v>
      </c>
      <c r="E169" s="151">
        <f t="shared" si="34"/>
        <v>0</v>
      </c>
      <c r="F169" s="151">
        <f t="shared" si="40"/>
        <v>0</v>
      </c>
      <c r="G169" s="152">
        <f t="shared" si="35"/>
        <v>0</v>
      </c>
      <c r="H169" s="153">
        <f t="shared" si="30"/>
        <v>0</v>
      </c>
      <c r="I169" s="151">
        <f t="shared" si="41"/>
        <v>0</v>
      </c>
      <c r="J169" s="151">
        <f t="shared" si="36"/>
        <v>0</v>
      </c>
      <c r="K169" s="154">
        <f t="shared" si="37"/>
        <v>0</v>
      </c>
      <c r="L169" s="167"/>
      <c r="M169" s="171"/>
      <c r="N169" s="155">
        <f t="shared" si="31"/>
        <v>7</v>
      </c>
      <c r="O169" s="123">
        <f t="shared" si="38"/>
        <v>24</v>
      </c>
      <c r="P169" s="124">
        <f t="shared" si="32"/>
        <v>0</v>
      </c>
      <c r="Q169" s="125"/>
      <c r="R169" s="125"/>
      <c r="S169" s="125"/>
      <c r="T169" s="125"/>
      <c r="U169" s="125"/>
      <c r="V169" s="125"/>
      <c r="W169" s="125"/>
      <c r="X169" s="125"/>
      <c r="Y169" s="125"/>
      <c r="Z169" s="125"/>
    </row>
    <row r="170" spans="1:26">
      <c r="A170" s="161">
        <v>163</v>
      </c>
      <c r="B170" s="148" t="str">
        <f t="shared" si="33"/>
        <v>14-й год 7-й мес</v>
      </c>
      <c r="C170" s="149">
        <f t="shared" si="39"/>
        <v>46152</v>
      </c>
      <c r="D170" s="150">
        <f t="shared" si="29"/>
        <v>0</v>
      </c>
      <c r="E170" s="151">
        <f t="shared" si="34"/>
        <v>0</v>
      </c>
      <c r="F170" s="151">
        <f t="shared" si="40"/>
        <v>0</v>
      </c>
      <c r="G170" s="152">
        <f t="shared" si="35"/>
        <v>0</v>
      </c>
      <c r="H170" s="153">
        <f t="shared" si="30"/>
        <v>0</v>
      </c>
      <c r="I170" s="151">
        <f t="shared" si="41"/>
        <v>0</v>
      </c>
      <c r="J170" s="151">
        <f t="shared" si="36"/>
        <v>0</v>
      </c>
      <c r="K170" s="154">
        <f t="shared" si="37"/>
        <v>0</v>
      </c>
      <c r="L170" s="167"/>
      <c r="M170" s="171"/>
      <c r="N170" s="155">
        <f t="shared" si="31"/>
        <v>7</v>
      </c>
      <c r="O170" s="123">
        <f t="shared" si="38"/>
        <v>24</v>
      </c>
      <c r="P170" s="124">
        <f t="shared" si="32"/>
        <v>0</v>
      </c>
      <c r="Q170" s="125"/>
      <c r="R170" s="125"/>
      <c r="S170" s="125"/>
      <c r="T170" s="125"/>
      <c r="U170" s="125"/>
      <c r="V170" s="125"/>
      <c r="W170" s="125"/>
      <c r="X170" s="125"/>
      <c r="Y170" s="125"/>
      <c r="Z170" s="125"/>
    </row>
    <row r="171" spans="1:26">
      <c r="A171" s="161">
        <v>164</v>
      </c>
      <c r="B171" s="148" t="str">
        <f t="shared" si="33"/>
        <v>14-й год 8-й мес</v>
      </c>
      <c r="C171" s="149">
        <f t="shared" si="39"/>
        <v>46183</v>
      </c>
      <c r="D171" s="150">
        <f t="shared" si="29"/>
        <v>0</v>
      </c>
      <c r="E171" s="151">
        <f t="shared" si="34"/>
        <v>0</v>
      </c>
      <c r="F171" s="151">
        <f t="shared" si="40"/>
        <v>0</v>
      </c>
      <c r="G171" s="152">
        <f t="shared" si="35"/>
        <v>0</v>
      </c>
      <c r="H171" s="153">
        <f t="shared" si="30"/>
        <v>0</v>
      </c>
      <c r="I171" s="151">
        <f t="shared" si="41"/>
        <v>0</v>
      </c>
      <c r="J171" s="151">
        <f t="shared" si="36"/>
        <v>0</v>
      </c>
      <c r="K171" s="154">
        <f t="shared" si="37"/>
        <v>0</v>
      </c>
      <c r="L171" s="167"/>
      <c r="M171" s="171"/>
      <c r="N171" s="155">
        <f t="shared" si="31"/>
        <v>7</v>
      </c>
      <c r="O171" s="123">
        <f t="shared" si="38"/>
        <v>24</v>
      </c>
      <c r="P171" s="124">
        <f t="shared" si="32"/>
        <v>0</v>
      </c>
      <c r="Q171" s="125"/>
      <c r="R171" s="125"/>
      <c r="S171" s="125"/>
      <c r="T171" s="125"/>
      <c r="U171" s="125"/>
      <c r="V171" s="125"/>
      <c r="W171" s="125"/>
      <c r="X171" s="125"/>
      <c r="Y171" s="125"/>
      <c r="Z171" s="125"/>
    </row>
    <row r="172" spans="1:26">
      <c r="A172" s="161">
        <v>165</v>
      </c>
      <c r="B172" s="148" t="str">
        <f t="shared" si="33"/>
        <v>14-й год 9-й мес</v>
      </c>
      <c r="C172" s="149">
        <f t="shared" si="39"/>
        <v>46213</v>
      </c>
      <c r="D172" s="150">
        <f t="shared" si="29"/>
        <v>0</v>
      </c>
      <c r="E172" s="151">
        <f t="shared" si="34"/>
        <v>0</v>
      </c>
      <c r="F172" s="151">
        <f t="shared" si="40"/>
        <v>0</v>
      </c>
      <c r="G172" s="152">
        <f t="shared" si="35"/>
        <v>0</v>
      </c>
      <c r="H172" s="153">
        <f t="shared" si="30"/>
        <v>0</v>
      </c>
      <c r="I172" s="151">
        <f t="shared" si="41"/>
        <v>0</v>
      </c>
      <c r="J172" s="151">
        <f t="shared" si="36"/>
        <v>0</v>
      </c>
      <c r="K172" s="154">
        <f t="shared" si="37"/>
        <v>0</v>
      </c>
      <c r="L172" s="167"/>
      <c r="M172" s="171"/>
      <c r="N172" s="155">
        <f t="shared" si="31"/>
        <v>7</v>
      </c>
      <c r="O172" s="123">
        <f t="shared" si="38"/>
        <v>24</v>
      </c>
      <c r="P172" s="124">
        <f t="shared" si="32"/>
        <v>0</v>
      </c>
      <c r="Q172" s="125"/>
      <c r="R172" s="125"/>
      <c r="S172" s="125"/>
      <c r="T172" s="125"/>
      <c r="U172" s="125"/>
      <c r="V172" s="125"/>
      <c r="W172" s="125"/>
      <c r="X172" s="125"/>
      <c r="Y172" s="125"/>
      <c r="Z172" s="125"/>
    </row>
    <row r="173" spans="1:26">
      <c r="A173" s="161">
        <v>166</v>
      </c>
      <c r="B173" s="148" t="str">
        <f t="shared" si="33"/>
        <v>14-й год 10-й мес</v>
      </c>
      <c r="C173" s="149">
        <f t="shared" si="39"/>
        <v>46244</v>
      </c>
      <c r="D173" s="150">
        <f t="shared" si="29"/>
        <v>0</v>
      </c>
      <c r="E173" s="151">
        <f t="shared" si="34"/>
        <v>0</v>
      </c>
      <c r="F173" s="151">
        <f t="shared" si="40"/>
        <v>0</v>
      </c>
      <c r="G173" s="152">
        <f t="shared" si="35"/>
        <v>0</v>
      </c>
      <c r="H173" s="153">
        <f t="shared" si="30"/>
        <v>0</v>
      </c>
      <c r="I173" s="151">
        <f t="shared" si="41"/>
        <v>0</v>
      </c>
      <c r="J173" s="151">
        <f t="shared" si="36"/>
        <v>0</v>
      </c>
      <c r="K173" s="154">
        <f t="shared" si="37"/>
        <v>0</v>
      </c>
      <c r="L173" s="167"/>
      <c r="M173" s="171"/>
      <c r="N173" s="155">
        <f t="shared" si="31"/>
        <v>7</v>
      </c>
      <c r="O173" s="123">
        <f t="shared" si="38"/>
        <v>24</v>
      </c>
      <c r="P173" s="124">
        <f t="shared" si="32"/>
        <v>0</v>
      </c>
      <c r="Q173" s="125"/>
      <c r="R173" s="125"/>
      <c r="S173" s="125"/>
      <c r="T173" s="125"/>
      <c r="U173" s="125"/>
      <c r="V173" s="125"/>
      <c r="W173" s="125"/>
      <c r="X173" s="125"/>
      <c r="Y173" s="125"/>
      <c r="Z173" s="125"/>
    </row>
    <row r="174" spans="1:26">
      <c r="A174" s="161">
        <v>167</v>
      </c>
      <c r="B174" s="148" t="str">
        <f t="shared" si="33"/>
        <v>14-й год 11-й мес</v>
      </c>
      <c r="C174" s="149">
        <f t="shared" si="39"/>
        <v>46275</v>
      </c>
      <c r="D174" s="150">
        <f t="shared" si="29"/>
        <v>0</v>
      </c>
      <c r="E174" s="151">
        <f t="shared" si="34"/>
        <v>0</v>
      </c>
      <c r="F174" s="151">
        <f t="shared" si="40"/>
        <v>0</v>
      </c>
      <c r="G174" s="152">
        <f t="shared" si="35"/>
        <v>0</v>
      </c>
      <c r="H174" s="153">
        <f t="shared" si="30"/>
        <v>0</v>
      </c>
      <c r="I174" s="151">
        <f t="shared" si="41"/>
        <v>0</v>
      </c>
      <c r="J174" s="151">
        <f t="shared" si="36"/>
        <v>0</v>
      </c>
      <c r="K174" s="154">
        <f t="shared" si="37"/>
        <v>0</v>
      </c>
      <c r="L174" s="167"/>
      <c r="M174" s="171"/>
      <c r="N174" s="155">
        <f t="shared" si="31"/>
        <v>7</v>
      </c>
      <c r="O174" s="123">
        <f t="shared" si="38"/>
        <v>24</v>
      </c>
      <c r="P174" s="124">
        <f t="shared" si="32"/>
        <v>0</v>
      </c>
      <c r="Q174" s="125"/>
      <c r="R174" s="125"/>
      <c r="S174" s="125"/>
      <c r="T174" s="125"/>
      <c r="U174" s="125"/>
      <c r="V174" s="125"/>
      <c r="W174" s="125"/>
      <c r="X174" s="125"/>
      <c r="Y174" s="125"/>
      <c r="Z174" s="125"/>
    </row>
    <row r="175" spans="1:26">
      <c r="A175" s="162">
        <v>168</v>
      </c>
      <c r="B175" s="148" t="str">
        <f t="shared" si="33"/>
        <v>14-й год 12-й мес</v>
      </c>
      <c r="C175" s="149">
        <f t="shared" si="39"/>
        <v>46305</v>
      </c>
      <c r="D175" s="150">
        <f t="shared" si="29"/>
        <v>0</v>
      </c>
      <c r="E175" s="163">
        <f t="shared" si="34"/>
        <v>0</v>
      </c>
      <c r="F175" s="151">
        <f t="shared" si="40"/>
        <v>0</v>
      </c>
      <c r="G175" s="164">
        <f t="shared" si="35"/>
        <v>0</v>
      </c>
      <c r="H175" s="165">
        <f t="shared" si="30"/>
        <v>0</v>
      </c>
      <c r="I175" s="163">
        <f t="shared" si="41"/>
        <v>0</v>
      </c>
      <c r="J175" s="163">
        <f t="shared" si="36"/>
        <v>0</v>
      </c>
      <c r="K175" s="166">
        <f t="shared" si="37"/>
        <v>0</v>
      </c>
      <c r="L175" s="170"/>
      <c r="M175" s="172"/>
      <c r="N175" s="155">
        <f t="shared" si="31"/>
        <v>7</v>
      </c>
      <c r="O175" s="123">
        <f t="shared" si="38"/>
        <v>24</v>
      </c>
      <c r="P175" s="124">
        <f t="shared" si="32"/>
        <v>0</v>
      </c>
      <c r="Q175" s="125"/>
      <c r="R175" s="125"/>
      <c r="S175" s="125"/>
      <c r="T175" s="125"/>
      <c r="U175" s="125"/>
      <c r="V175" s="125"/>
      <c r="W175" s="125"/>
      <c r="X175" s="125"/>
      <c r="Y175" s="125"/>
      <c r="Z175" s="125"/>
    </row>
    <row r="176" spans="1:26">
      <c r="A176" s="147">
        <v>169</v>
      </c>
      <c r="B176" s="148" t="str">
        <f t="shared" si="33"/>
        <v>15-й год 1-й мес</v>
      </c>
      <c r="C176" s="149">
        <f t="shared" si="39"/>
        <v>46336</v>
      </c>
      <c r="D176" s="150">
        <f t="shared" si="29"/>
        <v>0</v>
      </c>
      <c r="E176" s="151">
        <f t="shared" si="34"/>
        <v>0</v>
      </c>
      <c r="F176" s="151">
        <f t="shared" si="40"/>
        <v>0</v>
      </c>
      <c r="G176" s="152">
        <f t="shared" si="35"/>
        <v>0</v>
      </c>
      <c r="H176" s="153">
        <f t="shared" si="30"/>
        <v>0</v>
      </c>
      <c r="I176" s="151">
        <f t="shared" si="41"/>
        <v>0</v>
      </c>
      <c r="J176" s="151">
        <f t="shared" si="36"/>
        <v>0</v>
      </c>
      <c r="K176" s="154">
        <f t="shared" si="37"/>
        <v>0</v>
      </c>
      <c r="L176" s="167"/>
      <c r="M176" s="171"/>
      <c r="N176" s="155">
        <f t="shared" si="31"/>
        <v>7</v>
      </c>
      <c r="O176" s="123">
        <f t="shared" si="38"/>
        <v>24</v>
      </c>
      <c r="P176" s="124">
        <f t="shared" si="32"/>
        <v>0</v>
      </c>
      <c r="Q176" s="125"/>
      <c r="R176" s="125"/>
      <c r="S176" s="125"/>
      <c r="T176" s="125"/>
      <c r="U176" s="125"/>
      <c r="V176" s="125"/>
      <c r="W176" s="125"/>
      <c r="X176" s="125"/>
      <c r="Y176" s="125"/>
      <c r="Z176" s="125"/>
    </row>
    <row r="177" spans="1:26">
      <c r="A177" s="147">
        <v>170</v>
      </c>
      <c r="B177" s="148" t="str">
        <f t="shared" si="33"/>
        <v>15-й год 2-й мес</v>
      </c>
      <c r="C177" s="149">
        <f t="shared" si="39"/>
        <v>46366</v>
      </c>
      <c r="D177" s="150">
        <f t="shared" si="29"/>
        <v>0</v>
      </c>
      <c r="E177" s="151">
        <f t="shared" si="34"/>
        <v>0</v>
      </c>
      <c r="F177" s="151">
        <f t="shared" si="40"/>
        <v>0</v>
      </c>
      <c r="G177" s="152">
        <f t="shared" si="35"/>
        <v>0</v>
      </c>
      <c r="H177" s="153">
        <f t="shared" si="30"/>
        <v>0</v>
      </c>
      <c r="I177" s="151">
        <f t="shared" si="41"/>
        <v>0</v>
      </c>
      <c r="J177" s="151">
        <f t="shared" si="36"/>
        <v>0</v>
      </c>
      <c r="K177" s="154">
        <f t="shared" si="37"/>
        <v>0</v>
      </c>
      <c r="L177" s="167"/>
      <c r="M177" s="171"/>
      <c r="N177" s="155">
        <f t="shared" si="31"/>
        <v>7</v>
      </c>
      <c r="O177" s="123">
        <f t="shared" si="38"/>
        <v>24</v>
      </c>
      <c r="P177" s="124">
        <f t="shared" si="32"/>
        <v>0</v>
      </c>
      <c r="Q177" s="125"/>
      <c r="R177" s="125"/>
      <c r="S177" s="125"/>
      <c r="T177" s="125"/>
      <c r="U177" s="125"/>
      <c r="V177" s="125"/>
      <c r="W177" s="125"/>
      <c r="X177" s="125"/>
      <c r="Y177" s="125"/>
      <c r="Z177" s="125"/>
    </row>
    <row r="178" spans="1:26">
      <c r="A178" s="147">
        <v>171</v>
      </c>
      <c r="B178" s="148" t="str">
        <f t="shared" si="33"/>
        <v>15-й год 3-й мес</v>
      </c>
      <c r="C178" s="149">
        <f t="shared" si="39"/>
        <v>46397</v>
      </c>
      <c r="D178" s="150">
        <f t="shared" si="29"/>
        <v>0</v>
      </c>
      <c r="E178" s="151">
        <f t="shared" si="34"/>
        <v>0</v>
      </c>
      <c r="F178" s="151">
        <f t="shared" si="40"/>
        <v>0</v>
      </c>
      <c r="G178" s="152">
        <f t="shared" si="35"/>
        <v>0</v>
      </c>
      <c r="H178" s="153">
        <f t="shared" si="30"/>
        <v>0</v>
      </c>
      <c r="I178" s="151">
        <f t="shared" si="41"/>
        <v>0</v>
      </c>
      <c r="J178" s="151">
        <f t="shared" si="36"/>
        <v>0</v>
      </c>
      <c r="K178" s="154">
        <f t="shared" si="37"/>
        <v>0</v>
      </c>
      <c r="L178" s="167"/>
      <c r="M178" s="171"/>
      <c r="N178" s="155">
        <f t="shared" si="31"/>
        <v>7</v>
      </c>
      <c r="O178" s="123">
        <f t="shared" si="38"/>
        <v>24</v>
      </c>
      <c r="P178" s="124">
        <f t="shared" si="32"/>
        <v>0</v>
      </c>
      <c r="Q178" s="125"/>
      <c r="R178" s="125"/>
      <c r="S178" s="125"/>
      <c r="T178" s="125"/>
      <c r="U178" s="125"/>
      <c r="V178" s="125"/>
      <c r="W178" s="125"/>
      <c r="X178" s="125"/>
      <c r="Y178" s="125"/>
      <c r="Z178" s="125"/>
    </row>
    <row r="179" spans="1:26">
      <c r="A179" s="147">
        <v>172</v>
      </c>
      <c r="B179" s="148" t="str">
        <f t="shared" si="33"/>
        <v>15-й год 4-й мес</v>
      </c>
      <c r="C179" s="149">
        <f t="shared" si="39"/>
        <v>46428</v>
      </c>
      <c r="D179" s="150">
        <f t="shared" si="29"/>
        <v>0</v>
      </c>
      <c r="E179" s="151">
        <f t="shared" si="34"/>
        <v>0</v>
      </c>
      <c r="F179" s="151">
        <f t="shared" si="40"/>
        <v>0</v>
      </c>
      <c r="G179" s="152">
        <f t="shared" si="35"/>
        <v>0</v>
      </c>
      <c r="H179" s="153">
        <f t="shared" si="30"/>
        <v>0</v>
      </c>
      <c r="I179" s="151">
        <f t="shared" si="41"/>
        <v>0</v>
      </c>
      <c r="J179" s="151">
        <f t="shared" si="36"/>
        <v>0</v>
      </c>
      <c r="K179" s="154">
        <f t="shared" si="37"/>
        <v>0</v>
      </c>
      <c r="L179" s="167"/>
      <c r="M179" s="171"/>
      <c r="N179" s="155">
        <f t="shared" si="31"/>
        <v>7</v>
      </c>
      <c r="O179" s="123">
        <f t="shared" si="38"/>
        <v>24</v>
      </c>
      <c r="P179" s="124">
        <f t="shared" si="32"/>
        <v>0</v>
      </c>
      <c r="Q179" s="125"/>
      <c r="R179" s="125"/>
      <c r="S179" s="125"/>
      <c r="T179" s="125"/>
      <c r="U179" s="125"/>
      <c r="V179" s="125"/>
      <c r="W179" s="125"/>
      <c r="X179" s="125"/>
      <c r="Y179" s="125"/>
      <c r="Z179" s="125"/>
    </row>
    <row r="180" spans="1:26">
      <c r="A180" s="147">
        <v>173</v>
      </c>
      <c r="B180" s="148" t="str">
        <f t="shared" si="33"/>
        <v>15-й год 5-й мес</v>
      </c>
      <c r="C180" s="149">
        <f t="shared" si="39"/>
        <v>46456</v>
      </c>
      <c r="D180" s="150">
        <f t="shared" si="29"/>
        <v>0</v>
      </c>
      <c r="E180" s="151">
        <f t="shared" si="34"/>
        <v>0</v>
      </c>
      <c r="F180" s="151">
        <f t="shared" si="40"/>
        <v>0</v>
      </c>
      <c r="G180" s="152">
        <f t="shared" si="35"/>
        <v>0</v>
      </c>
      <c r="H180" s="153">
        <f t="shared" si="30"/>
        <v>0</v>
      </c>
      <c r="I180" s="151">
        <f t="shared" si="41"/>
        <v>0</v>
      </c>
      <c r="J180" s="151">
        <f t="shared" si="36"/>
        <v>0</v>
      </c>
      <c r="K180" s="154">
        <f t="shared" si="37"/>
        <v>0</v>
      </c>
      <c r="L180" s="167"/>
      <c r="M180" s="171"/>
      <c r="N180" s="155">
        <f t="shared" si="31"/>
        <v>7</v>
      </c>
      <c r="O180" s="123">
        <f t="shared" si="38"/>
        <v>24</v>
      </c>
      <c r="P180" s="124">
        <f t="shared" si="32"/>
        <v>0</v>
      </c>
      <c r="Q180" s="125"/>
      <c r="R180" s="125"/>
      <c r="S180" s="125"/>
      <c r="T180" s="125"/>
      <c r="U180" s="125"/>
      <c r="V180" s="125"/>
      <c r="W180" s="125"/>
      <c r="X180" s="125"/>
      <c r="Y180" s="125"/>
      <c r="Z180" s="125"/>
    </row>
    <row r="181" spans="1:26">
      <c r="A181" s="147">
        <v>174</v>
      </c>
      <c r="B181" s="148" t="str">
        <f t="shared" si="33"/>
        <v>15-й год 6-й мес</v>
      </c>
      <c r="C181" s="149">
        <f t="shared" si="39"/>
        <v>46487</v>
      </c>
      <c r="D181" s="150">
        <f t="shared" si="29"/>
        <v>0</v>
      </c>
      <c r="E181" s="151">
        <f t="shared" si="34"/>
        <v>0</v>
      </c>
      <c r="F181" s="151">
        <f t="shared" si="40"/>
        <v>0</v>
      </c>
      <c r="G181" s="152">
        <f t="shared" si="35"/>
        <v>0</v>
      </c>
      <c r="H181" s="153">
        <f t="shared" si="30"/>
        <v>0</v>
      </c>
      <c r="I181" s="151">
        <f t="shared" si="41"/>
        <v>0</v>
      </c>
      <c r="J181" s="151">
        <f t="shared" si="36"/>
        <v>0</v>
      </c>
      <c r="K181" s="154">
        <f t="shared" si="37"/>
        <v>0</v>
      </c>
      <c r="L181" s="167"/>
      <c r="M181" s="171"/>
      <c r="N181" s="155">
        <f t="shared" si="31"/>
        <v>7</v>
      </c>
      <c r="O181" s="123">
        <f t="shared" si="38"/>
        <v>24</v>
      </c>
      <c r="P181" s="124">
        <f t="shared" si="32"/>
        <v>0</v>
      </c>
      <c r="Q181" s="125"/>
      <c r="R181" s="125"/>
      <c r="S181" s="125"/>
      <c r="T181" s="125"/>
      <c r="U181" s="125"/>
      <c r="V181" s="125"/>
      <c r="W181" s="125"/>
      <c r="X181" s="125"/>
      <c r="Y181" s="125"/>
      <c r="Z181" s="125"/>
    </row>
    <row r="182" spans="1:26">
      <c r="A182" s="147">
        <v>175</v>
      </c>
      <c r="B182" s="148" t="str">
        <f t="shared" si="33"/>
        <v>15-й год 7-й мес</v>
      </c>
      <c r="C182" s="149">
        <f t="shared" si="39"/>
        <v>46517</v>
      </c>
      <c r="D182" s="150">
        <f t="shared" si="29"/>
        <v>0</v>
      </c>
      <c r="E182" s="151">
        <f t="shared" si="34"/>
        <v>0</v>
      </c>
      <c r="F182" s="151">
        <f t="shared" si="40"/>
        <v>0</v>
      </c>
      <c r="G182" s="152">
        <f t="shared" si="35"/>
        <v>0</v>
      </c>
      <c r="H182" s="153">
        <f t="shared" si="30"/>
        <v>0</v>
      </c>
      <c r="I182" s="151">
        <f t="shared" si="41"/>
        <v>0</v>
      </c>
      <c r="J182" s="151">
        <f t="shared" si="36"/>
        <v>0</v>
      </c>
      <c r="K182" s="154">
        <f t="shared" si="37"/>
        <v>0</v>
      </c>
      <c r="L182" s="167"/>
      <c r="M182" s="171"/>
      <c r="N182" s="155">
        <f t="shared" si="31"/>
        <v>7</v>
      </c>
      <c r="O182" s="123">
        <f t="shared" si="38"/>
        <v>24</v>
      </c>
      <c r="P182" s="124">
        <f t="shared" si="32"/>
        <v>0</v>
      </c>
      <c r="Q182" s="125"/>
      <c r="R182" s="125"/>
      <c r="S182" s="125"/>
      <c r="T182" s="125"/>
      <c r="U182" s="125"/>
      <c r="V182" s="125"/>
      <c r="W182" s="125"/>
      <c r="X182" s="125"/>
      <c r="Y182" s="125"/>
      <c r="Z182" s="125"/>
    </row>
    <row r="183" spans="1:26">
      <c r="A183" s="147">
        <v>176</v>
      </c>
      <c r="B183" s="148" t="str">
        <f t="shared" si="33"/>
        <v>15-й год 8-й мес</v>
      </c>
      <c r="C183" s="149">
        <f t="shared" si="39"/>
        <v>46548</v>
      </c>
      <c r="D183" s="150">
        <f t="shared" si="29"/>
        <v>0</v>
      </c>
      <c r="E183" s="151">
        <f t="shared" si="34"/>
        <v>0</v>
      </c>
      <c r="F183" s="151">
        <f t="shared" si="40"/>
        <v>0</v>
      </c>
      <c r="G183" s="152">
        <f t="shared" si="35"/>
        <v>0</v>
      </c>
      <c r="H183" s="153">
        <f t="shared" si="30"/>
        <v>0</v>
      </c>
      <c r="I183" s="151">
        <f t="shared" si="41"/>
        <v>0</v>
      </c>
      <c r="J183" s="151">
        <f t="shared" si="36"/>
        <v>0</v>
      </c>
      <c r="K183" s="154">
        <f t="shared" si="37"/>
        <v>0</v>
      </c>
      <c r="L183" s="167"/>
      <c r="M183" s="171"/>
      <c r="N183" s="155">
        <f t="shared" si="31"/>
        <v>7</v>
      </c>
      <c r="O183" s="123">
        <f t="shared" si="38"/>
        <v>24</v>
      </c>
      <c r="P183" s="124">
        <f t="shared" si="32"/>
        <v>0</v>
      </c>
      <c r="Q183" s="125"/>
      <c r="R183" s="125"/>
      <c r="S183" s="125"/>
      <c r="T183" s="125"/>
      <c r="U183" s="125"/>
      <c r="V183" s="125"/>
      <c r="W183" s="125"/>
      <c r="X183" s="125"/>
      <c r="Y183" s="125"/>
      <c r="Z183" s="125"/>
    </row>
    <row r="184" spans="1:26">
      <c r="A184" s="147">
        <v>177</v>
      </c>
      <c r="B184" s="148" t="str">
        <f t="shared" si="33"/>
        <v>15-й год 9-й мес</v>
      </c>
      <c r="C184" s="149">
        <f t="shared" si="39"/>
        <v>46578</v>
      </c>
      <c r="D184" s="150">
        <f t="shared" si="29"/>
        <v>0</v>
      </c>
      <c r="E184" s="151">
        <f t="shared" si="34"/>
        <v>0</v>
      </c>
      <c r="F184" s="151">
        <f t="shared" si="40"/>
        <v>0</v>
      </c>
      <c r="G184" s="152">
        <f t="shared" si="35"/>
        <v>0</v>
      </c>
      <c r="H184" s="153">
        <f t="shared" si="30"/>
        <v>0</v>
      </c>
      <c r="I184" s="151">
        <f t="shared" si="41"/>
        <v>0</v>
      </c>
      <c r="J184" s="151">
        <f t="shared" si="36"/>
        <v>0</v>
      </c>
      <c r="K184" s="154">
        <f t="shared" si="37"/>
        <v>0</v>
      </c>
      <c r="L184" s="167"/>
      <c r="M184" s="171"/>
      <c r="N184" s="155">
        <f t="shared" si="31"/>
        <v>7</v>
      </c>
      <c r="O184" s="123">
        <f t="shared" si="38"/>
        <v>24</v>
      </c>
      <c r="P184" s="124">
        <f t="shared" si="32"/>
        <v>0</v>
      </c>
      <c r="Q184" s="125"/>
      <c r="R184" s="125"/>
      <c r="S184" s="125"/>
      <c r="T184" s="125"/>
      <c r="U184" s="125"/>
      <c r="V184" s="125"/>
      <c r="W184" s="125"/>
      <c r="X184" s="125"/>
      <c r="Y184" s="125"/>
      <c r="Z184" s="125"/>
    </row>
    <row r="185" spans="1:26">
      <c r="A185" s="147">
        <v>178</v>
      </c>
      <c r="B185" s="148" t="str">
        <f t="shared" si="33"/>
        <v>15-й год 10-й мес</v>
      </c>
      <c r="C185" s="149">
        <f t="shared" si="39"/>
        <v>46609</v>
      </c>
      <c r="D185" s="150">
        <f t="shared" si="29"/>
        <v>0</v>
      </c>
      <c r="E185" s="151">
        <f t="shared" si="34"/>
        <v>0</v>
      </c>
      <c r="F185" s="151">
        <f t="shared" si="40"/>
        <v>0</v>
      </c>
      <c r="G185" s="152">
        <f t="shared" si="35"/>
        <v>0</v>
      </c>
      <c r="H185" s="153">
        <f t="shared" si="30"/>
        <v>0</v>
      </c>
      <c r="I185" s="151">
        <f t="shared" si="41"/>
        <v>0</v>
      </c>
      <c r="J185" s="151">
        <f t="shared" si="36"/>
        <v>0</v>
      </c>
      <c r="K185" s="154">
        <f t="shared" si="37"/>
        <v>0</v>
      </c>
      <c r="L185" s="167"/>
      <c r="M185" s="171"/>
      <c r="N185" s="155">
        <f t="shared" si="31"/>
        <v>7</v>
      </c>
      <c r="O185" s="123">
        <f t="shared" si="38"/>
        <v>24</v>
      </c>
      <c r="P185" s="124">
        <f t="shared" si="32"/>
        <v>0</v>
      </c>
      <c r="Q185" s="125"/>
      <c r="R185" s="125"/>
      <c r="S185" s="125"/>
      <c r="T185" s="125"/>
      <c r="U185" s="125"/>
      <c r="V185" s="125"/>
      <c r="W185" s="125"/>
      <c r="X185" s="125"/>
      <c r="Y185" s="125"/>
      <c r="Z185" s="125"/>
    </row>
    <row r="186" spans="1:26">
      <c r="A186" s="147">
        <v>179</v>
      </c>
      <c r="B186" s="148" t="str">
        <f t="shared" si="33"/>
        <v>15-й год 11-й мес</v>
      </c>
      <c r="C186" s="149">
        <f t="shared" si="39"/>
        <v>46640</v>
      </c>
      <c r="D186" s="150">
        <f t="shared" si="29"/>
        <v>0</v>
      </c>
      <c r="E186" s="151">
        <f t="shared" si="34"/>
        <v>0</v>
      </c>
      <c r="F186" s="151">
        <f t="shared" si="40"/>
        <v>0</v>
      </c>
      <c r="G186" s="152">
        <f t="shared" si="35"/>
        <v>0</v>
      </c>
      <c r="H186" s="153">
        <f t="shared" si="30"/>
        <v>0</v>
      </c>
      <c r="I186" s="151">
        <f t="shared" si="41"/>
        <v>0</v>
      </c>
      <c r="J186" s="151">
        <f t="shared" si="36"/>
        <v>0</v>
      </c>
      <c r="K186" s="154">
        <f t="shared" si="37"/>
        <v>0</v>
      </c>
      <c r="L186" s="167"/>
      <c r="M186" s="171"/>
      <c r="N186" s="155">
        <f t="shared" si="31"/>
        <v>7</v>
      </c>
      <c r="O186" s="123">
        <f t="shared" si="38"/>
        <v>24</v>
      </c>
      <c r="P186" s="124">
        <f t="shared" si="32"/>
        <v>0</v>
      </c>
      <c r="Q186" s="125"/>
      <c r="R186" s="125"/>
      <c r="S186" s="125"/>
      <c r="T186" s="125"/>
      <c r="U186" s="125"/>
      <c r="V186" s="125"/>
      <c r="W186" s="125"/>
      <c r="X186" s="125"/>
      <c r="Y186" s="125"/>
      <c r="Z186" s="125"/>
    </row>
    <row r="187" spans="1:26">
      <c r="A187" s="147">
        <v>180</v>
      </c>
      <c r="B187" s="148" t="str">
        <f t="shared" si="33"/>
        <v>15-й год 12-й мес</v>
      </c>
      <c r="C187" s="149">
        <f t="shared" si="39"/>
        <v>46670</v>
      </c>
      <c r="D187" s="150">
        <f t="shared" si="29"/>
        <v>0</v>
      </c>
      <c r="E187" s="151">
        <f t="shared" si="34"/>
        <v>0</v>
      </c>
      <c r="F187" s="151">
        <f t="shared" si="40"/>
        <v>0</v>
      </c>
      <c r="G187" s="152">
        <f t="shared" si="35"/>
        <v>0</v>
      </c>
      <c r="H187" s="153">
        <f t="shared" si="30"/>
        <v>0</v>
      </c>
      <c r="I187" s="151">
        <f t="shared" si="41"/>
        <v>0</v>
      </c>
      <c r="J187" s="151">
        <f t="shared" si="36"/>
        <v>0</v>
      </c>
      <c r="K187" s="154">
        <f t="shared" si="37"/>
        <v>0</v>
      </c>
      <c r="L187" s="167"/>
      <c r="M187" s="171"/>
      <c r="N187" s="155">
        <f t="shared" si="31"/>
        <v>7</v>
      </c>
      <c r="O187" s="123">
        <f t="shared" si="38"/>
        <v>24</v>
      </c>
      <c r="P187" s="124">
        <f t="shared" si="32"/>
        <v>0</v>
      </c>
      <c r="Q187" s="125"/>
      <c r="R187" s="125"/>
      <c r="S187" s="125"/>
      <c r="T187" s="125"/>
      <c r="U187" s="125"/>
      <c r="V187" s="125"/>
      <c r="W187" s="125"/>
      <c r="X187" s="125"/>
      <c r="Y187" s="125"/>
      <c r="Z187" s="125"/>
    </row>
    <row r="188" spans="1:26">
      <c r="A188" s="156">
        <v>181</v>
      </c>
      <c r="B188" s="148" t="str">
        <f t="shared" si="33"/>
        <v>16-й год 1-й мес</v>
      </c>
      <c r="C188" s="149">
        <f t="shared" si="39"/>
        <v>46701</v>
      </c>
      <c r="D188" s="150">
        <f t="shared" si="29"/>
        <v>0</v>
      </c>
      <c r="E188" s="157">
        <f t="shared" si="34"/>
        <v>0</v>
      </c>
      <c r="F188" s="151">
        <f t="shared" si="40"/>
        <v>0</v>
      </c>
      <c r="G188" s="158">
        <f t="shared" si="35"/>
        <v>0</v>
      </c>
      <c r="H188" s="159">
        <f t="shared" si="30"/>
        <v>0</v>
      </c>
      <c r="I188" s="157">
        <f t="shared" si="41"/>
        <v>0</v>
      </c>
      <c r="J188" s="157">
        <f t="shared" si="36"/>
        <v>0</v>
      </c>
      <c r="K188" s="160">
        <f t="shared" si="37"/>
        <v>0</v>
      </c>
      <c r="L188" s="169"/>
      <c r="M188" s="168"/>
      <c r="N188" s="155">
        <f t="shared" si="31"/>
        <v>7</v>
      </c>
      <c r="O188" s="123">
        <f t="shared" si="38"/>
        <v>24</v>
      </c>
      <c r="P188" s="124">
        <f t="shared" si="32"/>
        <v>0</v>
      </c>
      <c r="Q188" s="125"/>
      <c r="R188" s="125"/>
      <c r="S188" s="125"/>
      <c r="T188" s="125"/>
      <c r="U188" s="125"/>
      <c r="V188" s="125"/>
      <c r="W188" s="125"/>
      <c r="X188" s="125"/>
      <c r="Y188" s="125"/>
      <c r="Z188" s="125"/>
    </row>
    <row r="189" spans="1:26">
      <c r="A189" s="161">
        <v>182</v>
      </c>
      <c r="B189" s="148" t="str">
        <f t="shared" si="33"/>
        <v>16-й год 2-й мес</v>
      </c>
      <c r="C189" s="149">
        <f t="shared" si="39"/>
        <v>46731</v>
      </c>
      <c r="D189" s="150">
        <f t="shared" si="29"/>
        <v>0</v>
      </c>
      <c r="E189" s="151">
        <f t="shared" si="34"/>
        <v>0</v>
      </c>
      <c r="F189" s="151">
        <f t="shared" si="40"/>
        <v>0</v>
      </c>
      <c r="G189" s="152">
        <f t="shared" si="35"/>
        <v>0</v>
      </c>
      <c r="H189" s="153">
        <f t="shared" si="30"/>
        <v>0</v>
      </c>
      <c r="I189" s="151">
        <f t="shared" si="41"/>
        <v>0</v>
      </c>
      <c r="J189" s="151">
        <f t="shared" si="36"/>
        <v>0</v>
      </c>
      <c r="K189" s="154">
        <f t="shared" si="37"/>
        <v>0</v>
      </c>
      <c r="L189" s="167"/>
      <c r="M189" s="171"/>
      <c r="N189" s="155">
        <f t="shared" si="31"/>
        <v>7</v>
      </c>
      <c r="O189" s="123">
        <f t="shared" si="38"/>
        <v>24</v>
      </c>
      <c r="P189" s="124">
        <f t="shared" si="32"/>
        <v>0</v>
      </c>
      <c r="Q189" s="125"/>
      <c r="R189" s="125"/>
      <c r="S189" s="125"/>
      <c r="T189" s="125"/>
      <c r="U189" s="125"/>
      <c r="V189" s="125"/>
      <c r="W189" s="125"/>
      <c r="X189" s="125"/>
      <c r="Y189" s="125"/>
      <c r="Z189" s="125"/>
    </row>
    <row r="190" spans="1:26">
      <c r="A190" s="161">
        <v>183</v>
      </c>
      <c r="B190" s="148" t="str">
        <f t="shared" si="33"/>
        <v>16-й год 3-й мес</v>
      </c>
      <c r="C190" s="149">
        <f t="shared" si="39"/>
        <v>46762</v>
      </c>
      <c r="D190" s="150">
        <f t="shared" si="29"/>
        <v>0</v>
      </c>
      <c r="E190" s="151">
        <f t="shared" si="34"/>
        <v>0</v>
      </c>
      <c r="F190" s="151">
        <f t="shared" si="40"/>
        <v>0</v>
      </c>
      <c r="G190" s="152">
        <f t="shared" si="35"/>
        <v>0</v>
      </c>
      <c r="H190" s="153">
        <f t="shared" si="30"/>
        <v>0</v>
      </c>
      <c r="I190" s="151">
        <f t="shared" si="41"/>
        <v>0</v>
      </c>
      <c r="J190" s="151">
        <f t="shared" si="36"/>
        <v>0</v>
      </c>
      <c r="K190" s="154">
        <f t="shared" si="37"/>
        <v>0</v>
      </c>
      <c r="L190" s="167"/>
      <c r="M190" s="171"/>
      <c r="N190" s="155">
        <f t="shared" si="31"/>
        <v>7</v>
      </c>
      <c r="O190" s="123">
        <f t="shared" si="38"/>
        <v>24</v>
      </c>
      <c r="P190" s="124">
        <f t="shared" si="32"/>
        <v>0</v>
      </c>
      <c r="Q190" s="125"/>
      <c r="R190" s="125"/>
      <c r="S190" s="125"/>
      <c r="T190" s="125"/>
      <c r="U190" s="125"/>
      <c r="V190" s="125"/>
      <c r="W190" s="125"/>
      <c r="X190" s="125"/>
      <c r="Y190" s="125"/>
      <c r="Z190" s="125"/>
    </row>
    <row r="191" spans="1:26">
      <c r="A191" s="161">
        <v>184</v>
      </c>
      <c r="B191" s="148" t="str">
        <f t="shared" si="33"/>
        <v>16-й год 4-й мес</v>
      </c>
      <c r="C191" s="149">
        <f t="shared" si="39"/>
        <v>46793</v>
      </c>
      <c r="D191" s="150">
        <f t="shared" si="29"/>
        <v>0</v>
      </c>
      <c r="E191" s="151">
        <f t="shared" si="34"/>
        <v>0</v>
      </c>
      <c r="F191" s="151">
        <f t="shared" si="40"/>
        <v>0</v>
      </c>
      <c r="G191" s="152">
        <f t="shared" si="35"/>
        <v>0</v>
      </c>
      <c r="H191" s="153">
        <f t="shared" si="30"/>
        <v>0</v>
      </c>
      <c r="I191" s="151">
        <f t="shared" si="41"/>
        <v>0</v>
      </c>
      <c r="J191" s="151">
        <f t="shared" si="36"/>
        <v>0</v>
      </c>
      <c r="K191" s="154">
        <f t="shared" si="37"/>
        <v>0</v>
      </c>
      <c r="L191" s="167"/>
      <c r="M191" s="171"/>
      <c r="N191" s="155">
        <f t="shared" si="31"/>
        <v>7</v>
      </c>
      <c r="O191" s="123">
        <f t="shared" si="38"/>
        <v>24</v>
      </c>
      <c r="P191" s="124">
        <f t="shared" si="32"/>
        <v>0</v>
      </c>
      <c r="Q191" s="125"/>
      <c r="R191" s="125"/>
      <c r="S191" s="125"/>
      <c r="T191" s="125"/>
      <c r="U191" s="125"/>
      <c r="V191" s="125"/>
      <c r="W191" s="125"/>
      <c r="X191" s="125"/>
      <c r="Y191" s="125"/>
      <c r="Z191" s="125"/>
    </row>
    <row r="192" spans="1:26">
      <c r="A192" s="161">
        <v>185</v>
      </c>
      <c r="B192" s="148" t="str">
        <f t="shared" si="33"/>
        <v>16-й год 5-й мес</v>
      </c>
      <c r="C192" s="149">
        <f t="shared" si="39"/>
        <v>46822</v>
      </c>
      <c r="D192" s="150">
        <f t="shared" si="29"/>
        <v>0</v>
      </c>
      <c r="E192" s="151">
        <f t="shared" si="34"/>
        <v>0</v>
      </c>
      <c r="F192" s="151">
        <f t="shared" si="40"/>
        <v>0</v>
      </c>
      <c r="G192" s="152">
        <f t="shared" si="35"/>
        <v>0</v>
      </c>
      <c r="H192" s="153">
        <f t="shared" si="30"/>
        <v>0</v>
      </c>
      <c r="I192" s="151">
        <f t="shared" si="41"/>
        <v>0</v>
      </c>
      <c r="J192" s="151">
        <f t="shared" si="36"/>
        <v>0</v>
      </c>
      <c r="K192" s="154">
        <f t="shared" si="37"/>
        <v>0</v>
      </c>
      <c r="L192" s="167"/>
      <c r="M192" s="171"/>
      <c r="N192" s="155">
        <f t="shared" si="31"/>
        <v>7</v>
      </c>
      <c r="O192" s="123">
        <f t="shared" si="38"/>
        <v>24</v>
      </c>
      <c r="P192" s="124">
        <f t="shared" si="32"/>
        <v>0</v>
      </c>
      <c r="Q192" s="125"/>
      <c r="R192" s="125"/>
      <c r="S192" s="125"/>
      <c r="T192" s="125"/>
      <c r="U192" s="125"/>
      <c r="V192" s="125"/>
      <c r="W192" s="125"/>
      <c r="X192" s="125"/>
      <c r="Y192" s="125"/>
      <c r="Z192" s="125"/>
    </row>
    <row r="193" spans="1:26">
      <c r="A193" s="161">
        <v>186</v>
      </c>
      <c r="B193" s="148" t="str">
        <f t="shared" si="33"/>
        <v>16-й год 6-й мес</v>
      </c>
      <c r="C193" s="149">
        <f t="shared" si="39"/>
        <v>46853</v>
      </c>
      <c r="D193" s="150">
        <f t="shared" si="29"/>
        <v>0</v>
      </c>
      <c r="E193" s="151">
        <f t="shared" si="34"/>
        <v>0</v>
      </c>
      <c r="F193" s="151">
        <f t="shared" si="40"/>
        <v>0</v>
      </c>
      <c r="G193" s="152">
        <f t="shared" si="35"/>
        <v>0</v>
      </c>
      <c r="H193" s="153">
        <f t="shared" si="30"/>
        <v>0</v>
      </c>
      <c r="I193" s="151">
        <f t="shared" si="41"/>
        <v>0</v>
      </c>
      <c r="J193" s="151">
        <f t="shared" si="36"/>
        <v>0</v>
      </c>
      <c r="K193" s="154">
        <f t="shared" si="37"/>
        <v>0</v>
      </c>
      <c r="L193" s="167"/>
      <c r="M193" s="171"/>
      <c r="N193" s="155">
        <f t="shared" si="31"/>
        <v>7</v>
      </c>
      <c r="O193" s="123">
        <f t="shared" si="38"/>
        <v>24</v>
      </c>
      <c r="P193" s="124">
        <f t="shared" si="32"/>
        <v>0</v>
      </c>
      <c r="Q193" s="125"/>
      <c r="R193" s="125"/>
      <c r="S193" s="125"/>
      <c r="T193" s="125"/>
      <c r="U193" s="125"/>
      <c r="V193" s="125"/>
      <c r="W193" s="125"/>
      <c r="X193" s="125"/>
      <c r="Y193" s="125"/>
      <c r="Z193" s="125"/>
    </row>
    <row r="194" spans="1:26">
      <c r="A194" s="161">
        <v>187</v>
      </c>
      <c r="B194" s="148" t="str">
        <f t="shared" si="33"/>
        <v>16-й год 7-й мес</v>
      </c>
      <c r="C194" s="149">
        <f t="shared" si="39"/>
        <v>46883</v>
      </c>
      <c r="D194" s="150">
        <f t="shared" si="29"/>
        <v>0</v>
      </c>
      <c r="E194" s="151">
        <f t="shared" si="34"/>
        <v>0</v>
      </c>
      <c r="F194" s="151">
        <f t="shared" si="40"/>
        <v>0</v>
      </c>
      <c r="G194" s="152">
        <f t="shared" si="35"/>
        <v>0</v>
      </c>
      <c r="H194" s="153">
        <f t="shared" si="30"/>
        <v>0</v>
      </c>
      <c r="I194" s="151">
        <f t="shared" si="41"/>
        <v>0</v>
      </c>
      <c r="J194" s="151">
        <f t="shared" si="36"/>
        <v>0</v>
      </c>
      <c r="K194" s="154">
        <f t="shared" si="37"/>
        <v>0</v>
      </c>
      <c r="L194" s="167"/>
      <c r="M194" s="171"/>
      <c r="N194" s="155">
        <f t="shared" si="31"/>
        <v>7</v>
      </c>
      <c r="O194" s="123">
        <f t="shared" si="38"/>
        <v>24</v>
      </c>
      <c r="P194" s="124">
        <f t="shared" si="32"/>
        <v>0</v>
      </c>
      <c r="Q194" s="125"/>
      <c r="R194" s="125"/>
      <c r="S194" s="125"/>
      <c r="T194" s="125"/>
      <c r="U194" s="125"/>
      <c r="V194" s="125"/>
      <c r="W194" s="125"/>
      <c r="X194" s="125"/>
      <c r="Y194" s="125"/>
      <c r="Z194" s="125"/>
    </row>
    <row r="195" spans="1:26">
      <c r="A195" s="161">
        <v>188</v>
      </c>
      <c r="B195" s="148" t="str">
        <f t="shared" si="33"/>
        <v>16-й год 8-й мес</v>
      </c>
      <c r="C195" s="149">
        <f t="shared" si="39"/>
        <v>46914</v>
      </c>
      <c r="D195" s="150">
        <f t="shared" si="29"/>
        <v>0</v>
      </c>
      <c r="E195" s="151">
        <f t="shared" si="34"/>
        <v>0</v>
      </c>
      <c r="F195" s="151">
        <f t="shared" si="40"/>
        <v>0</v>
      </c>
      <c r="G195" s="152">
        <f t="shared" si="35"/>
        <v>0</v>
      </c>
      <c r="H195" s="153">
        <f t="shared" si="30"/>
        <v>0</v>
      </c>
      <c r="I195" s="151">
        <f t="shared" si="41"/>
        <v>0</v>
      </c>
      <c r="J195" s="151">
        <f t="shared" si="36"/>
        <v>0</v>
      </c>
      <c r="K195" s="154">
        <f t="shared" si="37"/>
        <v>0</v>
      </c>
      <c r="L195" s="167"/>
      <c r="M195" s="171"/>
      <c r="N195" s="155">
        <f t="shared" si="31"/>
        <v>7</v>
      </c>
      <c r="O195" s="123">
        <f t="shared" si="38"/>
        <v>24</v>
      </c>
      <c r="P195" s="124">
        <f t="shared" si="32"/>
        <v>0</v>
      </c>
      <c r="Q195" s="125"/>
      <c r="R195" s="125"/>
      <c r="S195" s="125"/>
      <c r="T195" s="125"/>
      <c r="U195" s="125"/>
      <c r="V195" s="125"/>
      <c r="W195" s="125"/>
      <c r="X195" s="125"/>
      <c r="Y195" s="125"/>
      <c r="Z195" s="125"/>
    </row>
    <row r="196" spans="1:26">
      <c r="A196" s="161">
        <v>189</v>
      </c>
      <c r="B196" s="148" t="str">
        <f t="shared" si="33"/>
        <v>16-й год 9-й мес</v>
      </c>
      <c r="C196" s="149">
        <f t="shared" si="39"/>
        <v>46944</v>
      </c>
      <c r="D196" s="150">
        <f t="shared" si="29"/>
        <v>0</v>
      </c>
      <c r="E196" s="151">
        <f t="shared" si="34"/>
        <v>0</v>
      </c>
      <c r="F196" s="151">
        <f t="shared" si="40"/>
        <v>0</v>
      </c>
      <c r="G196" s="152">
        <f t="shared" si="35"/>
        <v>0</v>
      </c>
      <c r="H196" s="153">
        <f t="shared" si="30"/>
        <v>0</v>
      </c>
      <c r="I196" s="151">
        <f t="shared" si="41"/>
        <v>0</v>
      </c>
      <c r="J196" s="151">
        <f t="shared" si="36"/>
        <v>0</v>
      </c>
      <c r="K196" s="154">
        <f t="shared" si="37"/>
        <v>0</v>
      </c>
      <c r="L196" s="167"/>
      <c r="M196" s="171"/>
      <c r="N196" s="155">
        <f t="shared" si="31"/>
        <v>7</v>
      </c>
      <c r="O196" s="123">
        <f t="shared" si="38"/>
        <v>24</v>
      </c>
      <c r="P196" s="124">
        <f t="shared" si="32"/>
        <v>0</v>
      </c>
      <c r="Q196" s="125"/>
      <c r="R196" s="125"/>
      <c r="S196" s="125"/>
      <c r="T196" s="125"/>
      <c r="U196" s="125"/>
      <c r="V196" s="125"/>
      <c r="W196" s="125"/>
      <c r="X196" s="125"/>
      <c r="Y196" s="125"/>
      <c r="Z196" s="125"/>
    </row>
    <row r="197" spans="1:26">
      <c r="A197" s="161">
        <v>190</v>
      </c>
      <c r="B197" s="148" t="str">
        <f t="shared" si="33"/>
        <v>16-й год 10-й мес</v>
      </c>
      <c r="C197" s="149">
        <f t="shared" si="39"/>
        <v>46975</v>
      </c>
      <c r="D197" s="150">
        <f t="shared" si="29"/>
        <v>0</v>
      </c>
      <c r="E197" s="151">
        <f t="shared" si="34"/>
        <v>0</v>
      </c>
      <c r="F197" s="151">
        <f t="shared" si="40"/>
        <v>0</v>
      </c>
      <c r="G197" s="152">
        <f t="shared" si="35"/>
        <v>0</v>
      </c>
      <c r="H197" s="153">
        <f t="shared" si="30"/>
        <v>0</v>
      </c>
      <c r="I197" s="151">
        <f t="shared" si="41"/>
        <v>0</v>
      </c>
      <c r="J197" s="151">
        <f t="shared" si="36"/>
        <v>0</v>
      </c>
      <c r="K197" s="154">
        <f t="shared" si="37"/>
        <v>0</v>
      </c>
      <c r="L197" s="167"/>
      <c r="M197" s="171"/>
      <c r="N197" s="155">
        <f t="shared" si="31"/>
        <v>7</v>
      </c>
      <c r="O197" s="123">
        <f t="shared" si="38"/>
        <v>24</v>
      </c>
      <c r="P197" s="124">
        <f t="shared" si="32"/>
        <v>0</v>
      </c>
      <c r="Q197" s="125"/>
      <c r="R197" s="125"/>
      <c r="S197" s="125"/>
      <c r="T197" s="125"/>
      <c r="U197" s="125"/>
      <c r="V197" s="125"/>
      <c r="W197" s="125"/>
      <c r="X197" s="125"/>
      <c r="Y197" s="125"/>
      <c r="Z197" s="125"/>
    </row>
    <row r="198" spans="1:26">
      <c r="A198" s="161">
        <v>191</v>
      </c>
      <c r="B198" s="148" t="str">
        <f t="shared" si="33"/>
        <v>16-й год 11-й мес</v>
      </c>
      <c r="C198" s="149">
        <f t="shared" si="39"/>
        <v>47006</v>
      </c>
      <c r="D198" s="150">
        <f t="shared" si="29"/>
        <v>0</v>
      </c>
      <c r="E198" s="151">
        <f t="shared" si="34"/>
        <v>0</v>
      </c>
      <c r="F198" s="151">
        <f t="shared" si="40"/>
        <v>0</v>
      </c>
      <c r="G198" s="152">
        <f t="shared" si="35"/>
        <v>0</v>
      </c>
      <c r="H198" s="153">
        <f t="shared" si="30"/>
        <v>0</v>
      </c>
      <c r="I198" s="151">
        <f t="shared" si="41"/>
        <v>0</v>
      </c>
      <c r="J198" s="151">
        <f t="shared" si="36"/>
        <v>0</v>
      </c>
      <c r="K198" s="154">
        <f t="shared" si="37"/>
        <v>0</v>
      </c>
      <c r="L198" s="167"/>
      <c r="M198" s="171"/>
      <c r="N198" s="155">
        <f t="shared" si="31"/>
        <v>7</v>
      </c>
      <c r="O198" s="123">
        <f t="shared" si="38"/>
        <v>24</v>
      </c>
      <c r="P198" s="124">
        <f t="shared" si="32"/>
        <v>0</v>
      </c>
      <c r="Q198" s="125"/>
      <c r="R198" s="125"/>
      <c r="S198" s="125"/>
      <c r="T198" s="125"/>
      <c r="U198" s="125"/>
      <c r="V198" s="125"/>
      <c r="W198" s="125"/>
      <c r="X198" s="125"/>
      <c r="Y198" s="125"/>
      <c r="Z198" s="125"/>
    </row>
    <row r="199" spans="1:26">
      <c r="A199" s="162">
        <v>192</v>
      </c>
      <c r="B199" s="148" t="str">
        <f t="shared" si="33"/>
        <v>16-й год 12-й мес</v>
      </c>
      <c r="C199" s="149">
        <f t="shared" si="39"/>
        <v>47036</v>
      </c>
      <c r="D199" s="150">
        <f t="shared" si="29"/>
        <v>0</v>
      </c>
      <c r="E199" s="163">
        <f t="shared" si="34"/>
        <v>0</v>
      </c>
      <c r="F199" s="151">
        <f t="shared" si="40"/>
        <v>0</v>
      </c>
      <c r="G199" s="164">
        <f t="shared" si="35"/>
        <v>0</v>
      </c>
      <c r="H199" s="165">
        <f t="shared" si="30"/>
        <v>0</v>
      </c>
      <c r="I199" s="163">
        <f t="shared" si="41"/>
        <v>0</v>
      </c>
      <c r="J199" s="163">
        <f t="shared" si="36"/>
        <v>0</v>
      </c>
      <c r="K199" s="166">
        <f t="shared" si="37"/>
        <v>0</v>
      </c>
      <c r="L199" s="170"/>
      <c r="M199" s="172"/>
      <c r="N199" s="155">
        <f t="shared" si="31"/>
        <v>7</v>
      </c>
      <c r="O199" s="123">
        <f t="shared" si="38"/>
        <v>24</v>
      </c>
      <c r="P199" s="124">
        <f t="shared" si="32"/>
        <v>0</v>
      </c>
      <c r="Q199" s="125"/>
      <c r="R199" s="125"/>
      <c r="S199" s="125"/>
      <c r="T199" s="125"/>
      <c r="U199" s="125"/>
      <c r="V199" s="125"/>
      <c r="W199" s="125"/>
      <c r="X199" s="125"/>
      <c r="Y199" s="125"/>
      <c r="Z199" s="125"/>
    </row>
    <row r="200" spans="1:26">
      <c r="A200" s="147">
        <v>193</v>
      </c>
      <c r="B200" s="148" t="str">
        <f t="shared" si="33"/>
        <v>17-й год 1-й мес</v>
      </c>
      <c r="C200" s="149">
        <f t="shared" si="39"/>
        <v>47067</v>
      </c>
      <c r="D200" s="150">
        <f t="shared" ref="D200:D263" si="42">IF(P200*$D$2/100/12/(1-(1+$D$2/100/12)^(-O200))&lt;G199,ROUNDUP(P200*$D$2/100/12/(1-(1+$D$2/100/12)^(-O200)),0),G199+F200)</f>
        <v>0</v>
      </c>
      <c r="E200" s="151">
        <f t="shared" si="34"/>
        <v>0</v>
      </c>
      <c r="F200" s="151">
        <f t="shared" si="40"/>
        <v>0</v>
      </c>
      <c r="G200" s="152">
        <f t="shared" si="35"/>
        <v>0</v>
      </c>
      <c r="H200" s="153">
        <f t="shared" ref="H200:H263" si="43">I200+J200</f>
        <v>0</v>
      </c>
      <c r="I200" s="151">
        <f t="shared" si="41"/>
        <v>0</v>
      </c>
      <c r="J200" s="151">
        <f t="shared" si="36"/>
        <v>0</v>
      </c>
      <c r="K200" s="154">
        <f t="shared" si="37"/>
        <v>0</v>
      </c>
      <c r="L200" s="167"/>
      <c r="M200" s="171"/>
      <c r="N200" s="155">
        <f t="shared" ref="N200:N263" si="44">IF(ISBLANK(L199),VALUE(N199),ROW(L199))</f>
        <v>7</v>
      </c>
      <c r="O200" s="123">
        <f t="shared" si="38"/>
        <v>24</v>
      </c>
      <c r="P200" s="124">
        <f t="shared" ref="P200:P263" si="45">INDEX(G:G,N200,1)</f>
        <v>0</v>
      </c>
      <c r="Q200" s="125"/>
      <c r="R200" s="125"/>
      <c r="S200" s="125"/>
      <c r="T200" s="125"/>
      <c r="U200" s="125"/>
      <c r="V200" s="125"/>
      <c r="W200" s="125"/>
      <c r="X200" s="125"/>
      <c r="Y200" s="125"/>
      <c r="Z200" s="125"/>
    </row>
    <row r="201" spans="1:26">
      <c r="A201" s="147">
        <v>194</v>
      </c>
      <c r="B201" s="148" t="str">
        <f t="shared" ref="B201:B264" si="46">CONCATENATE(INT((A201-1)/12)+1,"-й год ",A201-1-INT((A201-1)/12)*12+1,"-й мес")</f>
        <v>17-й год 2-й мес</v>
      </c>
      <c r="C201" s="149">
        <f t="shared" si="39"/>
        <v>47097</v>
      </c>
      <c r="D201" s="150">
        <f t="shared" si="42"/>
        <v>0</v>
      </c>
      <c r="E201" s="151">
        <f t="shared" ref="E201:E264" si="47">D201-F201</f>
        <v>0</v>
      </c>
      <c r="F201" s="151">
        <f t="shared" si="40"/>
        <v>0</v>
      </c>
      <c r="G201" s="152">
        <f t="shared" ref="G201:G264" si="48">G200-E201-L201-M201</f>
        <v>0</v>
      </c>
      <c r="H201" s="153">
        <f t="shared" si="43"/>
        <v>0</v>
      </c>
      <c r="I201" s="151">
        <f t="shared" si="41"/>
        <v>0</v>
      </c>
      <c r="J201" s="151">
        <f t="shared" ref="J201:J264" si="49">K200*$D$2/12/100</f>
        <v>0</v>
      </c>
      <c r="K201" s="154">
        <f t="shared" ref="K201:K264" si="50">K200-I201-L201-M201</f>
        <v>0</v>
      </c>
      <c r="L201" s="167"/>
      <c r="M201" s="171"/>
      <c r="N201" s="155">
        <f t="shared" si="44"/>
        <v>7</v>
      </c>
      <c r="O201" s="123">
        <f t="shared" ref="O201:O264" si="51">O200+N200-N201</f>
        <v>24</v>
      </c>
      <c r="P201" s="124">
        <f t="shared" si="45"/>
        <v>0</v>
      </c>
      <c r="Q201" s="125"/>
      <c r="R201" s="125"/>
      <c r="S201" s="125"/>
      <c r="T201" s="125"/>
      <c r="U201" s="125"/>
      <c r="V201" s="125"/>
      <c r="W201" s="125"/>
      <c r="X201" s="125"/>
      <c r="Y201" s="125"/>
      <c r="Z201" s="125"/>
    </row>
    <row r="202" spans="1:26">
      <c r="A202" s="147">
        <v>195</v>
      </c>
      <c r="B202" s="148" t="str">
        <f t="shared" si="46"/>
        <v>17-й год 3-й мес</v>
      </c>
      <c r="C202" s="149">
        <f t="shared" ref="C202:C265" si="52">DATE(YEAR(C201),MONTH(C201)+1,DAY(C201))</f>
        <v>47128</v>
      </c>
      <c r="D202" s="150">
        <f t="shared" si="42"/>
        <v>0</v>
      </c>
      <c r="E202" s="151">
        <f t="shared" si="47"/>
        <v>0</v>
      </c>
      <c r="F202" s="151">
        <f t="shared" ref="F202:F265" si="53">G201*$D$2*(C202-C201)/(DATE(YEAR(C202)+1,1,1)-DATE(YEAR(C202),1,1))/100</f>
        <v>0</v>
      </c>
      <c r="G202" s="152">
        <f t="shared" si="48"/>
        <v>0</v>
      </c>
      <c r="H202" s="153">
        <f t="shared" si="43"/>
        <v>0</v>
      </c>
      <c r="I202" s="151">
        <f t="shared" ref="I202:I265" si="54">IF($D$1/$D$3&lt;K201,$D$1/$D$3,K201)</f>
        <v>0</v>
      </c>
      <c r="J202" s="151">
        <f t="shared" si="49"/>
        <v>0</v>
      </c>
      <c r="K202" s="154">
        <f t="shared" si="50"/>
        <v>0</v>
      </c>
      <c r="L202" s="167"/>
      <c r="M202" s="171"/>
      <c r="N202" s="155">
        <f t="shared" si="44"/>
        <v>7</v>
      </c>
      <c r="O202" s="123">
        <f t="shared" si="51"/>
        <v>24</v>
      </c>
      <c r="P202" s="124">
        <f t="shared" si="45"/>
        <v>0</v>
      </c>
      <c r="Q202" s="125"/>
      <c r="R202" s="125"/>
      <c r="S202" s="125"/>
      <c r="T202" s="125"/>
      <c r="U202" s="125"/>
      <c r="V202" s="125"/>
      <c r="W202" s="125"/>
      <c r="X202" s="125"/>
      <c r="Y202" s="125"/>
      <c r="Z202" s="125"/>
    </row>
    <row r="203" spans="1:26">
      <c r="A203" s="147">
        <v>196</v>
      </c>
      <c r="B203" s="148" t="str">
        <f t="shared" si="46"/>
        <v>17-й год 4-й мес</v>
      </c>
      <c r="C203" s="149">
        <f t="shared" si="52"/>
        <v>47159</v>
      </c>
      <c r="D203" s="150">
        <f t="shared" si="42"/>
        <v>0</v>
      </c>
      <c r="E203" s="151">
        <f t="shared" si="47"/>
        <v>0</v>
      </c>
      <c r="F203" s="151">
        <f t="shared" si="53"/>
        <v>0</v>
      </c>
      <c r="G203" s="152">
        <f t="shared" si="48"/>
        <v>0</v>
      </c>
      <c r="H203" s="153">
        <f t="shared" si="43"/>
        <v>0</v>
      </c>
      <c r="I203" s="151">
        <f t="shared" si="54"/>
        <v>0</v>
      </c>
      <c r="J203" s="151">
        <f t="shared" si="49"/>
        <v>0</v>
      </c>
      <c r="K203" s="154">
        <f t="shared" si="50"/>
        <v>0</v>
      </c>
      <c r="L203" s="167"/>
      <c r="M203" s="171"/>
      <c r="N203" s="155">
        <f t="shared" si="44"/>
        <v>7</v>
      </c>
      <c r="O203" s="123">
        <f t="shared" si="51"/>
        <v>24</v>
      </c>
      <c r="P203" s="124">
        <f t="shared" si="45"/>
        <v>0</v>
      </c>
      <c r="Q203" s="125"/>
      <c r="R203" s="125"/>
      <c r="S203" s="125"/>
      <c r="T203" s="125"/>
      <c r="U203" s="125"/>
      <c r="V203" s="125"/>
      <c r="W203" s="125"/>
      <c r="X203" s="125"/>
      <c r="Y203" s="125"/>
      <c r="Z203" s="125"/>
    </row>
    <row r="204" spans="1:26">
      <c r="A204" s="147">
        <v>197</v>
      </c>
      <c r="B204" s="148" t="str">
        <f t="shared" si="46"/>
        <v>17-й год 5-й мес</v>
      </c>
      <c r="C204" s="149">
        <f t="shared" si="52"/>
        <v>47187</v>
      </c>
      <c r="D204" s="150">
        <f t="shared" si="42"/>
        <v>0</v>
      </c>
      <c r="E204" s="151">
        <f t="shared" si="47"/>
        <v>0</v>
      </c>
      <c r="F204" s="151">
        <f t="shared" si="53"/>
        <v>0</v>
      </c>
      <c r="G204" s="152">
        <f t="shared" si="48"/>
        <v>0</v>
      </c>
      <c r="H204" s="153">
        <f t="shared" si="43"/>
        <v>0</v>
      </c>
      <c r="I204" s="151">
        <f t="shared" si="54"/>
        <v>0</v>
      </c>
      <c r="J204" s="151">
        <f t="shared" si="49"/>
        <v>0</v>
      </c>
      <c r="K204" s="154">
        <f t="shared" si="50"/>
        <v>0</v>
      </c>
      <c r="L204" s="167"/>
      <c r="M204" s="171"/>
      <c r="N204" s="155">
        <f t="shared" si="44"/>
        <v>7</v>
      </c>
      <c r="O204" s="123">
        <f t="shared" si="51"/>
        <v>24</v>
      </c>
      <c r="P204" s="124">
        <f t="shared" si="45"/>
        <v>0</v>
      </c>
      <c r="Q204" s="125"/>
      <c r="R204" s="125"/>
      <c r="S204" s="125"/>
      <c r="T204" s="125"/>
      <c r="U204" s="125"/>
      <c r="V204" s="125"/>
      <c r="W204" s="125"/>
      <c r="X204" s="125"/>
      <c r="Y204" s="125"/>
      <c r="Z204" s="125"/>
    </row>
    <row r="205" spans="1:26">
      <c r="A205" s="147">
        <v>198</v>
      </c>
      <c r="B205" s="148" t="str">
        <f t="shared" si="46"/>
        <v>17-й год 6-й мес</v>
      </c>
      <c r="C205" s="149">
        <f t="shared" si="52"/>
        <v>47218</v>
      </c>
      <c r="D205" s="150">
        <f t="shared" si="42"/>
        <v>0</v>
      </c>
      <c r="E205" s="151">
        <f t="shared" si="47"/>
        <v>0</v>
      </c>
      <c r="F205" s="151">
        <f t="shared" si="53"/>
        <v>0</v>
      </c>
      <c r="G205" s="152">
        <f t="shared" si="48"/>
        <v>0</v>
      </c>
      <c r="H205" s="153">
        <f t="shared" si="43"/>
        <v>0</v>
      </c>
      <c r="I205" s="151">
        <f t="shared" si="54"/>
        <v>0</v>
      </c>
      <c r="J205" s="151">
        <f t="shared" si="49"/>
        <v>0</v>
      </c>
      <c r="K205" s="154">
        <f t="shared" si="50"/>
        <v>0</v>
      </c>
      <c r="L205" s="167"/>
      <c r="M205" s="171"/>
      <c r="N205" s="155">
        <f t="shared" si="44"/>
        <v>7</v>
      </c>
      <c r="O205" s="123">
        <f t="shared" si="51"/>
        <v>24</v>
      </c>
      <c r="P205" s="124">
        <f t="shared" si="45"/>
        <v>0</v>
      </c>
      <c r="Q205" s="125"/>
      <c r="R205" s="125"/>
      <c r="S205" s="125"/>
      <c r="T205" s="125"/>
      <c r="U205" s="125"/>
      <c r="V205" s="125"/>
      <c r="W205" s="125"/>
      <c r="X205" s="125"/>
      <c r="Y205" s="125"/>
      <c r="Z205" s="125"/>
    </row>
    <row r="206" spans="1:26">
      <c r="A206" s="147">
        <v>199</v>
      </c>
      <c r="B206" s="148" t="str">
        <f t="shared" si="46"/>
        <v>17-й год 7-й мес</v>
      </c>
      <c r="C206" s="149">
        <f t="shared" si="52"/>
        <v>47248</v>
      </c>
      <c r="D206" s="150">
        <f t="shared" si="42"/>
        <v>0</v>
      </c>
      <c r="E206" s="151">
        <f t="shared" si="47"/>
        <v>0</v>
      </c>
      <c r="F206" s="151">
        <f t="shared" si="53"/>
        <v>0</v>
      </c>
      <c r="G206" s="152">
        <f t="shared" si="48"/>
        <v>0</v>
      </c>
      <c r="H206" s="153">
        <f t="shared" si="43"/>
        <v>0</v>
      </c>
      <c r="I206" s="151">
        <f t="shared" si="54"/>
        <v>0</v>
      </c>
      <c r="J206" s="151">
        <f t="shared" si="49"/>
        <v>0</v>
      </c>
      <c r="K206" s="154">
        <f t="shared" si="50"/>
        <v>0</v>
      </c>
      <c r="L206" s="167"/>
      <c r="M206" s="171"/>
      <c r="N206" s="155">
        <f t="shared" si="44"/>
        <v>7</v>
      </c>
      <c r="O206" s="123">
        <f t="shared" si="51"/>
        <v>24</v>
      </c>
      <c r="P206" s="124">
        <f t="shared" si="45"/>
        <v>0</v>
      </c>
      <c r="Q206" s="125"/>
      <c r="R206" s="125"/>
      <c r="S206" s="125"/>
      <c r="T206" s="125"/>
      <c r="U206" s="125"/>
      <c r="V206" s="125"/>
      <c r="W206" s="125"/>
      <c r="X206" s="125"/>
      <c r="Y206" s="125"/>
      <c r="Z206" s="125"/>
    </row>
    <row r="207" spans="1:26">
      <c r="A207" s="147">
        <v>200</v>
      </c>
      <c r="B207" s="148" t="str">
        <f t="shared" si="46"/>
        <v>17-й год 8-й мес</v>
      </c>
      <c r="C207" s="149">
        <f t="shared" si="52"/>
        <v>47279</v>
      </c>
      <c r="D207" s="150">
        <f t="shared" si="42"/>
        <v>0</v>
      </c>
      <c r="E207" s="151">
        <f t="shared" si="47"/>
        <v>0</v>
      </c>
      <c r="F207" s="151">
        <f t="shared" si="53"/>
        <v>0</v>
      </c>
      <c r="G207" s="152">
        <f t="shared" si="48"/>
        <v>0</v>
      </c>
      <c r="H207" s="153">
        <f t="shared" si="43"/>
        <v>0</v>
      </c>
      <c r="I207" s="151">
        <f t="shared" si="54"/>
        <v>0</v>
      </c>
      <c r="J207" s="151">
        <f t="shared" si="49"/>
        <v>0</v>
      </c>
      <c r="K207" s="154">
        <f t="shared" si="50"/>
        <v>0</v>
      </c>
      <c r="L207" s="167"/>
      <c r="M207" s="171"/>
      <c r="N207" s="155">
        <f t="shared" si="44"/>
        <v>7</v>
      </c>
      <c r="O207" s="123">
        <f t="shared" si="51"/>
        <v>24</v>
      </c>
      <c r="P207" s="124">
        <f t="shared" si="45"/>
        <v>0</v>
      </c>
      <c r="Q207" s="125"/>
      <c r="R207" s="125"/>
      <c r="S207" s="125"/>
      <c r="T207" s="125"/>
      <c r="U207" s="125"/>
      <c r="V207" s="125"/>
      <c r="W207" s="125"/>
      <c r="X207" s="125"/>
      <c r="Y207" s="125"/>
      <c r="Z207" s="125"/>
    </row>
    <row r="208" spans="1:26">
      <c r="A208" s="147">
        <v>201</v>
      </c>
      <c r="B208" s="148" t="str">
        <f t="shared" si="46"/>
        <v>17-й год 9-й мес</v>
      </c>
      <c r="C208" s="149">
        <f t="shared" si="52"/>
        <v>47309</v>
      </c>
      <c r="D208" s="150">
        <f t="shared" si="42"/>
        <v>0</v>
      </c>
      <c r="E208" s="151">
        <f t="shared" si="47"/>
        <v>0</v>
      </c>
      <c r="F208" s="151">
        <f t="shared" si="53"/>
        <v>0</v>
      </c>
      <c r="G208" s="152">
        <f t="shared" si="48"/>
        <v>0</v>
      </c>
      <c r="H208" s="153">
        <f t="shared" si="43"/>
        <v>0</v>
      </c>
      <c r="I208" s="151">
        <f t="shared" si="54"/>
        <v>0</v>
      </c>
      <c r="J208" s="151">
        <f t="shared" si="49"/>
        <v>0</v>
      </c>
      <c r="K208" s="154">
        <f t="shared" si="50"/>
        <v>0</v>
      </c>
      <c r="L208" s="167"/>
      <c r="M208" s="171"/>
      <c r="N208" s="155">
        <f t="shared" si="44"/>
        <v>7</v>
      </c>
      <c r="O208" s="123">
        <f t="shared" si="51"/>
        <v>24</v>
      </c>
      <c r="P208" s="124">
        <f t="shared" si="45"/>
        <v>0</v>
      </c>
      <c r="Q208" s="125"/>
      <c r="R208" s="125"/>
      <c r="S208" s="125"/>
      <c r="T208" s="125"/>
      <c r="U208" s="125"/>
      <c r="V208" s="125"/>
      <c r="W208" s="125"/>
      <c r="X208" s="125"/>
      <c r="Y208" s="125"/>
      <c r="Z208" s="125"/>
    </row>
    <row r="209" spans="1:26">
      <c r="A209" s="147">
        <v>202</v>
      </c>
      <c r="B209" s="148" t="str">
        <f t="shared" si="46"/>
        <v>17-й год 10-й мес</v>
      </c>
      <c r="C209" s="149">
        <f t="shared" si="52"/>
        <v>47340</v>
      </c>
      <c r="D209" s="150">
        <f t="shared" si="42"/>
        <v>0</v>
      </c>
      <c r="E209" s="151">
        <f t="shared" si="47"/>
        <v>0</v>
      </c>
      <c r="F209" s="151">
        <f t="shared" si="53"/>
        <v>0</v>
      </c>
      <c r="G209" s="152">
        <f t="shared" si="48"/>
        <v>0</v>
      </c>
      <c r="H209" s="153">
        <f t="shared" si="43"/>
        <v>0</v>
      </c>
      <c r="I209" s="151">
        <f t="shared" si="54"/>
        <v>0</v>
      </c>
      <c r="J209" s="151">
        <f t="shared" si="49"/>
        <v>0</v>
      </c>
      <c r="K209" s="154">
        <f t="shared" si="50"/>
        <v>0</v>
      </c>
      <c r="L209" s="167"/>
      <c r="M209" s="171"/>
      <c r="N209" s="155">
        <f t="shared" si="44"/>
        <v>7</v>
      </c>
      <c r="O209" s="123">
        <f t="shared" si="51"/>
        <v>24</v>
      </c>
      <c r="P209" s="124">
        <f t="shared" si="45"/>
        <v>0</v>
      </c>
      <c r="Q209" s="125"/>
      <c r="R209" s="125"/>
      <c r="S209" s="125"/>
      <c r="T209" s="125"/>
      <c r="U209" s="125"/>
      <c r="V209" s="125"/>
      <c r="W209" s="125"/>
      <c r="X209" s="125"/>
      <c r="Y209" s="125"/>
      <c r="Z209" s="125"/>
    </row>
    <row r="210" spans="1:26">
      <c r="A210" s="147">
        <v>203</v>
      </c>
      <c r="B210" s="148" t="str">
        <f t="shared" si="46"/>
        <v>17-й год 11-й мес</v>
      </c>
      <c r="C210" s="149">
        <f t="shared" si="52"/>
        <v>47371</v>
      </c>
      <c r="D210" s="150">
        <f t="shared" si="42"/>
        <v>0</v>
      </c>
      <c r="E210" s="151">
        <f t="shared" si="47"/>
        <v>0</v>
      </c>
      <c r="F210" s="151">
        <f t="shared" si="53"/>
        <v>0</v>
      </c>
      <c r="G210" s="152">
        <f t="shared" si="48"/>
        <v>0</v>
      </c>
      <c r="H210" s="153">
        <f t="shared" si="43"/>
        <v>0</v>
      </c>
      <c r="I210" s="151">
        <f t="shared" si="54"/>
        <v>0</v>
      </c>
      <c r="J210" s="151">
        <f t="shared" si="49"/>
        <v>0</v>
      </c>
      <c r="K210" s="154">
        <f t="shared" si="50"/>
        <v>0</v>
      </c>
      <c r="L210" s="167"/>
      <c r="M210" s="171"/>
      <c r="N210" s="155">
        <f t="shared" si="44"/>
        <v>7</v>
      </c>
      <c r="O210" s="123">
        <f t="shared" si="51"/>
        <v>24</v>
      </c>
      <c r="P210" s="124">
        <f t="shared" si="45"/>
        <v>0</v>
      </c>
      <c r="Q210" s="125"/>
      <c r="R210" s="125"/>
      <c r="S210" s="125"/>
      <c r="T210" s="125"/>
      <c r="U210" s="125"/>
      <c r="V210" s="125"/>
      <c r="W210" s="125"/>
      <c r="X210" s="125"/>
      <c r="Y210" s="125"/>
      <c r="Z210" s="125"/>
    </row>
    <row r="211" spans="1:26">
      <c r="A211" s="147">
        <v>204</v>
      </c>
      <c r="B211" s="148" t="str">
        <f t="shared" si="46"/>
        <v>17-й год 12-й мес</v>
      </c>
      <c r="C211" s="149">
        <f t="shared" si="52"/>
        <v>47401</v>
      </c>
      <c r="D211" s="150">
        <f t="shared" si="42"/>
        <v>0</v>
      </c>
      <c r="E211" s="151">
        <f t="shared" si="47"/>
        <v>0</v>
      </c>
      <c r="F211" s="151">
        <f t="shared" si="53"/>
        <v>0</v>
      </c>
      <c r="G211" s="152">
        <f t="shared" si="48"/>
        <v>0</v>
      </c>
      <c r="H211" s="153">
        <f t="shared" si="43"/>
        <v>0</v>
      </c>
      <c r="I211" s="151">
        <f t="shared" si="54"/>
        <v>0</v>
      </c>
      <c r="J211" s="151">
        <f t="shared" si="49"/>
        <v>0</v>
      </c>
      <c r="K211" s="154">
        <f t="shared" si="50"/>
        <v>0</v>
      </c>
      <c r="L211" s="167"/>
      <c r="M211" s="171"/>
      <c r="N211" s="155">
        <f t="shared" si="44"/>
        <v>7</v>
      </c>
      <c r="O211" s="123">
        <f t="shared" si="51"/>
        <v>24</v>
      </c>
      <c r="P211" s="124">
        <f t="shared" si="45"/>
        <v>0</v>
      </c>
      <c r="Q211" s="125"/>
      <c r="R211" s="125"/>
      <c r="S211" s="125"/>
      <c r="T211" s="125"/>
      <c r="U211" s="125"/>
      <c r="V211" s="125"/>
      <c r="W211" s="125"/>
      <c r="X211" s="125"/>
      <c r="Y211" s="125"/>
      <c r="Z211" s="125"/>
    </row>
    <row r="212" spans="1:26">
      <c r="A212" s="156">
        <v>205</v>
      </c>
      <c r="B212" s="148" t="str">
        <f t="shared" si="46"/>
        <v>18-й год 1-й мес</v>
      </c>
      <c r="C212" s="149">
        <f t="shared" si="52"/>
        <v>47432</v>
      </c>
      <c r="D212" s="150">
        <f t="shared" si="42"/>
        <v>0</v>
      </c>
      <c r="E212" s="157">
        <f t="shared" si="47"/>
        <v>0</v>
      </c>
      <c r="F212" s="151">
        <f t="shared" si="53"/>
        <v>0</v>
      </c>
      <c r="G212" s="158">
        <f t="shared" si="48"/>
        <v>0</v>
      </c>
      <c r="H212" s="159">
        <f t="shared" si="43"/>
        <v>0</v>
      </c>
      <c r="I212" s="157">
        <f t="shared" si="54"/>
        <v>0</v>
      </c>
      <c r="J212" s="157">
        <f t="shared" si="49"/>
        <v>0</v>
      </c>
      <c r="K212" s="160">
        <f t="shared" si="50"/>
        <v>0</v>
      </c>
      <c r="L212" s="169"/>
      <c r="M212" s="168"/>
      <c r="N212" s="155">
        <f t="shared" si="44"/>
        <v>7</v>
      </c>
      <c r="O212" s="123">
        <f t="shared" si="51"/>
        <v>24</v>
      </c>
      <c r="P212" s="124">
        <f t="shared" si="45"/>
        <v>0</v>
      </c>
      <c r="Q212" s="125"/>
      <c r="R212" s="125"/>
      <c r="S212" s="125"/>
      <c r="T212" s="125"/>
      <c r="U212" s="125"/>
      <c r="V212" s="125"/>
      <c r="W212" s="125"/>
      <c r="X212" s="125"/>
      <c r="Y212" s="125"/>
      <c r="Z212" s="125"/>
    </row>
    <row r="213" spans="1:26">
      <c r="A213" s="161">
        <v>206</v>
      </c>
      <c r="B213" s="148" t="str">
        <f t="shared" si="46"/>
        <v>18-й год 2-й мес</v>
      </c>
      <c r="C213" s="149">
        <f t="shared" si="52"/>
        <v>47462</v>
      </c>
      <c r="D213" s="150">
        <f t="shared" si="42"/>
        <v>0</v>
      </c>
      <c r="E213" s="151">
        <f t="shared" si="47"/>
        <v>0</v>
      </c>
      <c r="F213" s="151">
        <f t="shared" si="53"/>
        <v>0</v>
      </c>
      <c r="G213" s="152">
        <f t="shared" si="48"/>
        <v>0</v>
      </c>
      <c r="H213" s="153">
        <f t="shared" si="43"/>
        <v>0</v>
      </c>
      <c r="I213" s="151">
        <f t="shared" si="54"/>
        <v>0</v>
      </c>
      <c r="J213" s="151">
        <f t="shared" si="49"/>
        <v>0</v>
      </c>
      <c r="K213" s="154">
        <f t="shared" si="50"/>
        <v>0</v>
      </c>
      <c r="L213" s="167"/>
      <c r="M213" s="171"/>
      <c r="N213" s="155">
        <f t="shared" si="44"/>
        <v>7</v>
      </c>
      <c r="O213" s="123">
        <f t="shared" si="51"/>
        <v>24</v>
      </c>
      <c r="P213" s="124">
        <f t="shared" si="45"/>
        <v>0</v>
      </c>
      <c r="Q213" s="125"/>
      <c r="R213" s="125"/>
      <c r="S213" s="125"/>
      <c r="T213" s="125"/>
      <c r="U213" s="125"/>
      <c r="V213" s="125"/>
      <c r="W213" s="125"/>
      <c r="X213" s="125"/>
      <c r="Y213" s="125"/>
      <c r="Z213" s="125"/>
    </row>
    <row r="214" spans="1:26">
      <c r="A214" s="161">
        <v>207</v>
      </c>
      <c r="B214" s="148" t="str">
        <f t="shared" si="46"/>
        <v>18-й год 3-й мес</v>
      </c>
      <c r="C214" s="149">
        <f t="shared" si="52"/>
        <v>47493</v>
      </c>
      <c r="D214" s="150">
        <f t="shared" si="42"/>
        <v>0</v>
      </c>
      <c r="E214" s="151">
        <f t="shared" si="47"/>
        <v>0</v>
      </c>
      <c r="F214" s="151">
        <f t="shared" si="53"/>
        <v>0</v>
      </c>
      <c r="G214" s="152">
        <f t="shared" si="48"/>
        <v>0</v>
      </c>
      <c r="H214" s="153">
        <f t="shared" si="43"/>
        <v>0</v>
      </c>
      <c r="I214" s="151">
        <f t="shared" si="54"/>
        <v>0</v>
      </c>
      <c r="J214" s="151">
        <f t="shared" si="49"/>
        <v>0</v>
      </c>
      <c r="K214" s="154">
        <f t="shared" si="50"/>
        <v>0</v>
      </c>
      <c r="L214" s="167"/>
      <c r="M214" s="171"/>
      <c r="N214" s="155">
        <f t="shared" si="44"/>
        <v>7</v>
      </c>
      <c r="O214" s="123">
        <f t="shared" si="51"/>
        <v>24</v>
      </c>
      <c r="P214" s="124">
        <f t="shared" si="45"/>
        <v>0</v>
      </c>
      <c r="Q214" s="125"/>
      <c r="R214" s="125"/>
      <c r="S214" s="125"/>
      <c r="T214" s="125"/>
      <c r="U214" s="125"/>
      <c r="V214" s="125"/>
      <c r="W214" s="125"/>
      <c r="X214" s="125"/>
      <c r="Y214" s="125"/>
      <c r="Z214" s="125"/>
    </row>
    <row r="215" spans="1:26">
      <c r="A215" s="161">
        <v>208</v>
      </c>
      <c r="B215" s="148" t="str">
        <f t="shared" si="46"/>
        <v>18-й год 4-й мес</v>
      </c>
      <c r="C215" s="149">
        <f t="shared" si="52"/>
        <v>47524</v>
      </c>
      <c r="D215" s="150">
        <f t="shared" si="42"/>
        <v>0</v>
      </c>
      <c r="E215" s="151">
        <f t="shared" si="47"/>
        <v>0</v>
      </c>
      <c r="F215" s="151">
        <f t="shared" si="53"/>
        <v>0</v>
      </c>
      <c r="G215" s="152">
        <f t="shared" si="48"/>
        <v>0</v>
      </c>
      <c r="H215" s="153">
        <f t="shared" si="43"/>
        <v>0</v>
      </c>
      <c r="I215" s="151">
        <f t="shared" si="54"/>
        <v>0</v>
      </c>
      <c r="J215" s="151">
        <f t="shared" si="49"/>
        <v>0</v>
      </c>
      <c r="K215" s="154">
        <f t="shared" si="50"/>
        <v>0</v>
      </c>
      <c r="L215" s="167"/>
      <c r="M215" s="171"/>
      <c r="N215" s="155">
        <f t="shared" si="44"/>
        <v>7</v>
      </c>
      <c r="O215" s="123">
        <f t="shared" si="51"/>
        <v>24</v>
      </c>
      <c r="P215" s="124">
        <f t="shared" si="45"/>
        <v>0</v>
      </c>
      <c r="Q215" s="125"/>
      <c r="R215" s="125"/>
      <c r="S215" s="125"/>
      <c r="T215" s="125"/>
      <c r="U215" s="125"/>
      <c r="V215" s="125"/>
      <c r="W215" s="125"/>
      <c r="X215" s="125"/>
      <c r="Y215" s="125"/>
      <c r="Z215" s="125"/>
    </row>
    <row r="216" spans="1:26">
      <c r="A216" s="161">
        <v>209</v>
      </c>
      <c r="B216" s="148" t="str">
        <f t="shared" si="46"/>
        <v>18-й год 5-й мес</v>
      </c>
      <c r="C216" s="149">
        <f t="shared" si="52"/>
        <v>47552</v>
      </c>
      <c r="D216" s="150">
        <f t="shared" si="42"/>
        <v>0</v>
      </c>
      <c r="E216" s="151">
        <f t="shared" si="47"/>
        <v>0</v>
      </c>
      <c r="F216" s="151">
        <f t="shared" si="53"/>
        <v>0</v>
      </c>
      <c r="G216" s="152">
        <f t="shared" si="48"/>
        <v>0</v>
      </c>
      <c r="H216" s="153">
        <f t="shared" si="43"/>
        <v>0</v>
      </c>
      <c r="I216" s="151">
        <f t="shared" si="54"/>
        <v>0</v>
      </c>
      <c r="J216" s="151">
        <f t="shared" si="49"/>
        <v>0</v>
      </c>
      <c r="K216" s="154">
        <f t="shared" si="50"/>
        <v>0</v>
      </c>
      <c r="L216" s="167"/>
      <c r="M216" s="171"/>
      <c r="N216" s="155">
        <f t="shared" si="44"/>
        <v>7</v>
      </c>
      <c r="O216" s="123">
        <f t="shared" si="51"/>
        <v>24</v>
      </c>
      <c r="P216" s="124">
        <f t="shared" si="45"/>
        <v>0</v>
      </c>
      <c r="Q216" s="125"/>
      <c r="R216" s="125"/>
      <c r="S216" s="125"/>
      <c r="T216" s="125"/>
      <c r="U216" s="125"/>
      <c r="V216" s="125"/>
      <c r="W216" s="125"/>
      <c r="X216" s="125"/>
      <c r="Y216" s="125"/>
      <c r="Z216" s="125"/>
    </row>
    <row r="217" spans="1:26">
      <c r="A217" s="161">
        <v>210</v>
      </c>
      <c r="B217" s="148" t="str">
        <f t="shared" si="46"/>
        <v>18-й год 6-й мес</v>
      </c>
      <c r="C217" s="149">
        <f t="shared" si="52"/>
        <v>47583</v>
      </c>
      <c r="D217" s="150">
        <f t="shared" si="42"/>
        <v>0</v>
      </c>
      <c r="E217" s="151">
        <f t="shared" si="47"/>
        <v>0</v>
      </c>
      <c r="F217" s="151">
        <f t="shared" si="53"/>
        <v>0</v>
      </c>
      <c r="G217" s="152">
        <f t="shared" si="48"/>
        <v>0</v>
      </c>
      <c r="H217" s="153">
        <f t="shared" si="43"/>
        <v>0</v>
      </c>
      <c r="I217" s="151">
        <f t="shared" si="54"/>
        <v>0</v>
      </c>
      <c r="J217" s="151">
        <f t="shared" si="49"/>
        <v>0</v>
      </c>
      <c r="K217" s="154">
        <f t="shared" si="50"/>
        <v>0</v>
      </c>
      <c r="L217" s="167"/>
      <c r="M217" s="171"/>
      <c r="N217" s="155">
        <f t="shared" si="44"/>
        <v>7</v>
      </c>
      <c r="O217" s="123">
        <f t="shared" si="51"/>
        <v>24</v>
      </c>
      <c r="P217" s="124">
        <f t="shared" si="45"/>
        <v>0</v>
      </c>
      <c r="Q217" s="125"/>
      <c r="R217" s="125"/>
      <c r="S217" s="125"/>
      <c r="T217" s="125"/>
      <c r="U217" s="125"/>
      <c r="V217" s="125"/>
      <c r="W217" s="125"/>
      <c r="X217" s="125"/>
      <c r="Y217" s="125"/>
      <c r="Z217" s="125"/>
    </row>
    <row r="218" spans="1:26">
      <c r="A218" s="161">
        <v>211</v>
      </c>
      <c r="B218" s="148" t="str">
        <f t="shared" si="46"/>
        <v>18-й год 7-й мес</v>
      </c>
      <c r="C218" s="149">
        <f t="shared" si="52"/>
        <v>47613</v>
      </c>
      <c r="D218" s="150">
        <f t="shared" si="42"/>
        <v>0</v>
      </c>
      <c r="E218" s="151">
        <f t="shared" si="47"/>
        <v>0</v>
      </c>
      <c r="F218" s="151">
        <f t="shared" si="53"/>
        <v>0</v>
      </c>
      <c r="G218" s="152">
        <f t="shared" si="48"/>
        <v>0</v>
      </c>
      <c r="H218" s="153">
        <f t="shared" si="43"/>
        <v>0</v>
      </c>
      <c r="I218" s="151">
        <f t="shared" si="54"/>
        <v>0</v>
      </c>
      <c r="J218" s="151">
        <f t="shared" si="49"/>
        <v>0</v>
      </c>
      <c r="K218" s="154">
        <f t="shared" si="50"/>
        <v>0</v>
      </c>
      <c r="L218" s="167"/>
      <c r="M218" s="171"/>
      <c r="N218" s="155">
        <f t="shared" si="44"/>
        <v>7</v>
      </c>
      <c r="O218" s="123">
        <f t="shared" si="51"/>
        <v>24</v>
      </c>
      <c r="P218" s="124">
        <f t="shared" si="45"/>
        <v>0</v>
      </c>
      <c r="Q218" s="125"/>
      <c r="R218" s="125"/>
      <c r="S218" s="125"/>
      <c r="T218" s="125"/>
      <c r="U218" s="125"/>
      <c r="V218" s="125"/>
      <c r="W218" s="125"/>
      <c r="X218" s="125"/>
      <c r="Y218" s="125"/>
      <c r="Z218" s="125"/>
    </row>
    <row r="219" spans="1:26">
      <c r="A219" s="161">
        <v>212</v>
      </c>
      <c r="B219" s="148" t="str">
        <f t="shared" si="46"/>
        <v>18-й год 8-й мес</v>
      </c>
      <c r="C219" s="149">
        <f t="shared" si="52"/>
        <v>47644</v>
      </c>
      <c r="D219" s="150">
        <f t="shared" si="42"/>
        <v>0</v>
      </c>
      <c r="E219" s="151">
        <f t="shared" si="47"/>
        <v>0</v>
      </c>
      <c r="F219" s="151">
        <f t="shared" si="53"/>
        <v>0</v>
      </c>
      <c r="G219" s="152">
        <f t="shared" si="48"/>
        <v>0</v>
      </c>
      <c r="H219" s="153">
        <f t="shared" si="43"/>
        <v>0</v>
      </c>
      <c r="I219" s="151">
        <f t="shared" si="54"/>
        <v>0</v>
      </c>
      <c r="J219" s="151">
        <f t="shared" si="49"/>
        <v>0</v>
      </c>
      <c r="K219" s="154">
        <f t="shared" si="50"/>
        <v>0</v>
      </c>
      <c r="L219" s="167"/>
      <c r="M219" s="171"/>
      <c r="N219" s="155">
        <f t="shared" si="44"/>
        <v>7</v>
      </c>
      <c r="O219" s="123">
        <f t="shared" si="51"/>
        <v>24</v>
      </c>
      <c r="P219" s="124">
        <f t="shared" si="45"/>
        <v>0</v>
      </c>
      <c r="Q219" s="125"/>
      <c r="R219" s="125"/>
      <c r="S219" s="125"/>
      <c r="T219" s="125"/>
      <c r="U219" s="125"/>
      <c r="V219" s="125"/>
      <c r="W219" s="125"/>
      <c r="X219" s="125"/>
      <c r="Y219" s="125"/>
      <c r="Z219" s="125"/>
    </row>
    <row r="220" spans="1:26">
      <c r="A220" s="161">
        <v>213</v>
      </c>
      <c r="B220" s="148" t="str">
        <f t="shared" si="46"/>
        <v>18-й год 9-й мес</v>
      </c>
      <c r="C220" s="149">
        <f t="shared" si="52"/>
        <v>47674</v>
      </c>
      <c r="D220" s="150">
        <f t="shared" si="42"/>
        <v>0</v>
      </c>
      <c r="E220" s="151">
        <f t="shared" si="47"/>
        <v>0</v>
      </c>
      <c r="F220" s="151">
        <f t="shared" si="53"/>
        <v>0</v>
      </c>
      <c r="G220" s="152">
        <f t="shared" si="48"/>
        <v>0</v>
      </c>
      <c r="H220" s="153">
        <f t="shared" si="43"/>
        <v>0</v>
      </c>
      <c r="I220" s="151">
        <f t="shared" si="54"/>
        <v>0</v>
      </c>
      <c r="J220" s="151">
        <f t="shared" si="49"/>
        <v>0</v>
      </c>
      <c r="K220" s="154">
        <f t="shared" si="50"/>
        <v>0</v>
      </c>
      <c r="L220" s="167"/>
      <c r="M220" s="171"/>
      <c r="N220" s="155">
        <f t="shared" si="44"/>
        <v>7</v>
      </c>
      <c r="O220" s="123">
        <f t="shared" si="51"/>
        <v>24</v>
      </c>
      <c r="P220" s="124">
        <f t="shared" si="45"/>
        <v>0</v>
      </c>
      <c r="Q220" s="125"/>
      <c r="R220" s="125"/>
      <c r="S220" s="125"/>
      <c r="T220" s="125"/>
      <c r="U220" s="125"/>
      <c r="V220" s="125"/>
      <c r="W220" s="125"/>
      <c r="X220" s="125"/>
      <c r="Y220" s="125"/>
      <c r="Z220" s="125"/>
    </row>
    <row r="221" spans="1:26">
      <c r="A221" s="161">
        <v>214</v>
      </c>
      <c r="B221" s="148" t="str">
        <f t="shared" si="46"/>
        <v>18-й год 10-й мес</v>
      </c>
      <c r="C221" s="149">
        <f t="shared" si="52"/>
        <v>47705</v>
      </c>
      <c r="D221" s="150">
        <f t="shared" si="42"/>
        <v>0</v>
      </c>
      <c r="E221" s="151">
        <f t="shared" si="47"/>
        <v>0</v>
      </c>
      <c r="F221" s="151">
        <f t="shared" si="53"/>
        <v>0</v>
      </c>
      <c r="G221" s="152">
        <f t="shared" si="48"/>
        <v>0</v>
      </c>
      <c r="H221" s="153">
        <f t="shared" si="43"/>
        <v>0</v>
      </c>
      <c r="I221" s="151">
        <f t="shared" si="54"/>
        <v>0</v>
      </c>
      <c r="J221" s="151">
        <f t="shared" si="49"/>
        <v>0</v>
      </c>
      <c r="K221" s="154">
        <f t="shared" si="50"/>
        <v>0</v>
      </c>
      <c r="L221" s="167"/>
      <c r="M221" s="171"/>
      <c r="N221" s="155">
        <f t="shared" si="44"/>
        <v>7</v>
      </c>
      <c r="O221" s="123">
        <f t="shared" si="51"/>
        <v>24</v>
      </c>
      <c r="P221" s="124">
        <f t="shared" si="45"/>
        <v>0</v>
      </c>
      <c r="Q221" s="125"/>
      <c r="R221" s="125"/>
      <c r="S221" s="125"/>
      <c r="T221" s="125"/>
      <c r="U221" s="125"/>
      <c r="V221" s="125"/>
      <c r="W221" s="125"/>
      <c r="X221" s="125"/>
      <c r="Y221" s="125"/>
      <c r="Z221" s="125"/>
    </row>
    <row r="222" spans="1:26">
      <c r="A222" s="161">
        <v>215</v>
      </c>
      <c r="B222" s="148" t="str">
        <f t="shared" si="46"/>
        <v>18-й год 11-й мес</v>
      </c>
      <c r="C222" s="149">
        <f t="shared" si="52"/>
        <v>47736</v>
      </c>
      <c r="D222" s="150">
        <f t="shared" si="42"/>
        <v>0</v>
      </c>
      <c r="E222" s="151">
        <f t="shared" si="47"/>
        <v>0</v>
      </c>
      <c r="F222" s="151">
        <f t="shared" si="53"/>
        <v>0</v>
      </c>
      <c r="G222" s="152">
        <f t="shared" si="48"/>
        <v>0</v>
      </c>
      <c r="H222" s="153">
        <f t="shared" si="43"/>
        <v>0</v>
      </c>
      <c r="I222" s="151">
        <f t="shared" si="54"/>
        <v>0</v>
      </c>
      <c r="J222" s="151">
        <f t="shared" si="49"/>
        <v>0</v>
      </c>
      <c r="K222" s="154">
        <f t="shared" si="50"/>
        <v>0</v>
      </c>
      <c r="L222" s="167"/>
      <c r="M222" s="171"/>
      <c r="N222" s="155">
        <f t="shared" si="44"/>
        <v>7</v>
      </c>
      <c r="O222" s="123">
        <f t="shared" si="51"/>
        <v>24</v>
      </c>
      <c r="P222" s="124">
        <f t="shared" si="45"/>
        <v>0</v>
      </c>
      <c r="Q222" s="125"/>
      <c r="R222" s="125"/>
      <c r="S222" s="125"/>
      <c r="T222" s="125"/>
      <c r="U222" s="125"/>
      <c r="V222" s="125"/>
      <c r="W222" s="125"/>
      <c r="X222" s="125"/>
      <c r="Y222" s="125"/>
      <c r="Z222" s="125"/>
    </row>
    <row r="223" spans="1:26">
      <c r="A223" s="162">
        <v>216</v>
      </c>
      <c r="B223" s="148" t="str">
        <f t="shared" si="46"/>
        <v>18-й год 12-й мес</v>
      </c>
      <c r="C223" s="149">
        <f t="shared" si="52"/>
        <v>47766</v>
      </c>
      <c r="D223" s="150">
        <f t="shared" si="42"/>
        <v>0</v>
      </c>
      <c r="E223" s="163">
        <f t="shared" si="47"/>
        <v>0</v>
      </c>
      <c r="F223" s="151">
        <f t="shared" si="53"/>
        <v>0</v>
      </c>
      <c r="G223" s="164">
        <f t="shared" si="48"/>
        <v>0</v>
      </c>
      <c r="H223" s="165">
        <f t="shared" si="43"/>
        <v>0</v>
      </c>
      <c r="I223" s="163">
        <f t="shared" si="54"/>
        <v>0</v>
      </c>
      <c r="J223" s="163">
        <f t="shared" si="49"/>
        <v>0</v>
      </c>
      <c r="K223" s="166">
        <f t="shared" si="50"/>
        <v>0</v>
      </c>
      <c r="L223" s="170"/>
      <c r="M223" s="172"/>
      <c r="N223" s="155">
        <f t="shared" si="44"/>
        <v>7</v>
      </c>
      <c r="O223" s="123">
        <f t="shared" si="51"/>
        <v>24</v>
      </c>
      <c r="P223" s="124">
        <f t="shared" si="45"/>
        <v>0</v>
      </c>
      <c r="Q223" s="125"/>
      <c r="R223" s="125"/>
      <c r="S223" s="125"/>
      <c r="T223" s="125"/>
      <c r="U223" s="125"/>
      <c r="V223" s="125"/>
      <c r="W223" s="125"/>
      <c r="X223" s="125"/>
      <c r="Y223" s="125"/>
      <c r="Z223" s="125"/>
    </row>
    <row r="224" spans="1:26">
      <c r="A224" s="147">
        <v>217</v>
      </c>
      <c r="B224" s="148" t="str">
        <f t="shared" si="46"/>
        <v>19-й год 1-й мес</v>
      </c>
      <c r="C224" s="149">
        <f t="shared" si="52"/>
        <v>47797</v>
      </c>
      <c r="D224" s="150">
        <f t="shared" si="42"/>
        <v>0</v>
      </c>
      <c r="E224" s="151">
        <f t="shared" si="47"/>
        <v>0</v>
      </c>
      <c r="F224" s="151">
        <f t="shared" si="53"/>
        <v>0</v>
      </c>
      <c r="G224" s="152">
        <f t="shared" si="48"/>
        <v>0</v>
      </c>
      <c r="H224" s="153">
        <f t="shared" si="43"/>
        <v>0</v>
      </c>
      <c r="I224" s="151">
        <f t="shared" si="54"/>
        <v>0</v>
      </c>
      <c r="J224" s="151">
        <f t="shared" si="49"/>
        <v>0</v>
      </c>
      <c r="K224" s="154">
        <f t="shared" si="50"/>
        <v>0</v>
      </c>
      <c r="L224" s="167"/>
      <c r="M224" s="171"/>
      <c r="N224" s="155">
        <f t="shared" si="44"/>
        <v>7</v>
      </c>
      <c r="O224" s="123">
        <f t="shared" si="51"/>
        <v>24</v>
      </c>
      <c r="P224" s="124">
        <f t="shared" si="45"/>
        <v>0</v>
      </c>
      <c r="Q224" s="125"/>
      <c r="R224" s="125"/>
      <c r="S224" s="125"/>
      <c r="T224" s="125"/>
      <c r="U224" s="125"/>
      <c r="V224" s="125"/>
      <c r="W224" s="125"/>
      <c r="X224" s="125"/>
      <c r="Y224" s="125"/>
      <c r="Z224" s="125"/>
    </row>
    <row r="225" spans="1:26">
      <c r="A225" s="147">
        <v>218</v>
      </c>
      <c r="B225" s="148" t="str">
        <f t="shared" si="46"/>
        <v>19-й год 2-й мес</v>
      </c>
      <c r="C225" s="149">
        <f t="shared" si="52"/>
        <v>47827</v>
      </c>
      <c r="D225" s="150">
        <f t="shared" si="42"/>
        <v>0</v>
      </c>
      <c r="E225" s="151">
        <f t="shared" si="47"/>
        <v>0</v>
      </c>
      <c r="F225" s="151">
        <f t="shared" si="53"/>
        <v>0</v>
      </c>
      <c r="G225" s="152">
        <f t="shared" si="48"/>
        <v>0</v>
      </c>
      <c r="H225" s="153">
        <f t="shared" si="43"/>
        <v>0</v>
      </c>
      <c r="I225" s="151">
        <f t="shared" si="54"/>
        <v>0</v>
      </c>
      <c r="J225" s="151">
        <f t="shared" si="49"/>
        <v>0</v>
      </c>
      <c r="K225" s="154">
        <f t="shared" si="50"/>
        <v>0</v>
      </c>
      <c r="L225" s="167"/>
      <c r="M225" s="171"/>
      <c r="N225" s="155">
        <f t="shared" si="44"/>
        <v>7</v>
      </c>
      <c r="O225" s="123">
        <f t="shared" si="51"/>
        <v>24</v>
      </c>
      <c r="P225" s="124">
        <f t="shared" si="45"/>
        <v>0</v>
      </c>
      <c r="Q225" s="125"/>
      <c r="R225" s="125"/>
      <c r="S225" s="125"/>
      <c r="T225" s="125"/>
      <c r="U225" s="125"/>
      <c r="V225" s="125"/>
      <c r="W225" s="125"/>
      <c r="X225" s="125"/>
      <c r="Y225" s="125"/>
      <c r="Z225" s="125"/>
    </row>
    <row r="226" spans="1:26">
      <c r="A226" s="147">
        <v>219</v>
      </c>
      <c r="B226" s="148" t="str">
        <f t="shared" si="46"/>
        <v>19-й год 3-й мес</v>
      </c>
      <c r="C226" s="149">
        <f t="shared" si="52"/>
        <v>47858</v>
      </c>
      <c r="D226" s="150">
        <f t="shared" si="42"/>
        <v>0</v>
      </c>
      <c r="E226" s="151">
        <f t="shared" si="47"/>
        <v>0</v>
      </c>
      <c r="F226" s="151">
        <f t="shared" si="53"/>
        <v>0</v>
      </c>
      <c r="G226" s="152">
        <f t="shared" si="48"/>
        <v>0</v>
      </c>
      <c r="H226" s="153">
        <f t="shared" si="43"/>
        <v>0</v>
      </c>
      <c r="I226" s="151">
        <f t="shared" si="54"/>
        <v>0</v>
      </c>
      <c r="J226" s="151">
        <f t="shared" si="49"/>
        <v>0</v>
      </c>
      <c r="K226" s="154">
        <f t="shared" si="50"/>
        <v>0</v>
      </c>
      <c r="L226" s="167"/>
      <c r="M226" s="171"/>
      <c r="N226" s="155">
        <f t="shared" si="44"/>
        <v>7</v>
      </c>
      <c r="O226" s="123">
        <f t="shared" si="51"/>
        <v>24</v>
      </c>
      <c r="P226" s="124">
        <f t="shared" si="45"/>
        <v>0</v>
      </c>
      <c r="Q226" s="125"/>
      <c r="R226" s="125"/>
      <c r="S226" s="125"/>
      <c r="T226" s="125"/>
      <c r="U226" s="125"/>
      <c r="V226" s="125"/>
      <c r="W226" s="125"/>
      <c r="X226" s="125"/>
      <c r="Y226" s="125"/>
      <c r="Z226" s="125"/>
    </row>
    <row r="227" spans="1:26">
      <c r="A227" s="147">
        <v>220</v>
      </c>
      <c r="B227" s="148" t="str">
        <f t="shared" si="46"/>
        <v>19-й год 4-й мес</v>
      </c>
      <c r="C227" s="149">
        <f t="shared" si="52"/>
        <v>47889</v>
      </c>
      <c r="D227" s="150">
        <f t="shared" si="42"/>
        <v>0</v>
      </c>
      <c r="E227" s="151">
        <f t="shared" si="47"/>
        <v>0</v>
      </c>
      <c r="F227" s="151">
        <f t="shared" si="53"/>
        <v>0</v>
      </c>
      <c r="G227" s="152">
        <f t="shared" si="48"/>
        <v>0</v>
      </c>
      <c r="H227" s="153">
        <f t="shared" si="43"/>
        <v>0</v>
      </c>
      <c r="I227" s="151">
        <f t="shared" si="54"/>
        <v>0</v>
      </c>
      <c r="J227" s="151">
        <f t="shared" si="49"/>
        <v>0</v>
      </c>
      <c r="K227" s="154">
        <f t="shared" si="50"/>
        <v>0</v>
      </c>
      <c r="L227" s="167"/>
      <c r="M227" s="171"/>
      <c r="N227" s="155">
        <f t="shared" si="44"/>
        <v>7</v>
      </c>
      <c r="O227" s="123">
        <f t="shared" si="51"/>
        <v>24</v>
      </c>
      <c r="P227" s="124">
        <f t="shared" si="45"/>
        <v>0</v>
      </c>
      <c r="Q227" s="125"/>
      <c r="R227" s="125"/>
      <c r="S227" s="125"/>
      <c r="T227" s="125"/>
      <c r="U227" s="125"/>
      <c r="V227" s="125"/>
      <c r="W227" s="125"/>
      <c r="X227" s="125"/>
      <c r="Y227" s="125"/>
      <c r="Z227" s="125"/>
    </row>
    <row r="228" spans="1:26">
      <c r="A228" s="147">
        <v>221</v>
      </c>
      <c r="B228" s="148" t="str">
        <f t="shared" si="46"/>
        <v>19-й год 5-й мес</v>
      </c>
      <c r="C228" s="149">
        <f t="shared" si="52"/>
        <v>47917</v>
      </c>
      <c r="D228" s="150">
        <f t="shared" si="42"/>
        <v>0</v>
      </c>
      <c r="E228" s="151">
        <f t="shared" si="47"/>
        <v>0</v>
      </c>
      <c r="F228" s="151">
        <f t="shared" si="53"/>
        <v>0</v>
      </c>
      <c r="G228" s="152">
        <f t="shared" si="48"/>
        <v>0</v>
      </c>
      <c r="H228" s="153">
        <f t="shared" si="43"/>
        <v>0</v>
      </c>
      <c r="I228" s="151">
        <f t="shared" si="54"/>
        <v>0</v>
      </c>
      <c r="J228" s="151">
        <f t="shared" si="49"/>
        <v>0</v>
      </c>
      <c r="K228" s="154">
        <f t="shared" si="50"/>
        <v>0</v>
      </c>
      <c r="L228" s="167"/>
      <c r="M228" s="171"/>
      <c r="N228" s="155">
        <f t="shared" si="44"/>
        <v>7</v>
      </c>
      <c r="O228" s="123">
        <f t="shared" si="51"/>
        <v>24</v>
      </c>
      <c r="P228" s="124">
        <f t="shared" si="45"/>
        <v>0</v>
      </c>
      <c r="Q228" s="125"/>
      <c r="R228" s="125"/>
      <c r="S228" s="125"/>
      <c r="T228" s="125"/>
      <c r="U228" s="125"/>
      <c r="V228" s="125"/>
      <c r="W228" s="125"/>
      <c r="X228" s="125"/>
      <c r="Y228" s="125"/>
      <c r="Z228" s="125"/>
    </row>
    <row r="229" spans="1:26">
      <c r="A229" s="147">
        <v>222</v>
      </c>
      <c r="B229" s="148" t="str">
        <f t="shared" si="46"/>
        <v>19-й год 6-й мес</v>
      </c>
      <c r="C229" s="149">
        <f t="shared" si="52"/>
        <v>47948</v>
      </c>
      <c r="D229" s="150">
        <f t="shared" si="42"/>
        <v>0</v>
      </c>
      <c r="E229" s="151">
        <f t="shared" si="47"/>
        <v>0</v>
      </c>
      <c r="F229" s="151">
        <f t="shared" si="53"/>
        <v>0</v>
      </c>
      <c r="G229" s="152">
        <f t="shared" si="48"/>
        <v>0</v>
      </c>
      <c r="H229" s="153">
        <f t="shared" si="43"/>
        <v>0</v>
      </c>
      <c r="I229" s="151">
        <f t="shared" si="54"/>
        <v>0</v>
      </c>
      <c r="J229" s="151">
        <f t="shared" si="49"/>
        <v>0</v>
      </c>
      <c r="K229" s="154">
        <f t="shared" si="50"/>
        <v>0</v>
      </c>
      <c r="L229" s="167"/>
      <c r="M229" s="171"/>
      <c r="N229" s="155">
        <f t="shared" si="44"/>
        <v>7</v>
      </c>
      <c r="O229" s="123">
        <f t="shared" si="51"/>
        <v>24</v>
      </c>
      <c r="P229" s="124">
        <f t="shared" si="45"/>
        <v>0</v>
      </c>
      <c r="Q229" s="125"/>
      <c r="R229" s="125"/>
      <c r="S229" s="125"/>
      <c r="T229" s="125"/>
      <c r="U229" s="125"/>
      <c r="V229" s="125"/>
      <c r="W229" s="125"/>
      <c r="X229" s="125"/>
      <c r="Y229" s="125"/>
      <c r="Z229" s="125"/>
    </row>
    <row r="230" spans="1:26">
      <c r="A230" s="147">
        <v>223</v>
      </c>
      <c r="B230" s="148" t="str">
        <f t="shared" si="46"/>
        <v>19-й год 7-й мес</v>
      </c>
      <c r="C230" s="149">
        <f t="shared" si="52"/>
        <v>47978</v>
      </c>
      <c r="D230" s="150">
        <f t="shared" si="42"/>
        <v>0</v>
      </c>
      <c r="E230" s="151">
        <f t="shared" si="47"/>
        <v>0</v>
      </c>
      <c r="F230" s="151">
        <f t="shared" si="53"/>
        <v>0</v>
      </c>
      <c r="G230" s="152">
        <f t="shared" si="48"/>
        <v>0</v>
      </c>
      <c r="H230" s="153">
        <f t="shared" si="43"/>
        <v>0</v>
      </c>
      <c r="I230" s="151">
        <f t="shared" si="54"/>
        <v>0</v>
      </c>
      <c r="J230" s="151">
        <f t="shared" si="49"/>
        <v>0</v>
      </c>
      <c r="K230" s="154">
        <f t="shared" si="50"/>
        <v>0</v>
      </c>
      <c r="L230" s="167"/>
      <c r="M230" s="171"/>
      <c r="N230" s="155">
        <f t="shared" si="44"/>
        <v>7</v>
      </c>
      <c r="O230" s="123">
        <f t="shared" si="51"/>
        <v>24</v>
      </c>
      <c r="P230" s="124">
        <f t="shared" si="45"/>
        <v>0</v>
      </c>
      <c r="Q230" s="125"/>
      <c r="R230" s="125"/>
      <c r="S230" s="125"/>
      <c r="T230" s="125"/>
      <c r="U230" s="125"/>
      <c r="V230" s="125"/>
      <c r="W230" s="125"/>
      <c r="X230" s="125"/>
      <c r="Y230" s="125"/>
      <c r="Z230" s="125"/>
    </row>
    <row r="231" spans="1:26">
      <c r="A231" s="147">
        <v>224</v>
      </c>
      <c r="B231" s="148" t="str">
        <f t="shared" si="46"/>
        <v>19-й год 8-й мес</v>
      </c>
      <c r="C231" s="149">
        <f t="shared" si="52"/>
        <v>48009</v>
      </c>
      <c r="D231" s="150">
        <f t="shared" si="42"/>
        <v>0</v>
      </c>
      <c r="E231" s="151">
        <f t="shared" si="47"/>
        <v>0</v>
      </c>
      <c r="F231" s="151">
        <f t="shared" si="53"/>
        <v>0</v>
      </c>
      <c r="G231" s="152">
        <f t="shared" si="48"/>
        <v>0</v>
      </c>
      <c r="H231" s="153">
        <f t="shared" si="43"/>
        <v>0</v>
      </c>
      <c r="I231" s="151">
        <f t="shared" si="54"/>
        <v>0</v>
      </c>
      <c r="J231" s="151">
        <f t="shared" si="49"/>
        <v>0</v>
      </c>
      <c r="K231" s="154">
        <f t="shared" si="50"/>
        <v>0</v>
      </c>
      <c r="L231" s="167"/>
      <c r="M231" s="171"/>
      <c r="N231" s="155">
        <f t="shared" si="44"/>
        <v>7</v>
      </c>
      <c r="O231" s="123">
        <f t="shared" si="51"/>
        <v>24</v>
      </c>
      <c r="P231" s="124">
        <f t="shared" si="45"/>
        <v>0</v>
      </c>
      <c r="Q231" s="125"/>
      <c r="R231" s="125"/>
      <c r="S231" s="125"/>
      <c r="T231" s="125"/>
      <c r="U231" s="125"/>
      <c r="V231" s="125"/>
      <c r="W231" s="125"/>
      <c r="X231" s="125"/>
      <c r="Y231" s="125"/>
      <c r="Z231" s="125"/>
    </row>
    <row r="232" spans="1:26">
      <c r="A232" s="147">
        <v>225</v>
      </c>
      <c r="B232" s="148" t="str">
        <f t="shared" si="46"/>
        <v>19-й год 9-й мес</v>
      </c>
      <c r="C232" s="149">
        <f t="shared" si="52"/>
        <v>48039</v>
      </c>
      <c r="D232" s="150">
        <f t="shared" si="42"/>
        <v>0</v>
      </c>
      <c r="E232" s="151">
        <f t="shared" si="47"/>
        <v>0</v>
      </c>
      <c r="F232" s="151">
        <f t="shared" si="53"/>
        <v>0</v>
      </c>
      <c r="G232" s="152">
        <f t="shared" si="48"/>
        <v>0</v>
      </c>
      <c r="H232" s="153">
        <f t="shared" si="43"/>
        <v>0</v>
      </c>
      <c r="I232" s="151">
        <f t="shared" si="54"/>
        <v>0</v>
      </c>
      <c r="J232" s="151">
        <f t="shared" si="49"/>
        <v>0</v>
      </c>
      <c r="K232" s="154">
        <f t="shared" si="50"/>
        <v>0</v>
      </c>
      <c r="L232" s="167"/>
      <c r="M232" s="171"/>
      <c r="N232" s="155">
        <f t="shared" si="44"/>
        <v>7</v>
      </c>
      <c r="O232" s="123">
        <f t="shared" si="51"/>
        <v>24</v>
      </c>
      <c r="P232" s="124">
        <f t="shared" si="45"/>
        <v>0</v>
      </c>
      <c r="Q232" s="125"/>
      <c r="R232" s="125"/>
      <c r="S232" s="125"/>
      <c r="T232" s="125"/>
      <c r="U232" s="125"/>
      <c r="V232" s="125"/>
      <c r="W232" s="125"/>
      <c r="X232" s="125"/>
      <c r="Y232" s="125"/>
      <c r="Z232" s="125"/>
    </row>
    <row r="233" spans="1:26">
      <c r="A233" s="147">
        <v>226</v>
      </c>
      <c r="B233" s="148" t="str">
        <f t="shared" si="46"/>
        <v>19-й год 10-й мес</v>
      </c>
      <c r="C233" s="149">
        <f t="shared" si="52"/>
        <v>48070</v>
      </c>
      <c r="D233" s="150">
        <f t="shared" si="42"/>
        <v>0</v>
      </c>
      <c r="E233" s="151">
        <f t="shared" si="47"/>
        <v>0</v>
      </c>
      <c r="F233" s="151">
        <f t="shared" si="53"/>
        <v>0</v>
      </c>
      <c r="G233" s="152">
        <f t="shared" si="48"/>
        <v>0</v>
      </c>
      <c r="H233" s="153">
        <f t="shared" si="43"/>
        <v>0</v>
      </c>
      <c r="I233" s="151">
        <f t="shared" si="54"/>
        <v>0</v>
      </c>
      <c r="J233" s="151">
        <f t="shared" si="49"/>
        <v>0</v>
      </c>
      <c r="K233" s="154">
        <f t="shared" si="50"/>
        <v>0</v>
      </c>
      <c r="L233" s="167"/>
      <c r="M233" s="171"/>
      <c r="N233" s="155">
        <f t="shared" si="44"/>
        <v>7</v>
      </c>
      <c r="O233" s="123">
        <f t="shared" si="51"/>
        <v>24</v>
      </c>
      <c r="P233" s="124">
        <f t="shared" si="45"/>
        <v>0</v>
      </c>
      <c r="Q233" s="125"/>
      <c r="R233" s="125"/>
      <c r="S233" s="125"/>
      <c r="T233" s="125"/>
      <c r="U233" s="125"/>
      <c r="V233" s="125"/>
      <c r="W233" s="125"/>
      <c r="X233" s="125"/>
      <c r="Y233" s="125"/>
      <c r="Z233" s="125"/>
    </row>
    <row r="234" spans="1:26">
      <c r="A234" s="147">
        <v>227</v>
      </c>
      <c r="B234" s="148" t="str">
        <f t="shared" si="46"/>
        <v>19-й год 11-й мес</v>
      </c>
      <c r="C234" s="149">
        <f t="shared" si="52"/>
        <v>48101</v>
      </c>
      <c r="D234" s="150">
        <f t="shared" si="42"/>
        <v>0</v>
      </c>
      <c r="E234" s="151">
        <f t="shared" si="47"/>
        <v>0</v>
      </c>
      <c r="F234" s="151">
        <f t="shared" si="53"/>
        <v>0</v>
      </c>
      <c r="G234" s="152">
        <f t="shared" si="48"/>
        <v>0</v>
      </c>
      <c r="H234" s="153">
        <f t="shared" si="43"/>
        <v>0</v>
      </c>
      <c r="I234" s="151">
        <f t="shared" si="54"/>
        <v>0</v>
      </c>
      <c r="J234" s="151">
        <f t="shared" si="49"/>
        <v>0</v>
      </c>
      <c r="K234" s="154">
        <f t="shared" si="50"/>
        <v>0</v>
      </c>
      <c r="L234" s="167"/>
      <c r="M234" s="171"/>
      <c r="N234" s="155">
        <f t="shared" si="44"/>
        <v>7</v>
      </c>
      <c r="O234" s="123">
        <f t="shared" si="51"/>
        <v>24</v>
      </c>
      <c r="P234" s="124">
        <f t="shared" si="45"/>
        <v>0</v>
      </c>
      <c r="Q234" s="125"/>
      <c r="R234" s="125"/>
      <c r="S234" s="125"/>
      <c r="T234" s="125"/>
      <c r="U234" s="125"/>
      <c r="V234" s="125"/>
      <c r="W234" s="125"/>
      <c r="X234" s="125"/>
      <c r="Y234" s="125"/>
      <c r="Z234" s="125"/>
    </row>
    <row r="235" spans="1:26">
      <c r="A235" s="147">
        <v>228</v>
      </c>
      <c r="B235" s="148" t="str">
        <f t="shared" si="46"/>
        <v>19-й год 12-й мес</v>
      </c>
      <c r="C235" s="149">
        <f t="shared" si="52"/>
        <v>48131</v>
      </c>
      <c r="D235" s="150">
        <f t="shared" si="42"/>
        <v>0</v>
      </c>
      <c r="E235" s="151">
        <f t="shared" si="47"/>
        <v>0</v>
      </c>
      <c r="F235" s="151">
        <f t="shared" si="53"/>
        <v>0</v>
      </c>
      <c r="G235" s="152">
        <f t="shared" si="48"/>
        <v>0</v>
      </c>
      <c r="H235" s="153">
        <f t="shared" si="43"/>
        <v>0</v>
      </c>
      <c r="I235" s="151">
        <f t="shared" si="54"/>
        <v>0</v>
      </c>
      <c r="J235" s="151">
        <f t="shared" si="49"/>
        <v>0</v>
      </c>
      <c r="K235" s="154">
        <f t="shared" si="50"/>
        <v>0</v>
      </c>
      <c r="L235" s="167"/>
      <c r="M235" s="171"/>
      <c r="N235" s="155">
        <f t="shared" si="44"/>
        <v>7</v>
      </c>
      <c r="O235" s="123">
        <f t="shared" si="51"/>
        <v>24</v>
      </c>
      <c r="P235" s="124">
        <f t="shared" si="45"/>
        <v>0</v>
      </c>
      <c r="Q235" s="125"/>
      <c r="R235" s="125"/>
      <c r="S235" s="125"/>
      <c r="T235" s="125"/>
      <c r="U235" s="125"/>
      <c r="V235" s="125"/>
      <c r="W235" s="125"/>
      <c r="X235" s="125"/>
      <c r="Y235" s="125"/>
      <c r="Z235" s="125"/>
    </row>
    <row r="236" spans="1:26">
      <c r="A236" s="156">
        <v>229</v>
      </c>
      <c r="B236" s="148" t="str">
        <f t="shared" si="46"/>
        <v>20-й год 1-й мес</v>
      </c>
      <c r="C236" s="149">
        <f t="shared" si="52"/>
        <v>48162</v>
      </c>
      <c r="D236" s="150">
        <f t="shared" si="42"/>
        <v>0</v>
      </c>
      <c r="E236" s="157">
        <f t="shared" si="47"/>
        <v>0</v>
      </c>
      <c r="F236" s="151">
        <f t="shared" si="53"/>
        <v>0</v>
      </c>
      <c r="G236" s="158">
        <f t="shared" si="48"/>
        <v>0</v>
      </c>
      <c r="H236" s="159">
        <f t="shared" si="43"/>
        <v>0</v>
      </c>
      <c r="I236" s="157">
        <f t="shared" si="54"/>
        <v>0</v>
      </c>
      <c r="J236" s="157">
        <f t="shared" si="49"/>
        <v>0</v>
      </c>
      <c r="K236" s="160">
        <f t="shared" si="50"/>
        <v>0</v>
      </c>
      <c r="L236" s="169"/>
      <c r="M236" s="168"/>
      <c r="N236" s="155">
        <f t="shared" si="44"/>
        <v>7</v>
      </c>
      <c r="O236" s="123">
        <f t="shared" si="51"/>
        <v>24</v>
      </c>
      <c r="P236" s="124">
        <f t="shared" si="45"/>
        <v>0</v>
      </c>
      <c r="Q236" s="125"/>
      <c r="R236" s="125"/>
      <c r="S236" s="125"/>
      <c r="T236" s="125"/>
      <c r="U236" s="125"/>
      <c r="V236" s="125"/>
      <c r="W236" s="125"/>
      <c r="X236" s="125"/>
      <c r="Y236" s="125"/>
      <c r="Z236" s="125"/>
    </row>
    <row r="237" spans="1:26">
      <c r="A237" s="161">
        <v>230</v>
      </c>
      <c r="B237" s="148" t="str">
        <f t="shared" si="46"/>
        <v>20-й год 2-й мес</v>
      </c>
      <c r="C237" s="149">
        <f t="shared" si="52"/>
        <v>48192</v>
      </c>
      <c r="D237" s="150">
        <f t="shared" si="42"/>
        <v>0</v>
      </c>
      <c r="E237" s="151">
        <f t="shared" si="47"/>
        <v>0</v>
      </c>
      <c r="F237" s="151">
        <f t="shared" si="53"/>
        <v>0</v>
      </c>
      <c r="G237" s="152">
        <f t="shared" si="48"/>
        <v>0</v>
      </c>
      <c r="H237" s="153">
        <f t="shared" si="43"/>
        <v>0</v>
      </c>
      <c r="I237" s="151">
        <f t="shared" si="54"/>
        <v>0</v>
      </c>
      <c r="J237" s="151">
        <f t="shared" si="49"/>
        <v>0</v>
      </c>
      <c r="K237" s="154">
        <f t="shared" si="50"/>
        <v>0</v>
      </c>
      <c r="L237" s="167"/>
      <c r="M237" s="171"/>
      <c r="N237" s="155">
        <f t="shared" si="44"/>
        <v>7</v>
      </c>
      <c r="O237" s="123">
        <f t="shared" si="51"/>
        <v>24</v>
      </c>
      <c r="P237" s="124">
        <f t="shared" si="45"/>
        <v>0</v>
      </c>
      <c r="Q237" s="125"/>
      <c r="R237" s="125"/>
      <c r="S237" s="125"/>
      <c r="T237" s="125"/>
      <c r="U237" s="125"/>
      <c r="V237" s="125"/>
      <c r="W237" s="125"/>
      <c r="X237" s="125"/>
      <c r="Y237" s="125"/>
      <c r="Z237" s="125"/>
    </row>
    <row r="238" spans="1:26">
      <c r="A238" s="161">
        <v>231</v>
      </c>
      <c r="B238" s="148" t="str">
        <f t="shared" si="46"/>
        <v>20-й год 3-й мес</v>
      </c>
      <c r="C238" s="149">
        <f t="shared" si="52"/>
        <v>48223</v>
      </c>
      <c r="D238" s="150">
        <f t="shared" si="42"/>
        <v>0</v>
      </c>
      <c r="E238" s="151">
        <f t="shared" si="47"/>
        <v>0</v>
      </c>
      <c r="F238" s="151">
        <f t="shared" si="53"/>
        <v>0</v>
      </c>
      <c r="G238" s="152">
        <f t="shared" si="48"/>
        <v>0</v>
      </c>
      <c r="H238" s="153">
        <f t="shared" si="43"/>
        <v>0</v>
      </c>
      <c r="I238" s="151">
        <f t="shared" si="54"/>
        <v>0</v>
      </c>
      <c r="J238" s="151">
        <f t="shared" si="49"/>
        <v>0</v>
      </c>
      <c r="K238" s="154">
        <f t="shared" si="50"/>
        <v>0</v>
      </c>
      <c r="L238" s="167"/>
      <c r="M238" s="171"/>
      <c r="N238" s="155">
        <f t="shared" si="44"/>
        <v>7</v>
      </c>
      <c r="O238" s="123">
        <f t="shared" si="51"/>
        <v>24</v>
      </c>
      <c r="P238" s="124">
        <f t="shared" si="45"/>
        <v>0</v>
      </c>
      <c r="Q238" s="125"/>
      <c r="R238" s="125"/>
      <c r="S238" s="125"/>
      <c r="T238" s="125"/>
      <c r="U238" s="125"/>
      <c r="V238" s="125"/>
      <c r="W238" s="125"/>
      <c r="X238" s="125"/>
      <c r="Y238" s="125"/>
      <c r="Z238" s="125"/>
    </row>
    <row r="239" spans="1:26">
      <c r="A239" s="161">
        <v>232</v>
      </c>
      <c r="B239" s="148" t="str">
        <f t="shared" si="46"/>
        <v>20-й год 4-й мес</v>
      </c>
      <c r="C239" s="149">
        <f t="shared" si="52"/>
        <v>48254</v>
      </c>
      <c r="D239" s="150">
        <f t="shared" si="42"/>
        <v>0</v>
      </c>
      <c r="E239" s="151">
        <f t="shared" si="47"/>
        <v>0</v>
      </c>
      <c r="F239" s="151">
        <f t="shared" si="53"/>
        <v>0</v>
      </c>
      <c r="G239" s="152">
        <f t="shared" si="48"/>
        <v>0</v>
      </c>
      <c r="H239" s="153">
        <f t="shared" si="43"/>
        <v>0</v>
      </c>
      <c r="I239" s="151">
        <f t="shared" si="54"/>
        <v>0</v>
      </c>
      <c r="J239" s="151">
        <f t="shared" si="49"/>
        <v>0</v>
      </c>
      <c r="K239" s="154">
        <f t="shared" si="50"/>
        <v>0</v>
      </c>
      <c r="L239" s="167"/>
      <c r="M239" s="171"/>
      <c r="N239" s="155">
        <f t="shared" si="44"/>
        <v>7</v>
      </c>
      <c r="O239" s="123">
        <f t="shared" si="51"/>
        <v>24</v>
      </c>
      <c r="P239" s="124">
        <f t="shared" si="45"/>
        <v>0</v>
      </c>
      <c r="Q239" s="125"/>
      <c r="R239" s="125"/>
      <c r="S239" s="125"/>
      <c r="T239" s="125"/>
      <c r="U239" s="125"/>
      <c r="V239" s="125"/>
      <c r="W239" s="125"/>
      <c r="X239" s="125"/>
      <c r="Y239" s="125"/>
      <c r="Z239" s="125"/>
    </row>
    <row r="240" spans="1:26">
      <c r="A240" s="161">
        <v>233</v>
      </c>
      <c r="B240" s="148" t="str">
        <f t="shared" si="46"/>
        <v>20-й год 5-й мес</v>
      </c>
      <c r="C240" s="149">
        <f t="shared" si="52"/>
        <v>48283</v>
      </c>
      <c r="D240" s="150">
        <f t="shared" si="42"/>
        <v>0</v>
      </c>
      <c r="E240" s="151">
        <f t="shared" si="47"/>
        <v>0</v>
      </c>
      <c r="F240" s="151">
        <f t="shared" si="53"/>
        <v>0</v>
      </c>
      <c r="G240" s="152">
        <f t="shared" si="48"/>
        <v>0</v>
      </c>
      <c r="H240" s="153">
        <f t="shared" si="43"/>
        <v>0</v>
      </c>
      <c r="I240" s="151">
        <f t="shared" si="54"/>
        <v>0</v>
      </c>
      <c r="J240" s="151">
        <f t="shared" si="49"/>
        <v>0</v>
      </c>
      <c r="K240" s="154">
        <f t="shared" si="50"/>
        <v>0</v>
      </c>
      <c r="L240" s="167"/>
      <c r="M240" s="171"/>
      <c r="N240" s="155">
        <f t="shared" si="44"/>
        <v>7</v>
      </c>
      <c r="O240" s="123">
        <f t="shared" si="51"/>
        <v>24</v>
      </c>
      <c r="P240" s="124">
        <f t="shared" si="45"/>
        <v>0</v>
      </c>
      <c r="Q240" s="125"/>
      <c r="R240" s="125"/>
      <c r="S240" s="125"/>
      <c r="T240" s="125"/>
      <c r="U240" s="125"/>
      <c r="V240" s="125"/>
      <c r="W240" s="125"/>
      <c r="X240" s="125"/>
      <c r="Y240" s="125"/>
      <c r="Z240" s="125"/>
    </row>
    <row r="241" spans="1:26">
      <c r="A241" s="161">
        <v>234</v>
      </c>
      <c r="B241" s="148" t="str">
        <f t="shared" si="46"/>
        <v>20-й год 6-й мес</v>
      </c>
      <c r="C241" s="149">
        <f t="shared" si="52"/>
        <v>48314</v>
      </c>
      <c r="D241" s="150">
        <f t="shared" si="42"/>
        <v>0</v>
      </c>
      <c r="E241" s="151">
        <f t="shared" si="47"/>
        <v>0</v>
      </c>
      <c r="F241" s="151">
        <f t="shared" si="53"/>
        <v>0</v>
      </c>
      <c r="G241" s="152">
        <f t="shared" si="48"/>
        <v>0</v>
      </c>
      <c r="H241" s="153">
        <f t="shared" si="43"/>
        <v>0</v>
      </c>
      <c r="I241" s="151">
        <f t="shared" si="54"/>
        <v>0</v>
      </c>
      <c r="J241" s="151">
        <f t="shared" si="49"/>
        <v>0</v>
      </c>
      <c r="K241" s="154">
        <f t="shared" si="50"/>
        <v>0</v>
      </c>
      <c r="L241" s="167"/>
      <c r="M241" s="171"/>
      <c r="N241" s="155">
        <f t="shared" si="44"/>
        <v>7</v>
      </c>
      <c r="O241" s="123">
        <f t="shared" si="51"/>
        <v>24</v>
      </c>
      <c r="P241" s="124">
        <f t="shared" si="45"/>
        <v>0</v>
      </c>
      <c r="Q241" s="125"/>
      <c r="R241" s="125"/>
      <c r="S241" s="125"/>
      <c r="T241" s="125"/>
      <c r="U241" s="125"/>
      <c r="V241" s="125"/>
      <c r="W241" s="125"/>
      <c r="X241" s="125"/>
      <c r="Y241" s="125"/>
      <c r="Z241" s="125"/>
    </row>
    <row r="242" spans="1:26">
      <c r="A242" s="161">
        <v>235</v>
      </c>
      <c r="B242" s="148" t="str">
        <f t="shared" si="46"/>
        <v>20-й год 7-й мес</v>
      </c>
      <c r="C242" s="149">
        <f t="shared" si="52"/>
        <v>48344</v>
      </c>
      <c r="D242" s="150">
        <f t="shared" si="42"/>
        <v>0</v>
      </c>
      <c r="E242" s="151">
        <f t="shared" si="47"/>
        <v>0</v>
      </c>
      <c r="F242" s="151">
        <f t="shared" si="53"/>
        <v>0</v>
      </c>
      <c r="G242" s="152">
        <f t="shared" si="48"/>
        <v>0</v>
      </c>
      <c r="H242" s="153">
        <f t="shared" si="43"/>
        <v>0</v>
      </c>
      <c r="I242" s="151">
        <f t="shared" si="54"/>
        <v>0</v>
      </c>
      <c r="J242" s="151">
        <f t="shared" si="49"/>
        <v>0</v>
      </c>
      <c r="K242" s="154">
        <f t="shared" si="50"/>
        <v>0</v>
      </c>
      <c r="L242" s="167"/>
      <c r="M242" s="171"/>
      <c r="N242" s="155">
        <f t="shared" si="44"/>
        <v>7</v>
      </c>
      <c r="O242" s="123">
        <f t="shared" si="51"/>
        <v>24</v>
      </c>
      <c r="P242" s="124">
        <f t="shared" si="45"/>
        <v>0</v>
      </c>
      <c r="Q242" s="125"/>
      <c r="R242" s="125"/>
      <c r="S242" s="125"/>
      <c r="T242" s="125"/>
      <c r="U242" s="125"/>
      <c r="V242" s="125"/>
      <c r="W242" s="125"/>
      <c r="X242" s="125"/>
      <c r="Y242" s="125"/>
      <c r="Z242" s="125"/>
    </row>
    <row r="243" spans="1:26">
      <c r="A243" s="161">
        <v>236</v>
      </c>
      <c r="B243" s="148" t="str">
        <f t="shared" si="46"/>
        <v>20-й год 8-й мес</v>
      </c>
      <c r="C243" s="149">
        <f t="shared" si="52"/>
        <v>48375</v>
      </c>
      <c r="D243" s="150">
        <f t="shared" si="42"/>
        <v>0</v>
      </c>
      <c r="E243" s="151">
        <f t="shared" si="47"/>
        <v>0</v>
      </c>
      <c r="F243" s="151">
        <f t="shared" si="53"/>
        <v>0</v>
      </c>
      <c r="G243" s="152">
        <f t="shared" si="48"/>
        <v>0</v>
      </c>
      <c r="H243" s="153">
        <f t="shared" si="43"/>
        <v>0</v>
      </c>
      <c r="I243" s="151">
        <f t="shared" si="54"/>
        <v>0</v>
      </c>
      <c r="J243" s="151">
        <f t="shared" si="49"/>
        <v>0</v>
      </c>
      <c r="K243" s="154">
        <f t="shared" si="50"/>
        <v>0</v>
      </c>
      <c r="L243" s="167"/>
      <c r="M243" s="171"/>
      <c r="N243" s="155">
        <f t="shared" si="44"/>
        <v>7</v>
      </c>
      <c r="O243" s="123">
        <f t="shared" si="51"/>
        <v>24</v>
      </c>
      <c r="P243" s="124">
        <f t="shared" si="45"/>
        <v>0</v>
      </c>
      <c r="Q243" s="125"/>
      <c r="R243" s="125"/>
      <c r="S243" s="125"/>
      <c r="T243" s="125"/>
      <c r="U243" s="125"/>
      <c r="V243" s="125"/>
      <c r="W243" s="125"/>
      <c r="X243" s="125"/>
      <c r="Y243" s="125"/>
      <c r="Z243" s="125"/>
    </row>
    <row r="244" spans="1:26">
      <c r="A244" s="161">
        <v>237</v>
      </c>
      <c r="B244" s="148" t="str">
        <f t="shared" si="46"/>
        <v>20-й год 9-й мес</v>
      </c>
      <c r="C244" s="149">
        <f t="shared" si="52"/>
        <v>48405</v>
      </c>
      <c r="D244" s="150">
        <f t="shared" si="42"/>
        <v>0</v>
      </c>
      <c r="E244" s="151">
        <f t="shared" si="47"/>
        <v>0</v>
      </c>
      <c r="F244" s="151">
        <f t="shared" si="53"/>
        <v>0</v>
      </c>
      <c r="G244" s="152">
        <f t="shared" si="48"/>
        <v>0</v>
      </c>
      <c r="H244" s="153">
        <f t="shared" si="43"/>
        <v>0</v>
      </c>
      <c r="I244" s="151">
        <f t="shared" si="54"/>
        <v>0</v>
      </c>
      <c r="J244" s="151">
        <f t="shared" si="49"/>
        <v>0</v>
      </c>
      <c r="K244" s="154">
        <f t="shared" si="50"/>
        <v>0</v>
      </c>
      <c r="L244" s="167"/>
      <c r="M244" s="171"/>
      <c r="N244" s="155">
        <f t="shared" si="44"/>
        <v>7</v>
      </c>
      <c r="O244" s="123">
        <f t="shared" si="51"/>
        <v>24</v>
      </c>
      <c r="P244" s="124">
        <f t="shared" si="45"/>
        <v>0</v>
      </c>
      <c r="Q244" s="125"/>
      <c r="R244" s="125"/>
      <c r="S244" s="125"/>
      <c r="T244" s="125"/>
      <c r="U244" s="125"/>
      <c r="V244" s="125"/>
      <c r="W244" s="125"/>
      <c r="X244" s="125"/>
      <c r="Y244" s="125"/>
      <c r="Z244" s="125"/>
    </row>
    <row r="245" spans="1:26">
      <c r="A245" s="161">
        <v>238</v>
      </c>
      <c r="B245" s="148" t="str">
        <f t="shared" si="46"/>
        <v>20-й год 10-й мес</v>
      </c>
      <c r="C245" s="149">
        <f t="shared" si="52"/>
        <v>48436</v>
      </c>
      <c r="D245" s="150">
        <f t="shared" si="42"/>
        <v>0</v>
      </c>
      <c r="E245" s="151">
        <f t="shared" si="47"/>
        <v>0</v>
      </c>
      <c r="F245" s="151">
        <f t="shared" si="53"/>
        <v>0</v>
      </c>
      <c r="G245" s="152">
        <f t="shared" si="48"/>
        <v>0</v>
      </c>
      <c r="H245" s="153">
        <f t="shared" si="43"/>
        <v>0</v>
      </c>
      <c r="I245" s="151">
        <f t="shared" si="54"/>
        <v>0</v>
      </c>
      <c r="J245" s="151">
        <f t="shared" si="49"/>
        <v>0</v>
      </c>
      <c r="K245" s="154">
        <f t="shared" si="50"/>
        <v>0</v>
      </c>
      <c r="L245" s="167"/>
      <c r="M245" s="171"/>
      <c r="N245" s="155">
        <f t="shared" si="44"/>
        <v>7</v>
      </c>
      <c r="O245" s="123">
        <f t="shared" si="51"/>
        <v>24</v>
      </c>
      <c r="P245" s="124">
        <f t="shared" si="45"/>
        <v>0</v>
      </c>
      <c r="Q245" s="125"/>
      <c r="R245" s="125"/>
      <c r="S245" s="125"/>
      <c r="T245" s="125"/>
      <c r="U245" s="125"/>
      <c r="V245" s="125"/>
      <c r="W245" s="125"/>
      <c r="X245" s="125"/>
      <c r="Y245" s="125"/>
      <c r="Z245" s="125"/>
    </row>
    <row r="246" spans="1:26">
      <c r="A246" s="161">
        <v>239</v>
      </c>
      <c r="B246" s="148" t="str">
        <f t="shared" si="46"/>
        <v>20-й год 11-й мес</v>
      </c>
      <c r="C246" s="149">
        <f t="shared" si="52"/>
        <v>48467</v>
      </c>
      <c r="D246" s="150">
        <f t="shared" si="42"/>
        <v>0</v>
      </c>
      <c r="E246" s="151">
        <f t="shared" si="47"/>
        <v>0</v>
      </c>
      <c r="F246" s="151">
        <f t="shared" si="53"/>
        <v>0</v>
      </c>
      <c r="G246" s="152">
        <f t="shared" si="48"/>
        <v>0</v>
      </c>
      <c r="H246" s="153">
        <f t="shared" si="43"/>
        <v>0</v>
      </c>
      <c r="I246" s="151">
        <f t="shared" si="54"/>
        <v>0</v>
      </c>
      <c r="J246" s="151">
        <f t="shared" si="49"/>
        <v>0</v>
      </c>
      <c r="K246" s="154">
        <f t="shared" si="50"/>
        <v>0</v>
      </c>
      <c r="L246" s="167"/>
      <c r="M246" s="171"/>
      <c r="N246" s="155">
        <f t="shared" si="44"/>
        <v>7</v>
      </c>
      <c r="O246" s="123">
        <f t="shared" si="51"/>
        <v>24</v>
      </c>
      <c r="P246" s="124">
        <f t="shared" si="45"/>
        <v>0</v>
      </c>
      <c r="Q246" s="125"/>
      <c r="R246" s="125"/>
      <c r="S246" s="125"/>
      <c r="T246" s="125"/>
      <c r="U246" s="125"/>
      <c r="V246" s="125"/>
      <c r="W246" s="125"/>
      <c r="X246" s="125"/>
      <c r="Y246" s="125"/>
      <c r="Z246" s="125"/>
    </row>
    <row r="247" spans="1:26">
      <c r="A247" s="162">
        <v>240</v>
      </c>
      <c r="B247" s="148" t="str">
        <f t="shared" si="46"/>
        <v>20-й год 12-й мес</v>
      </c>
      <c r="C247" s="149">
        <f t="shared" si="52"/>
        <v>48497</v>
      </c>
      <c r="D247" s="150">
        <f t="shared" si="42"/>
        <v>0</v>
      </c>
      <c r="E247" s="163">
        <f t="shared" si="47"/>
        <v>0</v>
      </c>
      <c r="F247" s="151">
        <f t="shared" si="53"/>
        <v>0</v>
      </c>
      <c r="G247" s="164">
        <f t="shared" si="48"/>
        <v>0</v>
      </c>
      <c r="H247" s="165">
        <f t="shared" si="43"/>
        <v>0</v>
      </c>
      <c r="I247" s="163">
        <f t="shared" si="54"/>
        <v>0</v>
      </c>
      <c r="J247" s="163">
        <f t="shared" si="49"/>
        <v>0</v>
      </c>
      <c r="K247" s="166">
        <f t="shared" si="50"/>
        <v>0</v>
      </c>
      <c r="L247" s="170"/>
      <c r="M247" s="172"/>
      <c r="N247" s="155">
        <f t="shared" si="44"/>
        <v>7</v>
      </c>
      <c r="O247" s="123">
        <f t="shared" si="51"/>
        <v>24</v>
      </c>
      <c r="P247" s="124">
        <f t="shared" si="45"/>
        <v>0</v>
      </c>
      <c r="Q247" s="125"/>
      <c r="R247" s="125"/>
      <c r="S247" s="125"/>
      <c r="T247" s="125"/>
      <c r="U247" s="125"/>
      <c r="V247" s="125"/>
      <c r="W247" s="125"/>
      <c r="X247" s="125"/>
      <c r="Y247" s="125"/>
      <c r="Z247" s="125"/>
    </row>
    <row r="248" spans="1:26">
      <c r="A248" s="147">
        <v>241</v>
      </c>
      <c r="B248" s="148" t="str">
        <f t="shared" si="46"/>
        <v>21-й год 1-й мес</v>
      </c>
      <c r="C248" s="149">
        <f t="shared" si="52"/>
        <v>48528</v>
      </c>
      <c r="D248" s="150">
        <f t="shared" si="42"/>
        <v>0</v>
      </c>
      <c r="E248" s="151">
        <f t="shared" si="47"/>
        <v>0</v>
      </c>
      <c r="F248" s="151">
        <f t="shared" si="53"/>
        <v>0</v>
      </c>
      <c r="G248" s="152">
        <f t="shared" si="48"/>
        <v>0</v>
      </c>
      <c r="H248" s="153">
        <f t="shared" si="43"/>
        <v>0</v>
      </c>
      <c r="I248" s="151">
        <f t="shared" si="54"/>
        <v>0</v>
      </c>
      <c r="J248" s="151">
        <f t="shared" si="49"/>
        <v>0</v>
      </c>
      <c r="K248" s="154">
        <f t="shared" si="50"/>
        <v>0</v>
      </c>
      <c r="L248" s="167"/>
      <c r="M248" s="171"/>
      <c r="N248" s="155">
        <f t="shared" si="44"/>
        <v>7</v>
      </c>
      <c r="O248" s="123">
        <f t="shared" si="51"/>
        <v>24</v>
      </c>
      <c r="P248" s="124">
        <f t="shared" si="45"/>
        <v>0</v>
      </c>
      <c r="Q248" s="125"/>
      <c r="R248" s="125"/>
      <c r="S248" s="125"/>
      <c r="T248" s="125"/>
      <c r="U248" s="125"/>
      <c r="V248" s="125"/>
      <c r="W248" s="125"/>
      <c r="X248" s="125"/>
      <c r="Y248" s="125"/>
      <c r="Z248" s="125"/>
    </row>
    <row r="249" spans="1:26">
      <c r="A249" s="147">
        <v>242</v>
      </c>
      <c r="B249" s="148" t="str">
        <f t="shared" si="46"/>
        <v>21-й год 2-й мес</v>
      </c>
      <c r="C249" s="149">
        <f t="shared" si="52"/>
        <v>48558</v>
      </c>
      <c r="D249" s="150">
        <f t="shared" si="42"/>
        <v>0</v>
      </c>
      <c r="E249" s="151">
        <f t="shared" si="47"/>
        <v>0</v>
      </c>
      <c r="F249" s="151">
        <f t="shared" si="53"/>
        <v>0</v>
      </c>
      <c r="G249" s="152">
        <f t="shared" si="48"/>
        <v>0</v>
      </c>
      <c r="H249" s="153">
        <f t="shared" si="43"/>
        <v>0</v>
      </c>
      <c r="I249" s="151">
        <f t="shared" si="54"/>
        <v>0</v>
      </c>
      <c r="J249" s="151">
        <f t="shared" si="49"/>
        <v>0</v>
      </c>
      <c r="K249" s="154">
        <f t="shared" si="50"/>
        <v>0</v>
      </c>
      <c r="L249" s="167"/>
      <c r="M249" s="171"/>
      <c r="N249" s="155">
        <f t="shared" si="44"/>
        <v>7</v>
      </c>
      <c r="O249" s="123">
        <f t="shared" si="51"/>
        <v>24</v>
      </c>
      <c r="P249" s="124">
        <f t="shared" si="45"/>
        <v>0</v>
      </c>
      <c r="Q249" s="125"/>
      <c r="R249" s="125"/>
      <c r="S249" s="125"/>
      <c r="T249" s="125"/>
      <c r="U249" s="125"/>
      <c r="V249" s="125"/>
      <c r="W249" s="125"/>
      <c r="X249" s="125"/>
      <c r="Y249" s="125"/>
      <c r="Z249" s="125"/>
    </row>
    <row r="250" spans="1:26">
      <c r="A250" s="147">
        <v>243</v>
      </c>
      <c r="B250" s="148" t="str">
        <f t="shared" si="46"/>
        <v>21-й год 3-й мес</v>
      </c>
      <c r="C250" s="149">
        <f t="shared" si="52"/>
        <v>48589</v>
      </c>
      <c r="D250" s="150">
        <f t="shared" si="42"/>
        <v>0</v>
      </c>
      <c r="E250" s="151">
        <f t="shared" si="47"/>
        <v>0</v>
      </c>
      <c r="F250" s="151">
        <f t="shared" si="53"/>
        <v>0</v>
      </c>
      <c r="G250" s="152">
        <f t="shared" si="48"/>
        <v>0</v>
      </c>
      <c r="H250" s="153">
        <f t="shared" si="43"/>
        <v>0</v>
      </c>
      <c r="I250" s="151">
        <f t="shared" si="54"/>
        <v>0</v>
      </c>
      <c r="J250" s="151">
        <f t="shared" si="49"/>
        <v>0</v>
      </c>
      <c r="K250" s="154">
        <f t="shared" si="50"/>
        <v>0</v>
      </c>
      <c r="L250" s="167"/>
      <c r="M250" s="171"/>
      <c r="N250" s="155">
        <f t="shared" si="44"/>
        <v>7</v>
      </c>
      <c r="O250" s="123">
        <f t="shared" si="51"/>
        <v>24</v>
      </c>
      <c r="P250" s="124">
        <f t="shared" si="45"/>
        <v>0</v>
      </c>
      <c r="Q250" s="125"/>
      <c r="R250" s="125"/>
      <c r="S250" s="125"/>
      <c r="T250" s="125"/>
      <c r="U250" s="125"/>
      <c r="V250" s="125"/>
      <c r="W250" s="125"/>
      <c r="X250" s="125"/>
      <c r="Y250" s="125"/>
      <c r="Z250" s="125"/>
    </row>
    <row r="251" spans="1:26">
      <c r="A251" s="147">
        <v>244</v>
      </c>
      <c r="B251" s="148" t="str">
        <f t="shared" si="46"/>
        <v>21-й год 4-й мес</v>
      </c>
      <c r="C251" s="149">
        <f t="shared" si="52"/>
        <v>48620</v>
      </c>
      <c r="D251" s="150">
        <f t="shared" si="42"/>
        <v>0</v>
      </c>
      <c r="E251" s="151">
        <f t="shared" si="47"/>
        <v>0</v>
      </c>
      <c r="F251" s="151">
        <f t="shared" si="53"/>
        <v>0</v>
      </c>
      <c r="G251" s="152">
        <f t="shared" si="48"/>
        <v>0</v>
      </c>
      <c r="H251" s="153">
        <f t="shared" si="43"/>
        <v>0</v>
      </c>
      <c r="I251" s="151">
        <f t="shared" si="54"/>
        <v>0</v>
      </c>
      <c r="J251" s="151">
        <f t="shared" si="49"/>
        <v>0</v>
      </c>
      <c r="K251" s="154">
        <f t="shared" si="50"/>
        <v>0</v>
      </c>
      <c r="L251" s="167"/>
      <c r="M251" s="171"/>
      <c r="N251" s="155">
        <f t="shared" si="44"/>
        <v>7</v>
      </c>
      <c r="O251" s="123">
        <f t="shared" si="51"/>
        <v>24</v>
      </c>
      <c r="P251" s="124">
        <f t="shared" si="45"/>
        <v>0</v>
      </c>
      <c r="Q251" s="125"/>
      <c r="R251" s="125"/>
      <c r="S251" s="125"/>
      <c r="T251" s="125"/>
      <c r="U251" s="125"/>
      <c r="V251" s="125"/>
      <c r="W251" s="125"/>
      <c r="X251" s="125"/>
      <c r="Y251" s="125"/>
      <c r="Z251" s="125"/>
    </row>
    <row r="252" spans="1:26">
      <c r="A252" s="147">
        <v>245</v>
      </c>
      <c r="B252" s="148" t="str">
        <f t="shared" si="46"/>
        <v>21-й год 5-й мес</v>
      </c>
      <c r="C252" s="149">
        <f t="shared" si="52"/>
        <v>48648</v>
      </c>
      <c r="D252" s="150">
        <f t="shared" si="42"/>
        <v>0</v>
      </c>
      <c r="E252" s="151">
        <f t="shared" si="47"/>
        <v>0</v>
      </c>
      <c r="F252" s="151">
        <f t="shared" si="53"/>
        <v>0</v>
      </c>
      <c r="G252" s="152">
        <f t="shared" si="48"/>
        <v>0</v>
      </c>
      <c r="H252" s="153">
        <f t="shared" si="43"/>
        <v>0</v>
      </c>
      <c r="I252" s="151">
        <f t="shared" si="54"/>
        <v>0</v>
      </c>
      <c r="J252" s="151">
        <f t="shared" si="49"/>
        <v>0</v>
      </c>
      <c r="K252" s="154">
        <f t="shared" si="50"/>
        <v>0</v>
      </c>
      <c r="L252" s="167"/>
      <c r="M252" s="171"/>
      <c r="N252" s="155">
        <f t="shared" si="44"/>
        <v>7</v>
      </c>
      <c r="O252" s="123">
        <f t="shared" si="51"/>
        <v>24</v>
      </c>
      <c r="P252" s="124">
        <f t="shared" si="45"/>
        <v>0</v>
      </c>
      <c r="Q252" s="125"/>
      <c r="R252" s="125"/>
      <c r="S252" s="125"/>
      <c r="T252" s="125"/>
      <c r="U252" s="125"/>
      <c r="V252" s="125"/>
      <c r="W252" s="125"/>
      <c r="X252" s="125"/>
      <c r="Y252" s="125"/>
      <c r="Z252" s="125"/>
    </row>
    <row r="253" spans="1:26">
      <c r="A253" s="147">
        <v>246</v>
      </c>
      <c r="B253" s="148" t="str">
        <f t="shared" si="46"/>
        <v>21-й год 6-й мес</v>
      </c>
      <c r="C253" s="149">
        <f t="shared" si="52"/>
        <v>48679</v>
      </c>
      <c r="D253" s="150">
        <f t="shared" si="42"/>
        <v>0</v>
      </c>
      <c r="E253" s="151">
        <f t="shared" si="47"/>
        <v>0</v>
      </c>
      <c r="F253" s="151">
        <f t="shared" si="53"/>
        <v>0</v>
      </c>
      <c r="G253" s="152">
        <f t="shared" si="48"/>
        <v>0</v>
      </c>
      <c r="H253" s="153">
        <f t="shared" si="43"/>
        <v>0</v>
      </c>
      <c r="I253" s="151">
        <f t="shared" si="54"/>
        <v>0</v>
      </c>
      <c r="J253" s="151">
        <f t="shared" si="49"/>
        <v>0</v>
      </c>
      <c r="K253" s="154">
        <f t="shared" si="50"/>
        <v>0</v>
      </c>
      <c r="L253" s="167"/>
      <c r="M253" s="171"/>
      <c r="N253" s="155">
        <f t="shared" si="44"/>
        <v>7</v>
      </c>
      <c r="O253" s="123">
        <f t="shared" si="51"/>
        <v>24</v>
      </c>
      <c r="P253" s="124">
        <f t="shared" si="45"/>
        <v>0</v>
      </c>
      <c r="Q253" s="125"/>
      <c r="R253" s="125"/>
      <c r="S253" s="125"/>
      <c r="T253" s="125"/>
      <c r="U253" s="125"/>
      <c r="V253" s="125"/>
      <c r="W253" s="125"/>
      <c r="X253" s="125"/>
      <c r="Y253" s="125"/>
      <c r="Z253" s="125"/>
    </row>
    <row r="254" spans="1:26">
      <c r="A254" s="147">
        <v>247</v>
      </c>
      <c r="B254" s="148" t="str">
        <f t="shared" si="46"/>
        <v>21-й год 7-й мес</v>
      </c>
      <c r="C254" s="149">
        <f t="shared" si="52"/>
        <v>48709</v>
      </c>
      <c r="D254" s="150">
        <f t="shared" si="42"/>
        <v>0</v>
      </c>
      <c r="E254" s="151">
        <f t="shared" si="47"/>
        <v>0</v>
      </c>
      <c r="F254" s="151">
        <f t="shared" si="53"/>
        <v>0</v>
      </c>
      <c r="G254" s="152">
        <f t="shared" si="48"/>
        <v>0</v>
      </c>
      <c r="H254" s="153">
        <f t="shared" si="43"/>
        <v>0</v>
      </c>
      <c r="I254" s="151">
        <f t="shared" si="54"/>
        <v>0</v>
      </c>
      <c r="J254" s="151">
        <f t="shared" si="49"/>
        <v>0</v>
      </c>
      <c r="K254" s="154">
        <f t="shared" si="50"/>
        <v>0</v>
      </c>
      <c r="L254" s="167"/>
      <c r="M254" s="171"/>
      <c r="N254" s="155">
        <f t="shared" si="44"/>
        <v>7</v>
      </c>
      <c r="O254" s="123">
        <f t="shared" si="51"/>
        <v>24</v>
      </c>
      <c r="P254" s="124">
        <f t="shared" si="45"/>
        <v>0</v>
      </c>
      <c r="Q254" s="125"/>
      <c r="R254" s="125"/>
      <c r="S254" s="125"/>
      <c r="T254" s="125"/>
      <c r="U254" s="125"/>
      <c r="V254" s="125"/>
      <c r="W254" s="125"/>
      <c r="X254" s="125"/>
      <c r="Y254" s="125"/>
      <c r="Z254" s="125"/>
    </row>
    <row r="255" spans="1:26">
      <c r="A255" s="147">
        <v>248</v>
      </c>
      <c r="B255" s="148" t="str">
        <f t="shared" si="46"/>
        <v>21-й год 8-й мес</v>
      </c>
      <c r="C255" s="149">
        <f t="shared" si="52"/>
        <v>48740</v>
      </c>
      <c r="D255" s="150">
        <f t="shared" si="42"/>
        <v>0</v>
      </c>
      <c r="E255" s="151">
        <f t="shared" si="47"/>
        <v>0</v>
      </c>
      <c r="F255" s="151">
        <f t="shared" si="53"/>
        <v>0</v>
      </c>
      <c r="G255" s="152">
        <f t="shared" si="48"/>
        <v>0</v>
      </c>
      <c r="H255" s="153">
        <f t="shared" si="43"/>
        <v>0</v>
      </c>
      <c r="I255" s="151">
        <f t="shared" si="54"/>
        <v>0</v>
      </c>
      <c r="J255" s="151">
        <f t="shared" si="49"/>
        <v>0</v>
      </c>
      <c r="K255" s="154">
        <f t="shared" si="50"/>
        <v>0</v>
      </c>
      <c r="L255" s="167"/>
      <c r="M255" s="171"/>
      <c r="N255" s="155">
        <f t="shared" si="44"/>
        <v>7</v>
      </c>
      <c r="O255" s="123">
        <f t="shared" si="51"/>
        <v>24</v>
      </c>
      <c r="P255" s="124">
        <f t="shared" si="45"/>
        <v>0</v>
      </c>
      <c r="Q255" s="125"/>
      <c r="R255" s="125"/>
      <c r="S255" s="125"/>
      <c r="T255" s="125"/>
      <c r="U255" s="125"/>
      <c r="V255" s="125"/>
      <c r="W255" s="125"/>
      <c r="X255" s="125"/>
      <c r="Y255" s="125"/>
      <c r="Z255" s="125"/>
    </row>
    <row r="256" spans="1:26">
      <c r="A256" s="147">
        <v>249</v>
      </c>
      <c r="B256" s="148" t="str">
        <f t="shared" si="46"/>
        <v>21-й год 9-й мес</v>
      </c>
      <c r="C256" s="149">
        <f t="shared" si="52"/>
        <v>48770</v>
      </c>
      <c r="D256" s="150">
        <f t="shared" si="42"/>
        <v>0</v>
      </c>
      <c r="E256" s="151">
        <f t="shared" si="47"/>
        <v>0</v>
      </c>
      <c r="F256" s="151">
        <f t="shared" si="53"/>
        <v>0</v>
      </c>
      <c r="G256" s="152">
        <f t="shared" si="48"/>
        <v>0</v>
      </c>
      <c r="H256" s="153">
        <f t="shared" si="43"/>
        <v>0</v>
      </c>
      <c r="I256" s="151">
        <f t="shared" si="54"/>
        <v>0</v>
      </c>
      <c r="J256" s="151">
        <f t="shared" si="49"/>
        <v>0</v>
      </c>
      <c r="K256" s="154">
        <f t="shared" si="50"/>
        <v>0</v>
      </c>
      <c r="L256" s="167"/>
      <c r="M256" s="171"/>
      <c r="N256" s="155">
        <f t="shared" si="44"/>
        <v>7</v>
      </c>
      <c r="O256" s="123">
        <f t="shared" si="51"/>
        <v>24</v>
      </c>
      <c r="P256" s="124">
        <f t="shared" si="45"/>
        <v>0</v>
      </c>
      <c r="Q256" s="125"/>
      <c r="R256" s="125"/>
      <c r="S256" s="125"/>
      <c r="T256" s="125"/>
      <c r="U256" s="125"/>
      <c r="V256" s="125"/>
      <c r="W256" s="125"/>
      <c r="X256" s="125"/>
      <c r="Y256" s="125"/>
      <c r="Z256" s="125"/>
    </row>
    <row r="257" spans="1:26">
      <c r="A257" s="147">
        <v>250</v>
      </c>
      <c r="B257" s="148" t="str">
        <f t="shared" si="46"/>
        <v>21-й год 10-й мес</v>
      </c>
      <c r="C257" s="149">
        <f t="shared" si="52"/>
        <v>48801</v>
      </c>
      <c r="D257" s="150">
        <f t="shared" si="42"/>
        <v>0</v>
      </c>
      <c r="E257" s="151">
        <f t="shared" si="47"/>
        <v>0</v>
      </c>
      <c r="F257" s="151">
        <f t="shared" si="53"/>
        <v>0</v>
      </c>
      <c r="G257" s="152">
        <f t="shared" si="48"/>
        <v>0</v>
      </c>
      <c r="H257" s="153">
        <f t="shared" si="43"/>
        <v>0</v>
      </c>
      <c r="I257" s="151">
        <f t="shared" si="54"/>
        <v>0</v>
      </c>
      <c r="J257" s="151">
        <f t="shared" si="49"/>
        <v>0</v>
      </c>
      <c r="K257" s="154">
        <f t="shared" si="50"/>
        <v>0</v>
      </c>
      <c r="L257" s="167"/>
      <c r="M257" s="171"/>
      <c r="N257" s="155">
        <f t="shared" si="44"/>
        <v>7</v>
      </c>
      <c r="O257" s="123">
        <f t="shared" si="51"/>
        <v>24</v>
      </c>
      <c r="P257" s="124">
        <f t="shared" si="45"/>
        <v>0</v>
      </c>
      <c r="Q257" s="125"/>
      <c r="R257" s="125"/>
      <c r="S257" s="125"/>
      <c r="T257" s="125"/>
      <c r="U257" s="125"/>
      <c r="V257" s="125"/>
      <c r="W257" s="125"/>
      <c r="X257" s="125"/>
      <c r="Y257" s="125"/>
      <c r="Z257" s="125"/>
    </row>
    <row r="258" spans="1:26">
      <c r="A258" s="147">
        <v>251</v>
      </c>
      <c r="B258" s="148" t="str">
        <f t="shared" si="46"/>
        <v>21-й год 11-й мес</v>
      </c>
      <c r="C258" s="149">
        <f t="shared" si="52"/>
        <v>48832</v>
      </c>
      <c r="D258" s="150">
        <f t="shared" si="42"/>
        <v>0</v>
      </c>
      <c r="E258" s="151">
        <f t="shared" si="47"/>
        <v>0</v>
      </c>
      <c r="F258" s="151">
        <f t="shared" si="53"/>
        <v>0</v>
      </c>
      <c r="G258" s="152">
        <f t="shared" si="48"/>
        <v>0</v>
      </c>
      <c r="H258" s="153">
        <f t="shared" si="43"/>
        <v>0</v>
      </c>
      <c r="I258" s="151">
        <f t="shared" si="54"/>
        <v>0</v>
      </c>
      <c r="J258" s="151">
        <f t="shared" si="49"/>
        <v>0</v>
      </c>
      <c r="K258" s="154">
        <f t="shared" si="50"/>
        <v>0</v>
      </c>
      <c r="L258" s="167"/>
      <c r="M258" s="171"/>
      <c r="N258" s="155">
        <f t="shared" si="44"/>
        <v>7</v>
      </c>
      <c r="O258" s="123">
        <f t="shared" si="51"/>
        <v>24</v>
      </c>
      <c r="P258" s="124">
        <f t="shared" si="45"/>
        <v>0</v>
      </c>
      <c r="Q258" s="125"/>
      <c r="R258" s="125"/>
      <c r="S258" s="125"/>
      <c r="T258" s="125"/>
      <c r="U258" s="125"/>
      <c r="V258" s="125"/>
      <c r="W258" s="125"/>
      <c r="X258" s="125"/>
      <c r="Y258" s="125"/>
      <c r="Z258" s="125"/>
    </row>
    <row r="259" spans="1:26">
      <c r="A259" s="147">
        <v>252</v>
      </c>
      <c r="B259" s="148" t="str">
        <f t="shared" si="46"/>
        <v>21-й год 12-й мес</v>
      </c>
      <c r="C259" s="149">
        <f t="shared" si="52"/>
        <v>48862</v>
      </c>
      <c r="D259" s="150">
        <f t="shared" si="42"/>
        <v>0</v>
      </c>
      <c r="E259" s="151">
        <f t="shared" si="47"/>
        <v>0</v>
      </c>
      <c r="F259" s="151">
        <f t="shared" si="53"/>
        <v>0</v>
      </c>
      <c r="G259" s="152">
        <f t="shared" si="48"/>
        <v>0</v>
      </c>
      <c r="H259" s="153">
        <f t="shared" si="43"/>
        <v>0</v>
      </c>
      <c r="I259" s="151">
        <f t="shared" si="54"/>
        <v>0</v>
      </c>
      <c r="J259" s="151">
        <f t="shared" si="49"/>
        <v>0</v>
      </c>
      <c r="K259" s="154">
        <f t="shared" si="50"/>
        <v>0</v>
      </c>
      <c r="L259" s="167"/>
      <c r="M259" s="171"/>
      <c r="N259" s="155">
        <f t="shared" si="44"/>
        <v>7</v>
      </c>
      <c r="O259" s="123">
        <f t="shared" si="51"/>
        <v>24</v>
      </c>
      <c r="P259" s="124">
        <f t="shared" si="45"/>
        <v>0</v>
      </c>
      <c r="Q259" s="125"/>
      <c r="R259" s="125"/>
      <c r="S259" s="125"/>
      <c r="T259" s="125"/>
      <c r="U259" s="125"/>
      <c r="V259" s="125"/>
      <c r="W259" s="125"/>
      <c r="X259" s="125"/>
      <c r="Y259" s="125"/>
      <c r="Z259" s="125"/>
    </row>
    <row r="260" spans="1:26">
      <c r="A260" s="156">
        <v>253</v>
      </c>
      <c r="B260" s="148" t="str">
        <f t="shared" si="46"/>
        <v>22-й год 1-й мес</v>
      </c>
      <c r="C260" s="149">
        <f t="shared" si="52"/>
        <v>48893</v>
      </c>
      <c r="D260" s="150">
        <f t="shared" si="42"/>
        <v>0</v>
      </c>
      <c r="E260" s="157">
        <f t="shared" si="47"/>
        <v>0</v>
      </c>
      <c r="F260" s="151">
        <f t="shared" si="53"/>
        <v>0</v>
      </c>
      <c r="G260" s="158">
        <f t="shared" si="48"/>
        <v>0</v>
      </c>
      <c r="H260" s="159">
        <f t="shared" si="43"/>
        <v>0</v>
      </c>
      <c r="I260" s="157">
        <f t="shared" si="54"/>
        <v>0</v>
      </c>
      <c r="J260" s="157">
        <f t="shared" si="49"/>
        <v>0</v>
      </c>
      <c r="K260" s="160">
        <f t="shared" si="50"/>
        <v>0</v>
      </c>
      <c r="L260" s="169"/>
      <c r="M260" s="168"/>
      <c r="N260" s="155">
        <f t="shared" si="44"/>
        <v>7</v>
      </c>
      <c r="O260" s="123">
        <f t="shared" si="51"/>
        <v>24</v>
      </c>
      <c r="P260" s="124">
        <f t="shared" si="45"/>
        <v>0</v>
      </c>
      <c r="Q260" s="125"/>
      <c r="R260" s="125"/>
      <c r="S260" s="125"/>
      <c r="T260" s="125"/>
      <c r="U260" s="125"/>
      <c r="V260" s="125"/>
      <c r="W260" s="125"/>
      <c r="X260" s="125"/>
      <c r="Y260" s="125"/>
      <c r="Z260" s="125"/>
    </row>
    <row r="261" spans="1:26">
      <c r="A261" s="161">
        <v>254</v>
      </c>
      <c r="B261" s="148" t="str">
        <f t="shared" si="46"/>
        <v>22-й год 2-й мес</v>
      </c>
      <c r="C261" s="149">
        <f t="shared" si="52"/>
        <v>48923</v>
      </c>
      <c r="D261" s="150">
        <f t="shared" si="42"/>
        <v>0</v>
      </c>
      <c r="E261" s="151">
        <f t="shared" si="47"/>
        <v>0</v>
      </c>
      <c r="F261" s="151">
        <f t="shared" si="53"/>
        <v>0</v>
      </c>
      <c r="G261" s="152">
        <f t="shared" si="48"/>
        <v>0</v>
      </c>
      <c r="H261" s="153">
        <f t="shared" si="43"/>
        <v>0</v>
      </c>
      <c r="I261" s="151">
        <f t="shared" si="54"/>
        <v>0</v>
      </c>
      <c r="J261" s="151">
        <f t="shared" si="49"/>
        <v>0</v>
      </c>
      <c r="K261" s="154">
        <f t="shared" si="50"/>
        <v>0</v>
      </c>
      <c r="L261" s="167"/>
      <c r="M261" s="171"/>
      <c r="N261" s="155">
        <f t="shared" si="44"/>
        <v>7</v>
      </c>
      <c r="O261" s="123">
        <f t="shared" si="51"/>
        <v>24</v>
      </c>
      <c r="P261" s="124">
        <f t="shared" si="45"/>
        <v>0</v>
      </c>
      <c r="Q261" s="125"/>
      <c r="R261" s="125"/>
      <c r="S261" s="125"/>
      <c r="T261" s="125"/>
      <c r="U261" s="125"/>
      <c r="V261" s="125"/>
      <c r="W261" s="125"/>
      <c r="X261" s="125"/>
      <c r="Y261" s="125"/>
      <c r="Z261" s="125"/>
    </row>
    <row r="262" spans="1:26">
      <c r="A262" s="161">
        <v>255</v>
      </c>
      <c r="B262" s="148" t="str">
        <f t="shared" si="46"/>
        <v>22-й год 3-й мес</v>
      </c>
      <c r="C262" s="149">
        <f t="shared" si="52"/>
        <v>48954</v>
      </c>
      <c r="D262" s="150">
        <f t="shared" si="42"/>
        <v>0</v>
      </c>
      <c r="E262" s="151">
        <f t="shared" si="47"/>
        <v>0</v>
      </c>
      <c r="F262" s="151">
        <f t="shared" si="53"/>
        <v>0</v>
      </c>
      <c r="G262" s="152">
        <f t="shared" si="48"/>
        <v>0</v>
      </c>
      <c r="H262" s="153">
        <f t="shared" si="43"/>
        <v>0</v>
      </c>
      <c r="I262" s="151">
        <f t="shared" si="54"/>
        <v>0</v>
      </c>
      <c r="J262" s="151">
        <f t="shared" si="49"/>
        <v>0</v>
      </c>
      <c r="K262" s="154">
        <f t="shared" si="50"/>
        <v>0</v>
      </c>
      <c r="L262" s="167"/>
      <c r="M262" s="171"/>
      <c r="N262" s="155">
        <f t="shared" si="44"/>
        <v>7</v>
      </c>
      <c r="O262" s="123">
        <f t="shared" si="51"/>
        <v>24</v>
      </c>
      <c r="P262" s="124">
        <f t="shared" si="45"/>
        <v>0</v>
      </c>
      <c r="Q262" s="125"/>
      <c r="R262" s="125"/>
      <c r="S262" s="125"/>
      <c r="T262" s="125"/>
      <c r="U262" s="125"/>
      <c r="V262" s="125"/>
      <c r="W262" s="125"/>
      <c r="X262" s="125"/>
      <c r="Y262" s="125"/>
      <c r="Z262" s="125"/>
    </row>
    <row r="263" spans="1:26">
      <c r="A263" s="161">
        <v>256</v>
      </c>
      <c r="B263" s="148" t="str">
        <f t="shared" si="46"/>
        <v>22-й год 4-й мес</v>
      </c>
      <c r="C263" s="149">
        <f t="shared" si="52"/>
        <v>48985</v>
      </c>
      <c r="D263" s="150">
        <f t="shared" si="42"/>
        <v>0</v>
      </c>
      <c r="E263" s="151">
        <f t="shared" si="47"/>
        <v>0</v>
      </c>
      <c r="F263" s="151">
        <f t="shared" si="53"/>
        <v>0</v>
      </c>
      <c r="G263" s="152">
        <f t="shared" si="48"/>
        <v>0</v>
      </c>
      <c r="H263" s="153">
        <f t="shared" si="43"/>
        <v>0</v>
      </c>
      <c r="I263" s="151">
        <f t="shared" si="54"/>
        <v>0</v>
      </c>
      <c r="J263" s="151">
        <f t="shared" si="49"/>
        <v>0</v>
      </c>
      <c r="K263" s="154">
        <f t="shared" si="50"/>
        <v>0</v>
      </c>
      <c r="L263" s="167"/>
      <c r="M263" s="171"/>
      <c r="N263" s="155">
        <f t="shared" si="44"/>
        <v>7</v>
      </c>
      <c r="O263" s="123">
        <f t="shared" si="51"/>
        <v>24</v>
      </c>
      <c r="P263" s="124">
        <f t="shared" si="45"/>
        <v>0</v>
      </c>
      <c r="Q263" s="125"/>
      <c r="R263" s="125"/>
      <c r="S263" s="125"/>
      <c r="T263" s="125"/>
      <c r="U263" s="125"/>
      <c r="V263" s="125"/>
      <c r="W263" s="125"/>
      <c r="X263" s="125"/>
      <c r="Y263" s="125"/>
      <c r="Z263" s="125"/>
    </row>
    <row r="264" spans="1:26">
      <c r="A264" s="161">
        <v>257</v>
      </c>
      <c r="B264" s="148" t="str">
        <f t="shared" si="46"/>
        <v>22-й год 5-й мес</v>
      </c>
      <c r="C264" s="149">
        <f t="shared" si="52"/>
        <v>49013</v>
      </c>
      <c r="D264" s="150">
        <f t="shared" ref="D264:D327" si="55">IF(P264*$D$2/100/12/(1-(1+$D$2/100/12)^(-O264))&lt;G263,ROUNDUP(P264*$D$2/100/12/(1-(1+$D$2/100/12)^(-O264)),0),G263+F264)</f>
        <v>0</v>
      </c>
      <c r="E264" s="151">
        <f t="shared" si="47"/>
        <v>0</v>
      </c>
      <c r="F264" s="151">
        <f t="shared" si="53"/>
        <v>0</v>
      </c>
      <c r="G264" s="152">
        <f t="shared" si="48"/>
        <v>0</v>
      </c>
      <c r="H264" s="153">
        <f t="shared" ref="H264:H327" si="56">I264+J264</f>
        <v>0</v>
      </c>
      <c r="I264" s="151">
        <f t="shared" si="54"/>
        <v>0</v>
      </c>
      <c r="J264" s="151">
        <f t="shared" si="49"/>
        <v>0</v>
      </c>
      <c r="K264" s="154">
        <f t="shared" si="50"/>
        <v>0</v>
      </c>
      <c r="L264" s="167"/>
      <c r="M264" s="171"/>
      <c r="N264" s="155">
        <f t="shared" ref="N264:N327" si="57">IF(ISBLANK(L263),VALUE(N263),ROW(L263))</f>
        <v>7</v>
      </c>
      <c r="O264" s="123">
        <f t="shared" si="51"/>
        <v>24</v>
      </c>
      <c r="P264" s="124">
        <f t="shared" ref="P264:P327" si="58">INDEX(G:G,N264,1)</f>
        <v>0</v>
      </c>
      <c r="Q264" s="125"/>
      <c r="R264" s="125"/>
      <c r="S264" s="125"/>
      <c r="T264" s="125"/>
      <c r="U264" s="125"/>
      <c r="V264" s="125"/>
      <c r="W264" s="125"/>
      <c r="X264" s="125"/>
      <c r="Y264" s="125"/>
      <c r="Z264" s="125"/>
    </row>
    <row r="265" spans="1:26">
      <c r="A265" s="161">
        <v>258</v>
      </c>
      <c r="B265" s="148" t="str">
        <f t="shared" ref="B265:B328" si="59">CONCATENATE(INT((A265-1)/12)+1,"-й год ",A265-1-INT((A265-1)/12)*12+1,"-й мес")</f>
        <v>22-й год 6-й мес</v>
      </c>
      <c r="C265" s="149">
        <f t="shared" si="52"/>
        <v>49044</v>
      </c>
      <c r="D265" s="150">
        <f t="shared" si="55"/>
        <v>0</v>
      </c>
      <c r="E265" s="151">
        <f t="shared" ref="E265:E328" si="60">D265-F265</f>
        <v>0</v>
      </c>
      <c r="F265" s="151">
        <f t="shared" si="53"/>
        <v>0</v>
      </c>
      <c r="G265" s="152">
        <f t="shared" ref="G265:G328" si="61">G264-E265-L265-M265</f>
        <v>0</v>
      </c>
      <c r="H265" s="153">
        <f t="shared" si="56"/>
        <v>0</v>
      </c>
      <c r="I265" s="151">
        <f t="shared" si="54"/>
        <v>0</v>
      </c>
      <c r="J265" s="151">
        <f t="shared" ref="J265:J328" si="62">K264*$D$2/12/100</f>
        <v>0</v>
      </c>
      <c r="K265" s="154">
        <f t="shared" ref="K265:K328" si="63">K264-I265-L265-M265</f>
        <v>0</v>
      </c>
      <c r="L265" s="167"/>
      <c r="M265" s="171"/>
      <c r="N265" s="155">
        <f t="shared" si="57"/>
        <v>7</v>
      </c>
      <c r="O265" s="123">
        <f t="shared" ref="O265:O328" si="64">O264+N264-N265</f>
        <v>24</v>
      </c>
      <c r="P265" s="124">
        <f t="shared" si="58"/>
        <v>0</v>
      </c>
      <c r="Q265" s="125"/>
      <c r="R265" s="125"/>
      <c r="S265" s="125"/>
      <c r="T265" s="125"/>
      <c r="U265" s="125"/>
      <c r="V265" s="125"/>
      <c r="W265" s="125"/>
      <c r="X265" s="125"/>
      <c r="Y265" s="125"/>
      <c r="Z265" s="125"/>
    </row>
    <row r="266" spans="1:26">
      <c r="A266" s="161">
        <v>259</v>
      </c>
      <c r="B266" s="148" t="str">
        <f t="shared" si="59"/>
        <v>22-й год 7-й мес</v>
      </c>
      <c r="C266" s="149">
        <f t="shared" ref="C266:C329" si="65">DATE(YEAR(C265),MONTH(C265)+1,DAY(C265))</f>
        <v>49074</v>
      </c>
      <c r="D266" s="150">
        <f t="shared" si="55"/>
        <v>0</v>
      </c>
      <c r="E266" s="151">
        <f t="shared" si="60"/>
        <v>0</v>
      </c>
      <c r="F266" s="151">
        <f t="shared" ref="F266:F329" si="66">G265*$D$2*(C266-C265)/(DATE(YEAR(C266)+1,1,1)-DATE(YEAR(C266),1,1))/100</f>
        <v>0</v>
      </c>
      <c r="G266" s="152">
        <f t="shared" si="61"/>
        <v>0</v>
      </c>
      <c r="H266" s="153">
        <f t="shared" si="56"/>
        <v>0</v>
      </c>
      <c r="I266" s="151">
        <f t="shared" ref="I266:I329" si="67">IF($D$1/$D$3&lt;K265,$D$1/$D$3,K265)</f>
        <v>0</v>
      </c>
      <c r="J266" s="151">
        <f t="shared" si="62"/>
        <v>0</v>
      </c>
      <c r="K266" s="154">
        <f t="shared" si="63"/>
        <v>0</v>
      </c>
      <c r="L266" s="167"/>
      <c r="M266" s="171"/>
      <c r="N266" s="155">
        <f t="shared" si="57"/>
        <v>7</v>
      </c>
      <c r="O266" s="123">
        <f t="shared" si="64"/>
        <v>24</v>
      </c>
      <c r="P266" s="124">
        <f t="shared" si="58"/>
        <v>0</v>
      </c>
      <c r="Q266" s="125"/>
      <c r="R266" s="125"/>
      <c r="S266" s="125"/>
      <c r="T266" s="125"/>
      <c r="U266" s="125"/>
      <c r="V266" s="125"/>
      <c r="W266" s="125"/>
      <c r="X266" s="125"/>
      <c r="Y266" s="125"/>
      <c r="Z266" s="125"/>
    </row>
    <row r="267" spans="1:26">
      <c r="A267" s="161">
        <v>260</v>
      </c>
      <c r="B267" s="148" t="str">
        <f t="shared" si="59"/>
        <v>22-й год 8-й мес</v>
      </c>
      <c r="C267" s="149">
        <f t="shared" si="65"/>
        <v>49105</v>
      </c>
      <c r="D267" s="150">
        <f t="shared" si="55"/>
        <v>0</v>
      </c>
      <c r="E267" s="151">
        <f t="shared" si="60"/>
        <v>0</v>
      </c>
      <c r="F267" s="151">
        <f t="shared" si="66"/>
        <v>0</v>
      </c>
      <c r="G267" s="152">
        <f t="shared" si="61"/>
        <v>0</v>
      </c>
      <c r="H267" s="153">
        <f t="shared" si="56"/>
        <v>0</v>
      </c>
      <c r="I267" s="151">
        <f t="shared" si="67"/>
        <v>0</v>
      </c>
      <c r="J267" s="151">
        <f t="shared" si="62"/>
        <v>0</v>
      </c>
      <c r="K267" s="154">
        <f t="shared" si="63"/>
        <v>0</v>
      </c>
      <c r="L267" s="167"/>
      <c r="M267" s="171"/>
      <c r="N267" s="155">
        <f t="shared" si="57"/>
        <v>7</v>
      </c>
      <c r="O267" s="123">
        <f t="shared" si="64"/>
        <v>24</v>
      </c>
      <c r="P267" s="124">
        <f t="shared" si="58"/>
        <v>0</v>
      </c>
      <c r="Q267" s="125"/>
      <c r="R267" s="125"/>
      <c r="S267" s="125"/>
      <c r="T267" s="125"/>
      <c r="U267" s="125"/>
      <c r="V267" s="125"/>
      <c r="W267" s="125"/>
      <c r="X267" s="125"/>
      <c r="Y267" s="125"/>
      <c r="Z267" s="125"/>
    </row>
    <row r="268" spans="1:26">
      <c r="A268" s="161">
        <v>261</v>
      </c>
      <c r="B268" s="148" t="str">
        <f t="shared" si="59"/>
        <v>22-й год 9-й мес</v>
      </c>
      <c r="C268" s="149">
        <f t="shared" si="65"/>
        <v>49135</v>
      </c>
      <c r="D268" s="150">
        <f t="shared" si="55"/>
        <v>0</v>
      </c>
      <c r="E268" s="151">
        <f t="shared" si="60"/>
        <v>0</v>
      </c>
      <c r="F268" s="151">
        <f t="shared" si="66"/>
        <v>0</v>
      </c>
      <c r="G268" s="152">
        <f t="shared" si="61"/>
        <v>0</v>
      </c>
      <c r="H268" s="153">
        <f t="shared" si="56"/>
        <v>0</v>
      </c>
      <c r="I268" s="151">
        <f t="shared" si="67"/>
        <v>0</v>
      </c>
      <c r="J268" s="151">
        <f t="shared" si="62"/>
        <v>0</v>
      </c>
      <c r="K268" s="154">
        <f t="shared" si="63"/>
        <v>0</v>
      </c>
      <c r="L268" s="167"/>
      <c r="M268" s="171"/>
      <c r="N268" s="155">
        <f t="shared" si="57"/>
        <v>7</v>
      </c>
      <c r="O268" s="123">
        <f t="shared" si="64"/>
        <v>24</v>
      </c>
      <c r="P268" s="124">
        <f t="shared" si="58"/>
        <v>0</v>
      </c>
      <c r="Q268" s="125"/>
      <c r="R268" s="125"/>
      <c r="S268" s="125"/>
      <c r="T268" s="125"/>
      <c r="U268" s="125"/>
      <c r="V268" s="125"/>
      <c r="W268" s="125"/>
      <c r="X268" s="125"/>
      <c r="Y268" s="125"/>
      <c r="Z268" s="125"/>
    </row>
    <row r="269" spans="1:26">
      <c r="A269" s="161">
        <v>262</v>
      </c>
      <c r="B269" s="148" t="str">
        <f t="shared" si="59"/>
        <v>22-й год 10-й мес</v>
      </c>
      <c r="C269" s="149">
        <f t="shared" si="65"/>
        <v>49166</v>
      </c>
      <c r="D269" s="150">
        <f t="shared" si="55"/>
        <v>0</v>
      </c>
      <c r="E269" s="151">
        <f t="shared" si="60"/>
        <v>0</v>
      </c>
      <c r="F269" s="151">
        <f t="shared" si="66"/>
        <v>0</v>
      </c>
      <c r="G269" s="152">
        <f t="shared" si="61"/>
        <v>0</v>
      </c>
      <c r="H269" s="153">
        <f t="shared" si="56"/>
        <v>0</v>
      </c>
      <c r="I269" s="151">
        <f t="shared" si="67"/>
        <v>0</v>
      </c>
      <c r="J269" s="151">
        <f t="shared" si="62"/>
        <v>0</v>
      </c>
      <c r="K269" s="154">
        <f t="shared" si="63"/>
        <v>0</v>
      </c>
      <c r="L269" s="167"/>
      <c r="M269" s="171"/>
      <c r="N269" s="155">
        <f t="shared" si="57"/>
        <v>7</v>
      </c>
      <c r="O269" s="123">
        <f t="shared" si="64"/>
        <v>24</v>
      </c>
      <c r="P269" s="124">
        <f t="shared" si="58"/>
        <v>0</v>
      </c>
      <c r="Q269" s="125"/>
      <c r="R269" s="125"/>
      <c r="S269" s="125"/>
      <c r="T269" s="125"/>
      <c r="U269" s="125"/>
      <c r="V269" s="125"/>
      <c r="W269" s="125"/>
      <c r="X269" s="125"/>
      <c r="Y269" s="125"/>
      <c r="Z269" s="125"/>
    </row>
    <row r="270" spans="1:26">
      <c r="A270" s="161">
        <v>263</v>
      </c>
      <c r="B270" s="148" t="str">
        <f t="shared" si="59"/>
        <v>22-й год 11-й мес</v>
      </c>
      <c r="C270" s="149">
        <f t="shared" si="65"/>
        <v>49197</v>
      </c>
      <c r="D270" s="150">
        <f t="shared" si="55"/>
        <v>0</v>
      </c>
      <c r="E270" s="151">
        <f t="shared" si="60"/>
        <v>0</v>
      </c>
      <c r="F270" s="151">
        <f t="shared" si="66"/>
        <v>0</v>
      </c>
      <c r="G270" s="152">
        <f t="shared" si="61"/>
        <v>0</v>
      </c>
      <c r="H270" s="153">
        <f t="shared" si="56"/>
        <v>0</v>
      </c>
      <c r="I270" s="151">
        <f t="shared" si="67"/>
        <v>0</v>
      </c>
      <c r="J270" s="151">
        <f t="shared" si="62"/>
        <v>0</v>
      </c>
      <c r="K270" s="154">
        <f t="shared" si="63"/>
        <v>0</v>
      </c>
      <c r="L270" s="167"/>
      <c r="M270" s="171"/>
      <c r="N270" s="155">
        <f t="shared" si="57"/>
        <v>7</v>
      </c>
      <c r="O270" s="123">
        <f t="shared" si="64"/>
        <v>24</v>
      </c>
      <c r="P270" s="124">
        <f t="shared" si="58"/>
        <v>0</v>
      </c>
      <c r="Q270" s="125"/>
      <c r="R270" s="125"/>
      <c r="S270" s="125"/>
      <c r="T270" s="125"/>
      <c r="U270" s="125"/>
      <c r="V270" s="125"/>
      <c r="W270" s="125"/>
      <c r="X270" s="125"/>
      <c r="Y270" s="125"/>
      <c r="Z270" s="125"/>
    </row>
    <row r="271" spans="1:26">
      <c r="A271" s="162">
        <v>264</v>
      </c>
      <c r="B271" s="148" t="str">
        <f t="shared" si="59"/>
        <v>22-й год 12-й мес</v>
      </c>
      <c r="C271" s="149">
        <f t="shared" si="65"/>
        <v>49227</v>
      </c>
      <c r="D271" s="150">
        <f t="shared" si="55"/>
        <v>0</v>
      </c>
      <c r="E271" s="163">
        <f t="shared" si="60"/>
        <v>0</v>
      </c>
      <c r="F271" s="151">
        <f t="shared" si="66"/>
        <v>0</v>
      </c>
      <c r="G271" s="164">
        <f t="shared" si="61"/>
        <v>0</v>
      </c>
      <c r="H271" s="165">
        <f t="shared" si="56"/>
        <v>0</v>
      </c>
      <c r="I271" s="163">
        <f t="shared" si="67"/>
        <v>0</v>
      </c>
      <c r="J271" s="163">
        <f t="shared" si="62"/>
        <v>0</v>
      </c>
      <c r="K271" s="166">
        <f t="shared" si="63"/>
        <v>0</v>
      </c>
      <c r="L271" s="170"/>
      <c r="M271" s="172"/>
      <c r="N271" s="155">
        <f t="shared" si="57"/>
        <v>7</v>
      </c>
      <c r="O271" s="123">
        <f t="shared" si="64"/>
        <v>24</v>
      </c>
      <c r="P271" s="124">
        <f t="shared" si="58"/>
        <v>0</v>
      </c>
      <c r="Q271" s="125"/>
      <c r="R271" s="125"/>
      <c r="S271" s="125"/>
      <c r="T271" s="125"/>
      <c r="U271" s="125"/>
      <c r="V271" s="125"/>
      <c r="W271" s="125"/>
      <c r="X271" s="125"/>
      <c r="Y271" s="125"/>
      <c r="Z271" s="125"/>
    </row>
    <row r="272" spans="1:26">
      <c r="A272" s="147">
        <v>265</v>
      </c>
      <c r="B272" s="148" t="str">
        <f t="shared" si="59"/>
        <v>23-й год 1-й мес</v>
      </c>
      <c r="C272" s="149">
        <f t="shared" si="65"/>
        <v>49258</v>
      </c>
      <c r="D272" s="150">
        <f t="shared" si="55"/>
        <v>0</v>
      </c>
      <c r="E272" s="151">
        <f t="shared" si="60"/>
        <v>0</v>
      </c>
      <c r="F272" s="151">
        <f t="shared" si="66"/>
        <v>0</v>
      </c>
      <c r="G272" s="152">
        <f t="shared" si="61"/>
        <v>0</v>
      </c>
      <c r="H272" s="153">
        <f t="shared" si="56"/>
        <v>0</v>
      </c>
      <c r="I272" s="151">
        <f t="shared" si="67"/>
        <v>0</v>
      </c>
      <c r="J272" s="151">
        <f t="shared" si="62"/>
        <v>0</v>
      </c>
      <c r="K272" s="154">
        <f t="shared" si="63"/>
        <v>0</v>
      </c>
      <c r="L272" s="167"/>
      <c r="M272" s="171"/>
      <c r="N272" s="155">
        <f t="shared" si="57"/>
        <v>7</v>
      </c>
      <c r="O272" s="123">
        <f t="shared" si="64"/>
        <v>24</v>
      </c>
      <c r="P272" s="124">
        <f t="shared" si="58"/>
        <v>0</v>
      </c>
      <c r="Q272" s="125"/>
      <c r="R272" s="125"/>
      <c r="S272" s="125"/>
      <c r="T272" s="125"/>
      <c r="U272" s="125"/>
      <c r="V272" s="125"/>
      <c r="W272" s="125"/>
      <c r="X272" s="125"/>
      <c r="Y272" s="125"/>
      <c r="Z272" s="125"/>
    </row>
    <row r="273" spans="1:26">
      <c r="A273" s="147">
        <v>266</v>
      </c>
      <c r="B273" s="148" t="str">
        <f t="shared" si="59"/>
        <v>23-й год 2-й мес</v>
      </c>
      <c r="C273" s="149">
        <f t="shared" si="65"/>
        <v>49288</v>
      </c>
      <c r="D273" s="150">
        <f t="shared" si="55"/>
        <v>0</v>
      </c>
      <c r="E273" s="151">
        <f t="shared" si="60"/>
        <v>0</v>
      </c>
      <c r="F273" s="151">
        <f t="shared" si="66"/>
        <v>0</v>
      </c>
      <c r="G273" s="152">
        <f t="shared" si="61"/>
        <v>0</v>
      </c>
      <c r="H273" s="153">
        <f t="shared" si="56"/>
        <v>0</v>
      </c>
      <c r="I273" s="151">
        <f t="shared" si="67"/>
        <v>0</v>
      </c>
      <c r="J273" s="151">
        <f t="shared" si="62"/>
        <v>0</v>
      </c>
      <c r="K273" s="154">
        <f t="shared" si="63"/>
        <v>0</v>
      </c>
      <c r="L273" s="167"/>
      <c r="M273" s="171"/>
      <c r="N273" s="155">
        <f t="shared" si="57"/>
        <v>7</v>
      </c>
      <c r="O273" s="123">
        <f t="shared" si="64"/>
        <v>24</v>
      </c>
      <c r="P273" s="124">
        <f t="shared" si="58"/>
        <v>0</v>
      </c>
      <c r="Q273" s="125"/>
      <c r="R273" s="125"/>
      <c r="S273" s="125"/>
      <c r="T273" s="125"/>
      <c r="U273" s="125"/>
      <c r="V273" s="125"/>
      <c r="W273" s="125"/>
      <c r="X273" s="125"/>
      <c r="Y273" s="125"/>
      <c r="Z273" s="125"/>
    </row>
    <row r="274" spans="1:26">
      <c r="A274" s="147">
        <v>267</v>
      </c>
      <c r="B274" s="148" t="str">
        <f t="shared" si="59"/>
        <v>23-й год 3-й мес</v>
      </c>
      <c r="C274" s="149">
        <f t="shared" si="65"/>
        <v>49319</v>
      </c>
      <c r="D274" s="150">
        <f t="shared" si="55"/>
        <v>0</v>
      </c>
      <c r="E274" s="151">
        <f t="shared" si="60"/>
        <v>0</v>
      </c>
      <c r="F274" s="151">
        <f t="shared" si="66"/>
        <v>0</v>
      </c>
      <c r="G274" s="152">
        <f t="shared" si="61"/>
        <v>0</v>
      </c>
      <c r="H274" s="153">
        <f t="shared" si="56"/>
        <v>0</v>
      </c>
      <c r="I274" s="151">
        <f t="shared" si="67"/>
        <v>0</v>
      </c>
      <c r="J274" s="151">
        <f t="shared" si="62"/>
        <v>0</v>
      </c>
      <c r="K274" s="154">
        <f t="shared" si="63"/>
        <v>0</v>
      </c>
      <c r="L274" s="167"/>
      <c r="M274" s="171"/>
      <c r="N274" s="155">
        <f t="shared" si="57"/>
        <v>7</v>
      </c>
      <c r="O274" s="123">
        <f t="shared" si="64"/>
        <v>24</v>
      </c>
      <c r="P274" s="124">
        <f t="shared" si="58"/>
        <v>0</v>
      </c>
      <c r="Q274" s="125"/>
      <c r="R274" s="125"/>
      <c r="S274" s="125"/>
      <c r="T274" s="125"/>
      <c r="U274" s="125"/>
      <c r="V274" s="125"/>
      <c r="W274" s="125"/>
      <c r="X274" s="125"/>
      <c r="Y274" s="125"/>
      <c r="Z274" s="125"/>
    </row>
    <row r="275" spans="1:26">
      <c r="A275" s="147">
        <v>268</v>
      </c>
      <c r="B275" s="148" t="str">
        <f t="shared" si="59"/>
        <v>23-й год 4-й мес</v>
      </c>
      <c r="C275" s="149">
        <f t="shared" si="65"/>
        <v>49350</v>
      </c>
      <c r="D275" s="150">
        <f t="shared" si="55"/>
        <v>0</v>
      </c>
      <c r="E275" s="151">
        <f t="shared" si="60"/>
        <v>0</v>
      </c>
      <c r="F275" s="151">
        <f t="shared" si="66"/>
        <v>0</v>
      </c>
      <c r="G275" s="152">
        <f t="shared" si="61"/>
        <v>0</v>
      </c>
      <c r="H275" s="153">
        <f t="shared" si="56"/>
        <v>0</v>
      </c>
      <c r="I275" s="151">
        <f t="shared" si="67"/>
        <v>0</v>
      </c>
      <c r="J275" s="151">
        <f t="shared" si="62"/>
        <v>0</v>
      </c>
      <c r="K275" s="154">
        <f t="shared" si="63"/>
        <v>0</v>
      </c>
      <c r="L275" s="167"/>
      <c r="M275" s="171"/>
      <c r="N275" s="155">
        <f t="shared" si="57"/>
        <v>7</v>
      </c>
      <c r="O275" s="123">
        <f t="shared" si="64"/>
        <v>24</v>
      </c>
      <c r="P275" s="124">
        <f t="shared" si="58"/>
        <v>0</v>
      </c>
      <c r="Q275" s="125"/>
      <c r="R275" s="125"/>
      <c r="S275" s="125"/>
      <c r="T275" s="125"/>
      <c r="U275" s="125"/>
      <c r="V275" s="125"/>
      <c r="W275" s="125"/>
      <c r="X275" s="125"/>
      <c r="Y275" s="125"/>
      <c r="Z275" s="125"/>
    </row>
    <row r="276" spans="1:26">
      <c r="A276" s="147">
        <v>269</v>
      </c>
      <c r="B276" s="148" t="str">
        <f t="shared" si="59"/>
        <v>23-й год 5-й мес</v>
      </c>
      <c r="C276" s="149">
        <f t="shared" si="65"/>
        <v>49378</v>
      </c>
      <c r="D276" s="150">
        <f t="shared" si="55"/>
        <v>0</v>
      </c>
      <c r="E276" s="151">
        <f t="shared" si="60"/>
        <v>0</v>
      </c>
      <c r="F276" s="151">
        <f t="shared" si="66"/>
        <v>0</v>
      </c>
      <c r="G276" s="152">
        <f t="shared" si="61"/>
        <v>0</v>
      </c>
      <c r="H276" s="153">
        <f t="shared" si="56"/>
        <v>0</v>
      </c>
      <c r="I276" s="151">
        <f t="shared" si="67"/>
        <v>0</v>
      </c>
      <c r="J276" s="151">
        <f t="shared" si="62"/>
        <v>0</v>
      </c>
      <c r="K276" s="154">
        <f t="shared" si="63"/>
        <v>0</v>
      </c>
      <c r="L276" s="167"/>
      <c r="M276" s="171"/>
      <c r="N276" s="155">
        <f t="shared" si="57"/>
        <v>7</v>
      </c>
      <c r="O276" s="123">
        <f t="shared" si="64"/>
        <v>24</v>
      </c>
      <c r="P276" s="124">
        <f t="shared" si="58"/>
        <v>0</v>
      </c>
      <c r="Q276" s="125"/>
      <c r="R276" s="125"/>
      <c r="S276" s="125"/>
      <c r="T276" s="125"/>
      <c r="U276" s="125"/>
      <c r="V276" s="125"/>
      <c r="W276" s="125"/>
      <c r="X276" s="125"/>
      <c r="Y276" s="125"/>
      <c r="Z276" s="125"/>
    </row>
    <row r="277" spans="1:26">
      <c r="A277" s="147">
        <v>270</v>
      </c>
      <c r="B277" s="148" t="str">
        <f t="shared" si="59"/>
        <v>23-й год 6-й мес</v>
      </c>
      <c r="C277" s="149">
        <f t="shared" si="65"/>
        <v>49409</v>
      </c>
      <c r="D277" s="150">
        <f t="shared" si="55"/>
        <v>0</v>
      </c>
      <c r="E277" s="151">
        <f t="shared" si="60"/>
        <v>0</v>
      </c>
      <c r="F277" s="151">
        <f t="shared" si="66"/>
        <v>0</v>
      </c>
      <c r="G277" s="152">
        <f t="shared" si="61"/>
        <v>0</v>
      </c>
      <c r="H277" s="153">
        <f t="shared" si="56"/>
        <v>0</v>
      </c>
      <c r="I277" s="151">
        <f t="shared" si="67"/>
        <v>0</v>
      </c>
      <c r="J277" s="151">
        <f t="shared" si="62"/>
        <v>0</v>
      </c>
      <c r="K277" s="154">
        <f t="shared" si="63"/>
        <v>0</v>
      </c>
      <c r="L277" s="167"/>
      <c r="M277" s="171"/>
      <c r="N277" s="155">
        <f t="shared" si="57"/>
        <v>7</v>
      </c>
      <c r="O277" s="123">
        <f t="shared" si="64"/>
        <v>24</v>
      </c>
      <c r="P277" s="124">
        <f t="shared" si="58"/>
        <v>0</v>
      </c>
      <c r="Q277" s="125"/>
      <c r="R277" s="125"/>
      <c r="S277" s="125"/>
      <c r="T277" s="125"/>
      <c r="U277" s="125"/>
      <c r="V277" s="125"/>
      <c r="W277" s="125"/>
      <c r="X277" s="125"/>
      <c r="Y277" s="125"/>
      <c r="Z277" s="125"/>
    </row>
    <row r="278" spans="1:26">
      <c r="A278" s="147">
        <v>271</v>
      </c>
      <c r="B278" s="148" t="str">
        <f t="shared" si="59"/>
        <v>23-й год 7-й мес</v>
      </c>
      <c r="C278" s="149">
        <f t="shared" si="65"/>
        <v>49439</v>
      </c>
      <c r="D278" s="150">
        <f t="shared" si="55"/>
        <v>0</v>
      </c>
      <c r="E278" s="151">
        <f t="shared" si="60"/>
        <v>0</v>
      </c>
      <c r="F278" s="151">
        <f t="shared" si="66"/>
        <v>0</v>
      </c>
      <c r="G278" s="152">
        <f t="shared" si="61"/>
        <v>0</v>
      </c>
      <c r="H278" s="153">
        <f t="shared" si="56"/>
        <v>0</v>
      </c>
      <c r="I278" s="151">
        <f t="shared" si="67"/>
        <v>0</v>
      </c>
      <c r="J278" s="151">
        <f t="shared" si="62"/>
        <v>0</v>
      </c>
      <c r="K278" s="154">
        <f t="shared" si="63"/>
        <v>0</v>
      </c>
      <c r="L278" s="167"/>
      <c r="M278" s="171"/>
      <c r="N278" s="155">
        <f t="shared" si="57"/>
        <v>7</v>
      </c>
      <c r="O278" s="123">
        <f t="shared" si="64"/>
        <v>24</v>
      </c>
      <c r="P278" s="124">
        <f t="shared" si="58"/>
        <v>0</v>
      </c>
      <c r="Q278" s="125"/>
      <c r="R278" s="125"/>
      <c r="S278" s="125"/>
      <c r="T278" s="125"/>
      <c r="U278" s="125"/>
      <c r="V278" s="125"/>
      <c r="W278" s="125"/>
      <c r="X278" s="125"/>
      <c r="Y278" s="125"/>
      <c r="Z278" s="125"/>
    </row>
    <row r="279" spans="1:26">
      <c r="A279" s="147">
        <v>272</v>
      </c>
      <c r="B279" s="148" t="str">
        <f t="shared" si="59"/>
        <v>23-й год 8-й мес</v>
      </c>
      <c r="C279" s="149">
        <f t="shared" si="65"/>
        <v>49470</v>
      </c>
      <c r="D279" s="150">
        <f t="shared" si="55"/>
        <v>0</v>
      </c>
      <c r="E279" s="151">
        <f t="shared" si="60"/>
        <v>0</v>
      </c>
      <c r="F279" s="151">
        <f t="shared" si="66"/>
        <v>0</v>
      </c>
      <c r="G279" s="152">
        <f t="shared" si="61"/>
        <v>0</v>
      </c>
      <c r="H279" s="153">
        <f t="shared" si="56"/>
        <v>0</v>
      </c>
      <c r="I279" s="151">
        <f t="shared" si="67"/>
        <v>0</v>
      </c>
      <c r="J279" s="151">
        <f t="shared" si="62"/>
        <v>0</v>
      </c>
      <c r="K279" s="154">
        <f t="shared" si="63"/>
        <v>0</v>
      </c>
      <c r="L279" s="167"/>
      <c r="M279" s="171"/>
      <c r="N279" s="155">
        <f t="shared" si="57"/>
        <v>7</v>
      </c>
      <c r="O279" s="123">
        <f t="shared" si="64"/>
        <v>24</v>
      </c>
      <c r="P279" s="124">
        <f t="shared" si="58"/>
        <v>0</v>
      </c>
      <c r="Q279" s="125"/>
      <c r="R279" s="125"/>
      <c r="S279" s="125"/>
      <c r="T279" s="125"/>
      <c r="U279" s="125"/>
      <c r="V279" s="125"/>
      <c r="W279" s="125"/>
      <c r="X279" s="125"/>
      <c r="Y279" s="125"/>
      <c r="Z279" s="125"/>
    </row>
    <row r="280" spans="1:26">
      <c r="A280" s="147">
        <v>273</v>
      </c>
      <c r="B280" s="148" t="str">
        <f t="shared" si="59"/>
        <v>23-й год 9-й мес</v>
      </c>
      <c r="C280" s="149">
        <f t="shared" si="65"/>
        <v>49500</v>
      </c>
      <c r="D280" s="150">
        <f t="shared" si="55"/>
        <v>0</v>
      </c>
      <c r="E280" s="151">
        <f t="shared" si="60"/>
        <v>0</v>
      </c>
      <c r="F280" s="151">
        <f t="shared" si="66"/>
        <v>0</v>
      </c>
      <c r="G280" s="152">
        <f t="shared" si="61"/>
        <v>0</v>
      </c>
      <c r="H280" s="153">
        <f t="shared" si="56"/>
        <v>0</v>
      </c>
      <c r="I280" s="151">
        <f t="shared" si="67"/>
        <v>0</v>
      </c>
      <c r="J280" s="151">
        <f t="shared" si="62"/>
        <v>0</v>
      </c>
      <c r="K280" s="154">
        <f t="shared" si="63"/>
        <v>0</v>
      </c>
      <c r="L280" s="167"/>
      <c r="M280" s="171"/>
      <c r="N280" s="155">
        <f t="shared" si="57"/>
        <v>7</v>
      </c>
      <c r="O280" s="123">
        <f t="shared" si="64"/>
        <v>24</v>
      </c>
      <c r="P280" s="124">
        <f t="shared" si="58"/>
        <v>0</v>
      </c>
      <c r="Q280" s="125"/>
      <c r="R280" s="125"/>
      <c r="S280" s="125"/>
      <c r="T280" s="125"/>
      <c r="U280" s="125"/>
      <c r="V280" s="125"/>
      <c r="W280" s="125"/>
      <c r="X280" s="125"/>
      <c r="Y280" s="125"/>
      <c r="Z280" s="125"/>
    </row>
    <row r="281" spans="1:26">
      <c r="A281" s="147">
        <v>274</v>
      </c>
      <c r="B281" s="148" t="str">
        <f t="shared" si="59"/>
        <v>23-й год 10-й мес</v>
      </c>
      <c r="C281" s="149">
        <f t="shared" si="65"/>
        <v>49531</v>
      </c>
      <c r="D281" s="150">
        <f t="shared" si="55"/>
        <v>0</v>
      </c>
      <c r="E281" s="151">
        <f t="shared" si="60"/>
        <v>0</v>
      </c>
      <c r="F281" s="151">
        <f t="shared" si="66"/>
        <v>0</v>
      </c>
      <c r="G281" s="152">
        <f t="shared" si="61"/>
        <v>0</v>
      </c>
      <c r="H281" s="153">
        <f t="shared" si="56"/>
        <v>0</v>
      </c>
      <c r="I281" s="151">
        <f t="shared" si="67"/>
        <v>0</v>
      </c>
      <c r="J281" s="151">
        <f t="shared" si="62"/>
        <v>0</v>
      </c>
      <c r="K281" s="154">
        <f t="shared" si="63"/>
        <v>0</v>
      </c>
      <c r="L281" s="167"/>
      <c r="M281" s="171"/>
      <c r="N281" s="155">
        <f t="shared" si="57"/>
        <v>7</v>
      </c>
      <c r="O281" s="123">
        <f t="shared" si="64"/>
        <v>24</v>
      </c>
      <c r="P281" s="124">
        <f t="shared" si="58"/>
        <v>0</v>
      </c>
      <c r="Q281" s="125"/>
      <c r="R281" s="125"/>
      <c r="S281" s="125"/>
      <c r="T281" s="125"/>
      <c r="U281" s="125"/>
      <c r="V281" s="125"/>
      <c r="W281" s="125"/>
      <c r="X281" s="125"/>
      <c r="Y281" s="125"/>
      <c r="Z281" s="125"/>
    </row>
    <row r="282" spans="1:26">
      <c r="A282" s="147">
        <v>275</v>
      </c>
      <c r="B282" s="148" t="str">
        <f t="shared" si="59"/>
        <v>23-й год 11-й мес</v>
      </c>
      <c r="C282" s="149">
        <f t="shared" si="65"/>
        <v>49562</v>
      </c>
      <c r="D282" s="150">
        <f t="shared" si="55"/>
        <v>0</v>
      </c>
      <c r="E282" s="151">
        <f t="shared" si="60"/>
        <v>0</v>
      </c>
      <c r="F282" s="151">
        <f t="shared" si="66"/>
        <v>0</v>
      </c>
      <c r="G282" s="152">
        <f t="shared" si="61"/>
        <v>0</v>
      </c>
      <c r="H282" s="153">
        <f t="shared" si="56"/>
        <v>0</v>
      </c>
      <c r="I282" s="151">
        <f t="shared" si="67"/>
        <v>0</v>
      </c>
      <c r="J282" s="151">
        <f t="shared" si="62"/>
        <v>0</v>
      </c>
      <c r="K282" s="154">
        <f t="shared" si="63"/>
        <v>0</v>
      </c>
      <c r="L282" s="167"/>
      <c r="M282" s="171"/>
      <c r="N282" s="155">
        <f t="shared" si="57"/>
        <v>7</v>
      </c>
      <c r="O282" s="123">
        <f t="shared" si="64"/>
        <v>24</v>
      </c>
      <c r="P282" s="124">
        <f t="shared" si="58"/>
        <v>0</v>
      </c>
      <c r="Q282" s="125"/>
      <c r="R282" s="125"/>
      <c r="S282" s="125"/>
      <c r="T282" s="125"/>
      <c r="U282" s="125"/>
      <c r="V282" s="125"/>
      <c r="W282" s="125"/>
      <c r="X282" s="125"/>
      <c r="Y282" s="125"/>
      <c r="Z282" s="125"/>
    </row>
    <row r="283" spans="1:26">
      <c r="A283" s="147">
        <v>276</v>
      </c>
      <c r="B283" s="148" t="str">
        <f t="shared" si="59"/>
        <v>23-й год 12-й мес</v>
      </c>
      <c r="C283" s="149">
        <f t="shared" si="65"/>
        <v>49592</v>
      </c>
      <c r="D283" s="150">
        <f t="shared" si="55"/>
        <v>0</v>
      </c>
      <c r="E283" s="151">
        <f t="shared" si="60"/>
        <v>0</v>
      </c>
      <c r="F283" s="151">
        <f t="shared" si="66"/>
        <v>0</v>
      </c>
      <c r="G283" s="152">
        <f t="shared" si="61"/>
        <v>0</v>
      </c>
      <c r="H283" s="153">
        <f t="shared" si="56"/>
        <v>0</v>
      </c>
      <c r="I283" s="151">
        <f t="shared" si="67"/>
        <v>0</v>
      </c>
      <c r="J283" s="151">
        <f t="shared" si="62"/>
        <v>0</v>
      </c>
      <c r="K283" s="154">
        <f t="shared" si="63"/>
        <v>0</v>
      </c>
      <c r="L283" s="167"/>
      <c r="M283" s="171"/>
      <c r="N283" s="155">
        <f t="shared" si="57"/>
        <v>7</v>
      </c>
      <c r="O283" s="123">
        <f t="shared" si="64"/>
        <v>24</v>
      </c>
      <c r="P283" s="124">
        <f t="shared" si="58"/>
        <v>0</v>
      </c>
      <c r="Q283" s="125"/>
      <c r="R283" s="125"/>
      <c r="S283" s="125"/>
      <c r="T283" s="125"/>
      <c r="U283" s="125"/>
      <c r="V283" s="125"/>
      <c r="W283" s="125"/>
      <c r="X283" s="125"/>
      <c r="Y283" s="125"/>
      <c r="Z283" s="125"/>
    </row>
    <row r="284" spans="1:26">
      <c r="A284" s="156">
        <v>277</v>
      </c>
      <c r="B284" s="148" t="str">
        <f t="shared" si="59"/>
        <v>24-й год 1-й мес</v>
      </c>
      <c r="C284" s="149">
        <f t="shared" si="65"/>
        <v>49623</v>
      </c>
      <c r="D284" s="150">
        <f t="shared" si="55"/>
        <v>0</v>
      </c>
      <c r="E284" s="157">
        <f t="shared" si="60"/>
        <v>0</v>
      </c>
      <c r="F284" s="151">
        <f t="shared" si="66"/>
        <v>0</v>
      </c>
      <c r="G284" s="158">
        <f t="shared" si="61"/>
        <v>0</v>
      </c>
      <c r="H284" s="159">
        <f t="shared" si="56"/>
        <v>0</v>
      </c>
      <c r="I284" s="157">
        <f t="shared" si="67"/>
        <v>0</v>
      </c>
      <c r="J284" s="157">
        <f t="shared" si="62"/>
        <v>0</v>
      </c>
      <c r="K284" s="160">
        <f t="shared" si="63"/>
        <v>0</v>
      </c>
      <c r="L284" s="169"/>
      <c r="M284" s="168"/>
      <c r="N284" s="155">
        <f t="shared" si="57"/>
        <v>7</v>
      </c>
      <c r="O284" s="123">
        <f t="shared" si="64"/>
        <v>24</v>
      </c>
      <c r="P284" s="124">
        <f t="shared" si="58"/>
        <v>0</v>
      </c>
      <c r="Q284" s="125"/>
      <c r="R284" s="125"/>
      <c r="S284" s="125"/>
      <c r="T284" s="125"/>
      <c r="U284" s="125"/>
      <c r="V284" s="125"/>
      <c r="W284" s="125"/>
      <c r="X284" s="125"/>
      <c r="Y284" s="125"/>
      <c r="Z284" s="125"/>
    </row>
    <row r="285" spans="1:26">
      <c r="A285" s="161">
        <v>278</v>
      </c>
      <c r="B285" s="148" t="str">
        <f t="shared" si="59"/>
        <v>24-й год 2-й мес</v>
      </c>
      <c r="C285" s="149">
        <f t="shared" si="65"/>
        <v>49653</v>
      </c>
      <c r="D285" s="150">
        <f t="shared" si="55"/>
        <v>0</v>
      </c>
      <c r="E285" s="151">
        <f t="shared" si="60"/>
        <v>0</v>
      </c>
      <c r="F285" s="151">
        <f t="shared" si="66"/>
        <v>0</v>
      </c>
      <c r="G285" s="152">
        <f t="shared" si="61"/>
        <v>0</v>
      </c>
      <c r="H285" s="153">
        <f t="shared" si="56"/>
        <v>0</v>
      </c>
      <c r="I285" s="151">
        <f t="shared" si="67"/>
        <v>0</v>
      </c>
      <c r="J285" s="151">
        <f t="shared" si="62"/>
        <v>0</v>
      </c>
      <c r="K285" s="154">
        <f t="shared" si="63"/>
        <v>0</v>
      </c>
      <c r="L285" s="167"/>
      <c r="M285" s="171"/>
      <c r="N285" s="155">
        <f t="shared" si="57"/>
        <v>7</v>
      </c>
      <c r="O285" s="123">
        <f t="shared" si="64"/>
        <v>24</v>
      </c>
      <c r="P285" s="124">
        <f t="shared" si="58"/>
        <v>0</v>
      </c>
      <c r="Q285" s="125"/>
      <c r="R285" s="125"/>
      <c r="S285" s="125"/>
      <c r="T285" s="125"/>
      <c r="U285" s="125"/>
      <c r="V285" s="125"/>
      <c r="W285" s="125"/>
      <c r="X285" s="125"/>
      <c r="Y285" s="125"/>
      <c r="Z285" s="125"/>
    </row>
    <row r="286" spans="1:26">
      <c r="A286" s="161">
        <v>279</v>
      </c>
      <c r="B286" s="148" t="str">
        <f t="shared" si="59"/>
        <v>24-й год 3-й мес</v>
      </c>
      <c r="C286" s="149">
        <f t="shared" si="65"/>
        <v>49684</v>
      </c>
      <c r="D286" s="150">
        <f t="shared" si="55"/>
        <v>0</v>
      </c>
      <c r="E286" s="151">
        <f t="shared" si="60"/>
        <v>0</v>
      </c>
      <c r="F286" s="151">
        <f t="shared" si="66"/>
        <v>0</v>
      </c>
      <c r="G286" s="152">
        <f t="shared" si="61"/>
        <v>0</v>
      </c>
      <c r="H286" s="153">
        <f t="shared" si="56"/>
        <v>0</v>
      </c>
      <c r="I286" s="151">
        <f t="shared" si="67"/>
        <v>0</v>
      </c>
      <c r="J286" s="151">
        <f t="shared" si="62"/>
        <v>0</v>
      </c>
      <c r="K286" s="154">
        <f t="shared" si="63"/>
        <v>0</v>
      </c>
      <c r="L286" s="167"/>
      <c r="M286" s="171"/>
      <c r="N286" s="155">
        <f t="shared" si="57"/>
        <v>7</v>
      </c>
      <c r="O286" s="123">
        <f t="shared" si="64"/>
        <v>24</v>
      </c>
      <c r="P286" s="124">
        <f t="shared" si="58"/>
        <v>0</v>
      </c>
      <c r="Q286" s="125"/>
      <c r="R286" s="125"/>
      <c r="S286" s="125"/>
      <c r="T286" s="125"/>
      <c r="U286" s="125"/>
      <c r="V286" s="125"/>
      <c r="W286" s="125"/>
      <c r="X286" s="125"/>
      <c r="Y286" s="125"/>
      <c r="Z286" s="125"/>
    </row>
    <row r="287" spans="1:26">
      <c r="A287" s="161">
        <v>280</v>
      </c>
      <c r="B287" s="148" t="str">
        <f t="shared" si="59"/>
        <v>24-й год 4-й мес</v>
      </c>
      <c r="C287" s="149">
        <f t="shared" si="65"/>
        <v>49715</v>
      </c>
      <c r="D287" s="150">
        <f t="shared" si="55"/>
        <v>0</v>
      </c>
      <c r="E287" s="151">
        <f t="shared" si="60"/>
        <v>0</v>
      </c>
      <c r="F287" s="151">
        <f t="shared" si="66"/>
        <v>0</v>
      </c>
      <c r="G287" s="152">
        <f t="shared" si="61"/>
        <v>0</v>
      </c>
      <c r="H287" s="153">
        <f t="shared" si="56"/>
        <v>0</v>
      </c>
      <c r="I287" s="151">
        <f t="shared" si="67"/>
        <v>0</v>
      </c>
      <c r="J287" s="151">
        <f t="shared" si="62"/>
        <v>0</v>
      </c>
      <c r="K287" s="154">
        <f t="shared" si="63"/>
        <v>0</v>
      </c>
      <c r="L287" s="167"/>
      <c r="M287" s="171"/>
      <c r="N287" s="155">
        <f t="shared" si="57"/>
        <v>7</v>
      </c>
      <c r="O287" s="123">
        <f t="shared" si="64"/>
        <v>24</v>
      </c>
      <c r="P287" s="124">
        <f t="shared" si="58"/>
        <v>0</v>
      </c>
      <c r="Q287" s="125"/>
      <c r="R287" s="125"/>
      <c r="S287" s="125"/>
      <c r="T287" s="125"/>
      <c r="U287" s="125"/>
      <c r="V287" s="125"/>
      <c r="W287" s="125"/>
      <c r="X287" s="125"/>
      <c r="Y287" s="125"/>
      <c r="Z287" s="125"/>
    </row>
    <row r="288" spans="1:26">
      <c r="A288" s="161">
        <v>281</v>
      </c>
      <c r="B288" s="148" t="str">
        <f t="shared" si="59"/>
        <v>24-й год 5-й мес</v>
      </c>
      <c r="C288" s="149">
        <f t="shared" si="65"/>
        <v>49744</v>
      </c>
      <c r="D288" s="150">
        <f t="shared" si="55"/>
        <v>0</v>
      </c>
      <c r="E288" s="151">
        <f t="shared" si="60"/>
        <v>0</v>
      </c>
      <c r="F288" s="151">
        <f t="shared" si="66"/>
        <v>0</v>
      </c>
      <c r="G288" s="152">
        <f t="shared" si="61"/>
        <v>0</v>
      </c>
      <c r="H288" s="153">
        <f t="shared" si="56"/>
        <v>0</v>
      </c>
      <c r="I288" s="151">
        <f t="shared" si="67"/>
        <v>0</v>
      </c>
      <c r="J288" s="151">
        <f t="shared" si="62"/>
        <v>0</v>
      </c>
      <c r="K288" s="154">
        <f t="shared" si="63"/>
        <v>0</v>
      </c>
      <c r="L288" s="167"/>
      <c r="M288" s="171"/>
      <c r="N288" s="155">
        <f t="shared" si="57"/>
        <v>7</v>
      </c>
      <c r="O288" s="123">
        <f t="shared" si="64"/>
        <v>24</v>
      </c>
      <c r="P288" s="124">
        <f t="shared" si="58"/>
        <v>0</v>
      </c>
      <c r="Q288" s="125"/>
      <c r="R288" s="125"/>
      <c r="S288" s="125"/>
      <c r="T288" s="125"/>
      <c r="U288" s="125"/>
      <c r="V288" s="125"/>
      <c r="W288" s="125"/>
      <c r="X288" s="125"/>
      <c r="Y288" s="125"/>
      <c r="Z288" s="125"/>
    </row>
    <row r="289" spans="1:26">
      <c r="A289" s="161">
        <v>282</v>
      </c>
      <c r="B289" s="148" t="str">
        <f t="shared" si="59"/>
        <v>24-й год 6-й мес</v>
      </c>
      <c r="C289" s="149">
        <f t="shared" si="65"/>
        <v>49775</v>
      </c>
      <c r="D289" s="150">
        <f t="shared" si="55"/>
        <v>0</v>
      </c>
      <c r="E289" s="151">
        <f t="shared" si="60"/>
        <v>0</v>
      </c>
      <c r="F289" s="151">
        <f t="shared" si="66"/>
        <v>0</v>
      </c>
      <c r="G289" s="152">
        <f t="shared" si="61"/>
        <v>0</v>
      </c>
      <c r="H289" s="153">
        <f t="shared" si="56"/>
        <v>0</v>
      </c>
      <c r="I289" s="151">
        <f t="shared" si="67"/>
        <v>0</v>
      </c>
      <c r="J289" s="151">
        <f t="shared" si="62"/>
        <v>0</v>
      </c>
      <c r="K289" s="154">
        <f t="shared" si="63"/>
        <v>0</v>
      </c>
      <c r="L289" s="167"/>
      <c r="M289" s="171"/>
      <c r="N289" s="155">
        <f t="shared" si="57"/>
        <v>7</v>
      </c>
      <c r="O289" s="123">
        <f t="shared" si="64"/>
        <v>24</v>
      </c>
      <c r="P289" s="124">
        <f t="shared" si="58"/>
        <v>0</v>
      </c>
      <c r="Q289" s="125"/>
      <c r="R289" s="125"/>
      <c r="S289" s="125"/>
      <c r="T289" s="125"/>
      <c r="U289" s="125"/>
      <c r="V289" s="125"/>
      <c r="W289" s="125"/>
      <c r="X289" s="125"/>
      <c r="Y289" s="125"/>
      <c r="Z289" s="125"/>
    </row>
    <row r="290" spans="1:26">
      <c r="A290" s="161">
        <v>283</v>
      </c>
      <c r="B290" s="148" t="str">
        <f t="shared" si="59"/>
        <v>24-й год 7-й мес</v>
      </c>
      <c r="C290" s="149">
        <f t="shared" si="65"/>
        <v>49805</v>
      </c>
      <c r="D290" s="150">
        <f t="shared" si="55"/>
        <v>0</v>
      </c>
      <c r="E290" s="151">
        <f t="shared" si="60"/>
        <v>0</v>
      </c>
      <c r="F290" s="151">
        <f t="shared" si="66"/>
        <v>0</v>
      </c>
      <c r="G290" s="152">
        <f t="shared" si="61"/>
        <v>0</v>
      </c>
      <c r="H290" s="153">
        <f t="shared" si="56"/>
        <v>0</v>
      </c>
      <c r="I290" s="151">
        <f t="shared" si="67"/>
        <v>0</v>
      </c>
      <c r="J290" s="151">
        <f t="shared" si="62"/>
        <v>0</v>
      </c>
      <c r="K290" s="154">
        <f t="shared" si="63"/>
        <v>0</v>
      </c>
      <c r="L290" s="167"/>
      <c r="M290" s="171"/>
      <c r="N290" s="155">
        <f t="shared" si="57"/>
        <v>7</v>
      </c>
      <c r="O290" s="123">
        <f t="shared" si="64"/>
        <v>24</v>
      </c>
      <c r="P290" s="124">
        <f t="shared" si="58"/>
        <v>0</v>
      </c>
      <c r="Q290" s="125"/>
      <c r="R290" s="125"/>
      <c r="S290" s="125"/>
      <c r="T290" s="125"/>
      <c r="U290" s="125"/>
      <c r="V290" s="125"/>
      <c r="W290" s="125"/>
      <c r="X290" s="125"/>
      <c r="Y290" s="125"/>
      <c r="Z290" s="125"/>
    </row>
    <row r="291" spans="1:26">
      <c r="A291" s="161">
        <v>284</v>
      </c>
      <c r="B291" s="148" t="str">
        <f t="shared" si="59"/>
        <v>24-й год 8-й мес</v>
      </c>
      <c r="C291" s="149">
        <f t="shared" si="65"/>
        <v>49836</v>
      </c>
      <c r="D291" s="150">
        <f t="shared" si="55"/>
        <v>0</v>
      </c>
      <c r="E291" s="151">
        <f t="shared" si="60"/>
        <v>0</v>
      </c>
      <c r="F291" s="151">
        <f t="shared" si="66"/>
        <v>0</v>
      </c>
      <c r="G291" s="152">
        <f t="shared" si="61"/>
        <v>0</v>
      </c>
      <c r="H291" s="153">
        <f t="shared" si="56"/>
        <v>0</v>
      </c>
      <c r="I291" s="151">
        <f t="shared" si="67"/>
        <v>0</v>
      </c>
      <c r="J291" s="151">
        <f t="shared" si="62"/>
        <v>0</v>
      </c>
      <c r="K291" s="154">
        <f t="shared" si="63"/>
        <v>0</v>
      </c>
      <c r="L291" s="167"/>
      <c r="M291" s="171"/>
      <c r="N291" s="155">
        <f t="shared" si="57"/>
        <v>7</v>
      </c>
      <c r="O291" s="123">
        <f t="shared" si="64"/>
        <v>24</v>
      </c>
      <c r="P291" s="124">
        <f t="shared" si="58"/>
        <v>0</v>
      </c>
      <c r="Q291" s="125"/>
      <c r="R291" s="125"/>
      <c r="S291" s="125"/>
      <c r="T291" s="125"/>
      <c r="U291" s="125"/>
      <c r="V291" s="125"/>
      <c r="W291" s="125"/>
      <c r="X291" s="125"/>
      <c r="Y291" s="125"/>
      <c r="Z291" s="125"/>
    </row>
    <row r="292" spans="1:26">
      <c r="A292" s="161">
        <v>285</v>
      </c>
      <c r="B292" s="148" t="str">
        <f t="shared" si="59"/>
        <v>24-й год 9-й мес</v>
      </c>
      <c r="C292" s="149">
        <f t="shared" si="65"/>
        <v>49866</v>
      </c>
      <c r="D292" s="150">
        <f t="shared" si="55"/>
        <v>0</v>
      </c>
      <c r="E292" s="151">
        <f t="shared" si="60"/>
        <v>0</v>
      </c>
      <c r="F292" s="151">
        <f t="shared" si="66"/>
        <v>0</v>
      </c>
      <c r="G292" s="152">
        <f t="shared" si="61"/>
        <v>0</v>
      </c>
      <c r="H292" s="153">
        <f t="shared" si="56"/>
        <v>0</v>
      </c>
      <c r="I292" s="151">
        <f t="shared" si="67"/>
        <v>0</v>
      </c>
      <c r="J292" s="151">
        <f t="shared" si="62"/>
        <v>0</v>
      </c>
      <c r="K292" s="154">
        <f t="shared" si="63"/>
        <v>0</v>
      </c>
      <c r="L292" s="167"/>
      <c r="M292" s="171"/>
      <c r="N292" s="155">
        <f t="shared" si="57"/>
        <v>7</v>
      </c>
      <c r="O292" s="123">
        <f t="shared" si="64"/>
        <v>24</v>
      </c>
      <c r="P292" s="124">
        <f t="shared" si="58"/>
        <v>0</v>
      </c>
      <c r="Q292" s="125"/>
      <c r="R292" s="125"/>
      <c r="S292" s="125"/>
      <c r="T292" s="125"/>
      <c r="U292" s="125"/>
      <c r="V292" s="125"/>
      <c r="W292" s="125"/>
      <c r="X292" s="125"/>
      <c r="Y292" s="125"/>
      <c r="Z292" s="125"/>
    </row>
    <row r="293" spans="1:26">
      <c r="A293" s="161">
        <v>286</v>
      </c>
      <c r="B293" s="148" t="str">
        <f t="shared" si="59"/>
        <v>24-й год 10-й мес</v>
      </c>
      <c r="C293" s="149">
        <f t="shared" si="65"/>
        <v>49897</v>
      </c>
      <c r="D293" s="150">
        <f t="shared" si="55"/>
        <v>0</v>
      </c>
      <c r="E293" s="151">
        <f t="shared" si="60"/>
        <v>0</v>
      </c>
      <c r="F293" s="151">
        <f t="shared" si="66"/>
        <v>0</v>
      </c>
      <c r="G293" s="152">
        <f t="shared" si="61"/>
        <v>0</v>
      </c>
      <c r="H293" s="153">
        <f t="shared" si="56"/>
        <v>0</v>
      </c>
      <c r="I293" s="151">
        <f t="shared" si="67"/>
        <v>0</v>
      </c>
      <c r="J293" s="151">
        <f t="shared" si="62"/>
        <v>0</v>
      </c>
      <c r="K293" s="154">
        <f t="shared" si="63"/>
        <v>0</v>
      </c>
      <c r="L293" s="167"/>
      <c r="M293" s="171"/>
      <c r="N293" s="155">
        <f t="shared" si="57"/>
        <v>7</v>
      </c>
      <c r="O293" s="123">
        <f t="shared" si="64"/>
        <v>24</v>
      </c>
      <c r="P293" s="124">
        <f t="shared" si="58"/>
        <v>0</v>
      </c>
      <c r="Q293" s="125"/>
      <c r="R293" s="125"/>
      <c r="S293" s="125"/>
      <c r="T293" s="125"/>
      <c r="U293" s="125"/>
      <c r="V293" s="125"/>
      <c r="W293" s="125"/>
      <c r="X293" s="125"/>
      <c r="Y293" s="125"/>
      <c r="Z293" s="125"/>
    </row>
    <row r="294" spans="1:26">
      <c r="A294" s="161">
        <v>287</v>
      </c>
      <c r="B294" s="148" t="str">
        <f t="shared" si="59"/>
        <v>24-й год 11-й мес</v>
      </c>
      <c r="C294" s="149">
        <f t="shared" si="65"/>
        <v>49928</v>
      </c>
      <c r="D294" s="150">
        <f t="shared" si="55"/>
        <v>0</v>
      </c>
      <c r="E294" s="151">
        <f t="shared" si="60"/>
        <v>0</v>
      </c>
      <c r="F294" s="151">
        <f t="shared" si="66"/>
        <v>0</v>
      </c>
      <c r="G294" s="152">
        <f t="shared" si="61"/>
        <v>0</v>
      </c>
      <c r="H294" s="153">
        <f t="shared" si="56"/>
        <v>0</v>
      </c>
      <c r="I294" s="151">
        <f t="shared" si="67"/>
        <v>0</v>
      </c>
      <c r="J294" s="151">
        <f t="shared" si="62"/>
        <v>0</v>
      </c>
      <c r="K294" s="154">
        <f t="shared" si="63"/>
        <v>0</v>
      </c>
      <c r="L294" s="167"/>
      <c r="M294" s="171"/>
      <c r="N294" s="155">
        <f t="shared" si="57"/>
        <v>7</v>
      </c>
      <c r="O294" s="123">
        <f t="shared" si="64"/>
        <v>24</v>
      </c>
      <c r="P294" s="124">
        <f t="shared" si="58"/>
        <v>0</v>
      </c>
      <c r="Q294" s="125"/>
      <c r="R294" s="125"/>
      <c r="S294" s="125"/>
      <c r="T294" s="125"/>
      <c r="U294" s="125"/>
      <c r="V294" s="125"/>
      <c r="W294" s="125"/>
      <c r="X294" s="125"/>
      <c r="Y294" s="125"/>
      <c r="Z294" s="125"/>
    </row>
    <row r="295" spans="1:26">
      <c r="A295" s="162">
        <v>288</v>
      </c>
      <c r="B295" s="148" t="str">
        <f t="shared" si="59"/>
        <v>24-й год 12-й мес</v>
      </c>
      <c r="C295" s="149">
        <f t="shared" si="65"/>
        <v>49958</v>
      </c>
      <c r="D295" s="150">
        <f t="shared" si="55"/>
        <v>0</v>
      </c>
      <c r="E295" s="163">
        <f t="shared" si="60"/>
        <v>0</v>
      </c>
      <c r="F295" s="151">
        <f t="shared" si="66"/>
        <v>0</v>
      </c>
      <c r="G295" s="164">
        <f t="shared" si="61"/>
        <v>0</v>
      </c>
      <c r="H295" s="165">
        <f t="shared" si="56"/>
        <v>0</v>
      </c>
      <c r="I295" s="163">
        <f t="shared" si="67"/>
        <v>0</v>
      </c>
      <c r="J295" s="163">
        <f t="shared" si="62"/>
        <v>0</v>
      </c>
      <c r="K295" s="166">
        <f t="shared" si="63"/>
        <v>0</v>
      </c>
      <c r="L295" s="170"/>
      <c r="M295" s="172"/>
      <c r="N295" s="155">
        <f t="shared" si="57"/>
        <v>7</v>
      </c>
      <c r="O295" s="123">
        <f t="shared" si="64"/>
        <v>24</v>
      </c>
      <c r="P295" s="124">
        <f t="shared" si="58"/>
        <v>0</v>
      </c>
      <c r="Q295" s="125"/>
      <c r="R295" s="125"/>
      <c r="S295" s="125"/>
      <c r="T295" s="125"/>
      <c r="U295" s="125"/>
      <c r="V295" s="125"/>
      <c r="W295" s="125"/>
      <c r="X295" s="125"/>
      <c r="Y295" s="125"/>
      <c r="Z295" s="125"/>
    </row>
    <row r="296" spans="1:26">
      <c r="A296" s="147">
        <v>289</v>
      </c>
      <c r="B296" s="148" t="str">
        <f t="shared" si="59"/>
        <v>25-й год 1-й мес</v>
      </c>
      <c r="C296" s="149">
        <f t="shared" si="65"/>
        <v>49989</v>
      </c>
      <c r="D296" s="150">
        <f t="shared" si="55"/>
        <v>0</v>
      </c>
      <c r="E296" s="151">
        <f t="shared" si="60"/>
        <v>0</v>
      </c>
      <c r="F296" s="151">
        <f t="shared" si="66"/>
        <v>0</v>
      </c>
      <c r="G296" s="152">
        <f t="shared" si="61"/>
        <v>0</v>
      </c>
      <c r="H296" s="153">
        <f t="shared" si="56"/>
        <v>0</v>
      </c>
      <c r="I296" s="151">
        <f t="shared" si="67"/>
        <v>0</v>
      </c>
      <c r="J296" s="151">
        <f t="shared" si="62"/>
        <v>0</v>
      </c>
      <c r="K296" s="154">
        <f t="shared" si="63"/>
        <v>0</v>
      </c>
      <c r="L296" s="167"/>
      <c r="M296" s="171"/>
      <c r="N296" s="155">
        <f t="shared" si="57"/>
        <v>7</v>
      </c>
      <c r="O296" s="123">
        <f t="shared" si="64"/>
        <v>24</v>
      </c>
      <c r="P296" s="124">
        <f t="shared" si="58"/>
        <v>0</v>
      </c>
      <c r="Q296" s="125"/>
      <c r="R296" s="125"/>
      <c r="S296" s="125"/>
      <c r="T296" s="125"/>
      <c r="U296" s="125"/>
      <c r="V296" s="125"/>
      <c r="W296" s="125"/>
      <c r="X296" s="125"/>
      <c r="Y296" s="125"/>
      <c r="Z296" s="125"/>
    </row>
    <row r="297" spans="1:26">
      <c r="A297" s="147">
        <v>290</v>
      </c>
      <c r="B297" s="148" t="str">
        <f t="shared" si="59"/>
        <v>25-й год 2-й мес</v>
      </c>
      <c r="C297" s="149">
        <f t="shared" si="65"/>
        <v>50019</v>
      </c>
      <c r="D297" s="150">
        <f t="shared" si="55"/>
        <v>0</v>
      </c>
      <c r="E297" s="151">
        <f t="shared" si="60"/>
        <v>0</v>
      </c>
      <c r="F297" s="151">
        <f t="shared" si="66"/>
        <v>0</v>
      </c>
      <c r="G297" s="152">
        <f t="shared" si="61"/>
        <v>0</v>
      </c>
      <c r="H297" s="153">
        <f t="shared" si="56"/>
        <v>0</v>
      </c>
      <c r="I297" s="151">
        <f t="shared" si="67"/>
        <v>0</v>
      </c>
      <c r="J297" s="151">
        <f t="shared" si="62"/>
        <v>0</v>
      </c>
      <c r="K297" s="154">
        <f t="shared" si="63"/>
        <v>0</v>
      </c>
      <c r="L297" s="167"/>
      <c r="M297" s="171"/>
      <c r="N297" s="155">
        <f t="shared" si="57"/>
        <v>7</v>
      </c>
      <c r="O297" s="123">
        <f t="shared" si="64"/>
        <v>24</v>
      </c>
      <c r="P297" s="124">
        <f t="shared" si="58"/>
        <v>0</v>
      </c>
      <c r="Q297" s="125"/>
      <c r="R297" s="125"/>
      <c r="S297" s="125"/>
      <c r="T297" s="125"/>
      <c r="U297" s="125"/>
      <c r="V297" s="125"/>
      <c r="W297" s="125"/>
      <c r="X297" s="125"/>
      <c r="Y297" s="125"/>
      <c r="Z297" s="125"/>
    </row>
    <row r="298" spans="1:26">
      <c r="A298" s="147">
        <v>291</v>
      </c>
      <c r="B298" s="148" t="str">
        <f t="shared" si="59"/>
        <v>25-й год 3-й мес</v>
      </c>
      <c r="C298" s="149">
        <f t="shared" si="65"/>
        <v>50050</v>
      </c>
      <c r="D298" s="150">
        <f t="shared" si="55"/>
        <v>0</v>
      </c>
      <c r="E298" s="151">
        <f t="shared" si="60"/>
        <v>0</v>
      </c>
      <c r="F298" s="151">
        <f t="shared" si="66"/>
        <v>0</v>
      </c>
      <c r="G298" s="152">
        <f t="shared" si="61"/>
        <v>0</v>
      </c>
      <c r="H298" s="153">
        <f t="shared" si="56"/>
        <v>0</v>
      </c>
      <c r="I298" s="151">
        <f t="shared" si="67"/>
        <v>0</v>
      </c>
      <c r="J298" s="151">
        <f t="shared" si="62"/>
        <v>0</v>
      </c>
      <c r="K298" s="154">
        <f t="shared" si="63"/>
        <v>0</v>
      </c>
      <c r="L298" s="167"/>
      <c r="M298" s="171"/>
      <c r="N298" s="155">
        <f t="shared" si="57"/>
        <v>7</v>
      </c>
      <c r="O298" s="123">
        <f t="shared" si="64"/>
        <v>24</v>
      </c>
      <c r="P298" s="124">
        <f t="shared" si="58"/>
        <v>0</v>
      </c>
      <c r="Q298" s="125"/>
      <c r="R298" s="125"/>
      <c r="S298" s="125"/>
      <c r="T298" s="125"/>
      <c r="U298" s="125"/>
      <c r="V298" s="125"/>
      <c r="W298" s="125"/>
      <c r="X298" s="125"/>
      <c r="Y298" s="125"/>
      <c r="Z298" s="125"/>
    </row>
    <row r="299" spans="1:26">
      <c r="A299" s="147">
        <v>292</v>
      </c>
      <c r="B299" s="148" t="str">
        <f t="shared" si="59"/>
        <v>25-й год 4-й мес</v>
      </c>
      <c r="C299" s="149">
        <f t="shared" si="65"/>
        <v>50081</v>
      </c>
      <c r="D299" s="150">
        <f t="shared" si="55"/>
        <v>0</v>
      </c>
      <c r="E299" s="151">
        <f t="shared" si="60"/>
        <v>0</v>
      </c>
      <c r="F299" s="151">
        <f t="shared" si="66"/>
        <v>0</v>
      </c>
      <c r="G299" s="152">
        <f t="shared" si="61"/>
        <v>0</v>
      </c>
      <c r="H299" s="153">
        <f t="shared" si="56"/>
        <v>0</v>
      </c>
      <c r="I299" s="151">
        <f t="shared" si="67"/>
        <v>0</v>
      </c>
      <c r="J299" s="151">
        <f t="shared" si="62"/>
        <v>0</v>
      </c>
      <c r="K299" s="154">
        <f t="shared" si="63"/>
        <v>0</v>
      </c>
      <c r="L299" s="167"/>
      <c r="M299" s="171"/>
      <c r="N299" s="155">
        <f t="shared" si="57"/>
        <v>7</v>
      </c>
      <c r="O299" s="123">
        <f t="shared" si="64"/>
        <v>24</v>
      </c>
      <c r="P299" s="124">
        <f t="shared" si="58"/>
        <v>0</v>
      </c>
      <c r="Q299" s="125"/>
      <c r="R299" s="125"/>
      <c r="S299" s="125"/>
      <c r="T299" s="125"/>
      <c r="U299" s="125"/>
      <c r="V299" s="125"/>
      <c r="W299" s="125"/>
      <c r="X299" s="125"/>
      <c r="Y299" s="125"/>
      <c r="Z299" s="125"/>
    </row>
    <row r="300" spans="1:26">
      <c r="A300" s="147">
        <v>293</v>
      </c>
      <c r="B300" s="148" t="str">
        <f t="shared" si="59"/>
        <v>25-й год 5-й мес</v>
      </c>
      <c r="C300" s="149">
        <f t="shared" si="65"/>
        <v>50109</v>
      </c>
      <c r="D300" s="150">
        <f t="shared" si="55"/>
        <v>0</v>
      </c>
      <c r="E300" s="151">
        <f t="shared" si="60"/>
        <v>0</v>
      </c>
      <c r="F300" s="151">
        <f t="shared" si="66"/>
        <v>0</v>
      </c>
      <c r="G300" s="152">
        <f t="shared" si="61"/>
        <v>0</v>
      </c>
      <c r="H300" s="153">
        <f t="shared" si="56"/>
        <v>0</v>
      </c>
      <c r="I300" s="151">
        <f t="shared" si="67"/>
        <v>0</v>
      </c>
      <c r="J300" s="151">
        <f t="shared" si="62"/>
        <v>0</v>
      </c>
      <c r="K300" s="154">
        <f t="shared" si="63"/>
        <v>0</v>
      </c>
      <c r="L300" s="167"/>
      <c r="M300" s="171"/>
      <c r="N300" s="155">
        <f t="shared" si="57"/>
        <v>7</v>
      </c>
      <c r="O300" s="123">
        <f t="shared" si="64"/>
        <v>24</v>
      </c>
      <c r="P300" s="124">
        <f t="shared" si="58"/>
        <v>0</v>
      </c>
      <c r="Q300" s="125"/>
      <c r="R300" s="125"/>
      <c r="S300" s="125"/>
      <c r="T300" s="125"/>
      <c r="U300" s="125"/>
      <c r="V300" s="125"/>
      <c r="W300" s="125"/>
      <c r="X300" s="125"/>
      <c r="Y300" s="125"/>
      <c r="Z300" s="125"/>
    </row>
    <row r="301" spans="1:26">
      <c r="A301" s="147">
        <v>294</v>
      </c>
      <c r="B301" s="148" t="str">
        <f t="shared" si="59"/>
        <v>25-й год 6-й мес</v>
      </c>
      <c r="C301" s="149">
        <f t="shared" si="65"/>
        <v>50140</v>
      </c>
      <c r="D301" s="150">
        <f t="shared" si="55"/>
        <v>0</v>
      </c>
      <c r="E301" s="151">
        <f t="shared" si="60"/>
        <v>0</v>
      </c>
      <c r="F301" s="151">
        <f t="shared" si="66"/>
        <v>0</v>
      </c>
      <c r="G301" s="152">
        <f t="shared" si="61"/>
        <v>0</v>
      </c>
      <c r="H301" s="153">
        <f t="shared" si="56"/>
        <v>0</v>
      </c>
      <c r="I301" s="151">
        <f t="shared" si="67"/>
        <v>0</v>
      </c>
      <c r="J301" s="151">
        <f t="shared" si="62"/>
        <v>0</v>
      </c>
      <c r="K301" s="154">
        <f t="shared" si="63"/>
        <v>0</v>
      </c>
      <c r="L301" s="167"/>
      <c r="M301" s="171"/>
      <c r="N301" s="155">
        <f t="shared" si="57"/>
        <v>7</v>
      </c>
      <c r="O301" s="123">
        <f t="shared" si="64"/>
        <v>24</v>
      </c>
      <c r="P301" s="124">
        <f t="shared" si="58"/>
        <v>0</v>
      </c>
      <c r="Q301" s="125"/>
      <c r="R301" s="125"/>
      <c r="S301" s="125"/>
      <c r="T301" s="125"/>
      <c r="U301" s="125"/>
      <c r="V301" s="125"/>
      <c r="W301" s="125"/>
      <c r="X301" s="125"/>
      <c r="Y301" s="125"/>
      <c r="Z301" s="125"/>
    </row>
    <row r="302" spans="1:26">
      <c r="A302" s="147">
        <v>295</v>
      </c>
      <c r="B302" s="148" t="str">
        <f t="shared" si="59"/>
        <v>25-й год 7-й мес</v>
      </c>
      <c r="C302" s="149">
        <f t="shared" si="65"/>
        <v>50170</v>
      </c>
      <c r="D302" s="150">
        <f t="shared" si="55"/>
        <v>0</v>
      </c>
      <c r="E302" s="151">
        <f t="shared" si="60"/>
        <v>0</v>
      </c>
      <c r="F302" s="151">
        <f t="shared" si="66"/>
        <v>0</v>
      </c>
      <c r="G302" s="152">
        <f t="shared" si="61"/>
        <v>0</v>
      </c>
      <c r="H302" s="153">
        <f t="shared" si="56"/>
        <v>0</v>
      </c>
      <c r="I302" s="151">
        <f t="shared" si="67"/>
        <v>0</v>
      </c>
      <c r="J302" s="151">
        <f t="shared" si="62"/>
        <v>0</v>
      </c>
      <c r="K302" s="154">
        <f t="shared" si="63"/>
        <v>0</v>
      </c>
      <c r="L302" s="167"/>
      <c r="M302" s="171"/>
      <c r="N302" s="155">
        <f t="shared" si="57"/>
        <v>7</v>
      </c>
      <c r="O302" s="123">
        <f t="shared" si="64"/>
        <v>24</v>
      </c>
      <c r="P302" s="124">
        <f t="shared" si="58"/>
        <v>0</v>
      </c>
      <c r="Q302" s="125"/>
      <c r="R302" s="125"/>
      <c r="S302" s="125"/>
      <c r="T302" s="125"/>
      <c r="U302" s="125"/>
      <c r="V302" s="125"/>
      <c r="W302" s="125"/>
      <c r="X302" s="125"/>
      <c r="Y302" s="125"/>
      <c r="Z302" s="125"/>
    </row>
    <row r="303" spans="1:26">
      <c r="A303" s="147">
        <v>296</v>
      </c>
      <c r="B303" s="148" t="str">
        <f t="shared" si="59"/>
        <v>25-й год 8-й мес</v>
      </c>
      <c r="C303" s="149">
        <f t="shared" si="65"/>
        <v>50201</v>
      </c>
      <c r="D303" s="150">
        <f t="shared" si="55"/>
        <v>0</v>
      </c>
      <c r="E303" s="151">
        <f t="shared" si="60"/>
        <v>0</v>
      </c>
      <c r="F303" s="151">
        <f t="shared" si="66"/>
        <v>0</v>
      </c>
      <c r="G303" s="152">
        <f t="shared" si="61"/>
        <v>0</v>
      </c>
      <c r="H303" s="153">
        <f t="shared" si="56"/>
        <v>0</v>
      </c>
      <c r="I303" s="151">
        <f t="shared" si="67"/>
        <v>0</v>
      </c>
      <c r="J303" s="151">
        <f t="shared" si="62"/>
        <v>0</v>
      </c>
      <c r="K303" s="154">
        <f t="shared" si="63"/>
        <v>0</v>
      </c>
      <c r="L303" s="167"/>
      <c r="M303" s="171"/>
      <c r="N303" s="155">
        <f t="shared" si="57"/>
        <v>7</v>
      </c>
      <c r="O303" s="123">
        <f t="shared" si="64"/>
        <v>24</v>
      </c>
      <c r="P303" s="124">
        <f t="shared" si="58"/>
        <v>0</v>
      </c>
      <c r="Q303" s="125"/>
      <c r="R303" s="125"/>
      <c r="S303" s="125"/>
      <c r="T303" s="125"/>
      <c r="U303" s="125"/>
      <c r="V303" s="125"/>
      <c r="W303" s="125"/>
      <c r="X303" s="125"/>
      <c r="Y303" s="125"/>
      <c r="Z303" s="125"/>
    </row>
    <row r="304" spans="1:26">
      <c r="A304" s="147">
        <v>297</v>
      </c>
      <c r="B304" s="148" t="str">
        <f t="shared" si="59"/>
        <v>25-й год 9-й мес</v>
      </c>
      <c r="C304" s="149">
        <f t="shared" si="65"/>
        <v>50231</v>
      </c>
      <c r="D304" s="150">
        <f t="shared" si="55"/>
        <v>0</v>
      </c>
      <c r="E304" s="151">
        <f t="shared" si="60"/>
        <v>0</v>
      </c>
      <c r="F304" s="151">
        <f t="shared" si="66"/>
        <v>0</v>
      </c>
      <c r="G304" s="152">
        <f t="shared" si="61"/>
        <v>0</v>
      </c>
      <c r="H304" s="153">
        <f t="shared" si="56"/>
        <v>0</v>
      </c>
      <c r="I304" s="151">
        <f t="shared" si="67"/>
        <v>0</v>
      </c>
      <c r="J304" s="151">
        <f t="shared" si="62"/>
        <v>0</v>
      </c>
      <c r="K304" s="154">
        <f t="shared" si="63"/>
        <v>0</v>
      </c>
      <c r="L304" s="167"/>
      <c r="M304" s="171"/>
      <c r="N304" s="155">
        <f t="shared" si="57"/>
        <v>7</v>
      </c>
      <c r="O304" s="123">
        <f t="shared" si="64"/>
        <v>24</v>
      </c>
      <c r="P304" s="124">
        <f t="shared" si="58"/>
        <v>0</v>
      </c>
      <c r="Q304" s="125"/>
      <c r="R304" s="125"/>
      <c r="S304" s="125"/>
      <c r="T304" s="125"/>
      <c r="U304" s="125"/>
      <c r="V304" s="125"/>
      <c r="W304" s="125"/>
      <c r="X304" s="125"/>
      <c r="Y304" s="125"/>
      <c r="Z304" s="125"/>
    </row>
    <row r="305" spans="1:26">
      <c r="A305" s="147">
        <v>298</v>
      </c>
      <c r="B305" s="148" t="str">
        <f t="shared" si="59"/>
        <v>25-й год 10-й мес</v>
      </c>
      <c r="C305" s="149">
        <f t="shared" si="65"/>
        <v>50262</v>
      </c>
      <c r="D305" s="150">
        <f t="shared" si="55"/>
        <v>0</v>
      </c>
      <c r="E305" s="151">
        <f t="shared" si="60"/>
        <v>0</v>
      </c>
      <c r="F305" s="151">
        <f t="shared" si="66"/>
        <v>0</v>
      </c>
      <c r="G305" s="152">
        <f t="shared" si="61"/>
        <v>0</v>
      </c>
      <c r="H305" s="153">
        <f t="shared" si="56"/>
        <v>0</v>
      </c>
      <c r="I305" s="151">
        <f t="shared" si="67"/>
        <v>0</v>
      </c>
      <c r="J305" s="151">
        <f t="shared" si="62"/>
        <v>0</v>
      </c>
      <c r="K305" s="154">
        <f t="shared" si="63"/>
        <v>0</v>
      </c>
      <c r="L305" s="167"/>
      <c r="M305" s="171"/>
      <c r="N305" s="155">
        <f t="shared" si="57"/>
        <v>7</v>
      </c>
      <c r="O305" s="123">
        <f t="shared" si="64"/>
        <v>24</v>
      </c>
      <c r="P305" s="124">
        <f t="shared" si="58"/>
        <v>0</v>
      </c>
      <c r="Q305" s="125"/>
      <c r="R305" s="125"/>
      <c r="S305" s="125"/>
      <c r="T305" s="125"/>
      <c r="U305" s="125"/>
      <c r="V305" s="125"/>
      <c r="W305" s="125"/>
      <c r="X305" s="125"/>
      <c r="Y305" s="125"/>
      <c r="Z305" s="125"/>
    </row>
    <row r="306" spans="1:26">
      <c r="A306" s="147">
        <v>299</v>
      </c>
      <c r="B306" s="148" t="str">
        <f t="shared" si="59"/>
        <v>25-й год 11-й мес</v>
      </c>
      <c r="C306" s="149">
        <f t="shared" si="65"/>
        <v>50293</v>
      </c>
      <c r="D306" s="150">
        <f t="shared" si="55"/>
        <v>0</v>
      </c>
      <c r="E306" s="151">
        <f t="shared" si="60"/>
        <v>0</v>
      </c>
      <c r="F306" s="151">
        <f t="shared" si="66"/>
        <v>0</v>
      </c>
      <c r="G306" s="152">
        <f t="shared" si="61"/>
        <v>0</v>
      </c>
      <c r="H306" s="153">
        <f t="shared" si="56"/>
        <v>0</v>
      </c>
      <c r="I306" s="151">
        <f t="shared" si="67"/>
        <v>0</v>
      </c>
      <c r="J306" s="151">
        <f t="shared" si="62"/>
        <v>0</v>
      </c>
      <c r="K306" s="154">
        <f t="shared" si="63"/>
        <v>0</v>
      </c>
      <c r="L306" s="167"/>
      <c r="M306" s="171"/>
      <c r="N306" s="155">
        <f t="shared" si="57"/>
        <v>7</v>
      </c>
      <c r="O306" s="123">
        <f t="shared" si="64"/>
        <v>24</v>
      </c>
      <c r="P306" s="124">
        <f t="shared" si="58"/>
        <v>0</v>
      </c>
      <c r="Q306" s="125"/>
      <c r="R306" s="125"/>
      <c r="S306" s="125"/>
      <c r="T306" s="125"/>
      <c r="U306" s="125"/>
      <c r="V306" s="125"/>
      <c r="W306" s="125"/>
      <c r="X306" s="125"/>
      <c r="Y306" s="125"/>
      <c r="Z306" s="125"/>
    </row>
    <row r="307" spans="1:26">
      <c r="A307" s="147">
        <v>300</v>
      </c>
      <c r="B307" s="148" t="str">
        <f t="shared" si="59"/>
        <v>25-й год 12-й мес</v>
      </c>
      <c r="C307" s="149">
        <f t="shared" si="65"/>
        <v>50323</v>
      </c>
      <c r="D307" s="150">
        <f t="shared" si="55"/>
        <v>0</v>
      </c>
      <c r="E307" s="151">
        <f t="shared" si="60"/>
        <v>0</v>
      </c>
      <c r="F307" s="151">
        <f t="shared" si="66"/>
        <v>0</v>
      </c>
      <c r="G307" s="152">
        <f t="shared" si="61"/>
        <v>0</v>
      </c>
      <c r="H307" s="153">
        <f t="shared" si="56"/>
        <v>0</v>
      </c>
      <c r="I307" s="151">
        <f t="shared" si="67"/>
        <v>0</v>
      </c>
      <c r="J307" s="151">
        <f t="shared" si="62"/>
        <v>0</v>
      </c>
      <c r="K307" s="154">
        <f t="shared" si="63"/>
        <v>0</v>
      </c>
      <c r="L307" s="167"/>
      <c r="M307" s="171"/>
      <c r="N307" s="155">
        <f t="shared" si="57"/>
        <v>7</v>
      </c>
      <c r="O307" s="123">
        <f t="shared" si="64"/>
        <v>24</v>
      </c>
      <c r="P307" s="124">
        <f t="shared" si="58"/>
        <v>0</v>
      </c>
      <c r="Q307" s="125"/>
      <c r="R307" s="125"/>
      <c r="S307" s="125"/>
      <c r="T307" s="125"/>
      <c r="U307" s="125"/>
      <c r="V307" s="125"/>
      <c r="W307" s="125"/>
      <c r="X307" s="125"/>
      <c r="Y307" s="125"/>
      <c r="Z307" s="125"/>
    </row>
    <row r="308" spans="1:26">
      <c r="A308" s="156">
        <v>301</v>
      </c>
      <c r="B308" s="148" t="str">
        <f t="shared" si="59"/>
        <v>26-й год 1-й мес</v>
      </c>
      <c r="C308" s="149">
        <f t="shared" si="65"/>
        <v>50354</v>
      </c>
      <c r="D308" s="150">
        <f t="shared" si="55"/>
        <v>0</v>
      </c>
      <c r="E308" s="157">
        <f t="shared" si="60"/>
        <v>0</v>
      </c>
      <c r="F308" s="151">
        <f t="shared" si="66"/>
        <v>0</v>
      </c>
      <c r="G308" s="158">
        <f t="shared" si="61"/>
        <v>0</v>
      </c>
      <c r="H308" s="159">
        <f t="shared" si="56"/>
        <v>0</v>
      </c>
      <c r="I308" s="157">
        <f t="shared" si="67"/>
        <v>0</v>
      </c>
      <c r="J308" s="157">
        <f t="shared" si="62"/>
        <v>0</v>
      </c>
      <c r="K308" s="160">
        <f t="shared" si="63"/>
        <v>0</v>
      </c>
      <c r="L308" s="169"/>
      <c r="M308" s="168"/>
      <c r="N308" s="155">
        <f t="shared" si="57"/>
        <v>7</v>
      </c>
      <c r="O308" s="123">
        <f t="shared" si="64"/>
        <v>24</v>
      </c>
      <c r="P308" s="124">
        <f t="shared" si="58"/>
        <v>0</v>
      </c>
      <c r="Q308" s="125"/>
      <c r="R308" s="125"/>
      <c r="S308" s="125"/>
      <c r="T308" s="125"/>
      <c r="U308" s="125"/>
      <c r="V308" s="125"/>
      <c r="W308" s="125"/>
      <c r="X308" s="125"/>
      <c r="Y308" s="125"/>
      <c r="Z308" s="125"/>
    </row>
    <row r="309" spans="1:26">
      <c r="A309" s="161">
        <v>302</v>
      </c>
      <c r="B309" s="148" t="str">
        <f t="shared" si="59"/>
        <v>26-й год 2-й мес</v>
      </c>
      <c r="C309" s="149">
        <f t="shared" si="65"/>
        <v>50384</v>
      </c>
      <c r="D309" s="150">
        <f t="shared" si="55"/>
        <v>0</v>
      </c>
      <c r="E309" s="151">
        <f t="shared" si="60"/>
        <v>0</v>
      </c>
      <c r="F309" s="151">
        <f t="shared" si="66"/>
        <v>0</v>
      </c>
      <c r="G309" s="152">
        <f t="shared" si="61"/>
        <v>0</v>
      </c>
      <c r="H309" s="153">
        <f t="shared" si="56"/>
        <v>0</v>
      </c>
      <c r="I309" s="151">
        <f t="shared" si="67"/>
        <v>0</v>
      </c>
      <c r="J309" s="151">
        <f t="shared" si="62"/>
        <v>0</v>
      </c>
      <c r="K309" s="154">
        <f t="shared" si="63"/>
        <v>0</v>
      </c>
      <c r="L309" s="167"/>
      <c r="M309" s="171"/>
      <c r="N309" s="155">
        <f t="shared" si="57"/>
        <v>7</v>
      </c>
      <c r="O309" s="123">
        <f t="shared" si="64"/>
        <v>24</v>
      </c>
      <c r="P309" s="124">
        <f t="shared" si="58"/>
        <v>0</v>
      </c>
      <c r="Q309" s="125"/>
      <c r="R309" s="125"/>
      <c r="S309" s="125"/>
      <c r="T309" s="125"/>
      <c r="U309" s="125"/>
      <c r="V309" s="125"/>
      <c r="W309" s="125"/>
      <c r="X309" s="125"/>
      <c r="Y309" s="125"/>
      <c r="Z309" s="125"/>
    </row>
    <row r="310" spans="1:26">
      <c r="A310" s="161">
        <v>303</v>
      </c>
      <c r="B310" s="148" t="str">
        <f t="shared" si="59"/>
        <v>26-й год 3-й мес</v>
      </c>
      <c r="C310" s="149">
        <f t="shared" si="65"/>
        <v>50415</v>
      </c>
      <c r="D310" s="150">
        <f t="shared" si="55"/>
        <v>0</v>
      </c>
      <c r="E310" s="151">
        <f t="shared" si="60"/>
        <v>0</v>
      </c>
      <c r="F310" s="151">
        <f t="shared" si="66"/>
        <v>0</v>
      </c>
      <c r="G310" s="152">
        <f t="shared" si="61"/>
        <v>0</v>
      </c>
      <c r="H310" s="153">
        <f t="shared" si="56"/>
        <v>0</v>
      </c>
      <c r="I310" s="151">
        <f t="shared" si="67"/>
        <v>0</v>
      </c>
      <c r="J310" s="151">
        <f t="shared" si="62"/>
        <v>0</v>
      </c>
      <c r="K310" s="154">
        <f t="shared" si="63"/>
        <v>0</v>
      </c>
      <c r="L310" s="167"/>
      <c r="M310" s="171"/>
      <c r="N310" s="155">
        <f t="shared" si="57"/>
        <v>7</v>
      </c>
      <c r="O310" s="123">
        <f t="shared" si="64"/>
        <v>24</v>
      </c>
      <c r="P310" s="124">
        <f t="shared" si="58"/>
        <v>0</v>
      </c>
      <c r="Q310" s="125"/>
      <c r="R310" s="125"/>
      <c r="S310" s="125"/>
      <c r="T310" s="125"/>
      <c r="U310" s="125"/>
      <c r="V310" s="125"/>
      <c r="W310" s="125"/>
      <c r="X310" s="125"/>
      <c r="Y310" s="125"/>
      <c r="Z310" s="125"/>
    </row>
    <row r="311" spans="1:26">
      <c r="A311" s="161">
        <v>304</v>
      </c>
      <c r="B311" s="148" t="str">
        <f t="shared" si="59"/>
        <v>26-й год 4-й мес</v>
      </c>
      <c r="C311" s="149">
        <f t="shared" si="65"/>
        <v>50446</v>
      </c>
      <c r="D311" s="150">
        <f t="shared" si="55"/>
        <v>0</v>
      </c>
      <c r="E311" s="151">
        <f t="shared" si="60"/>
        <v>0</v>
      </c>
      <c r="F311" s="151">
        <f t="shared" si="66"/>
        <v>0</v>
      </c>
      <c r="G311" s="152">
        <f t="shared" si="61"/>
        <v>0</v>
      </c>
      <c r="H311" s="153">
        <f t="shared" si="56"/>
        <v>0</v>
      </c>
      <c r="I311" s="151">
        <f t="shared" si="67"/>
        <v>0</v>
      </c>
      <c r="J311" s="151">
        <f t="shared" si="62"/>
        <v>0</v>
      </c>
      <c r="K311" s="154">
        <f t="shared" si="63"/>
        <v>0</v>
      </c>
      <c r="L311" s="167"/>
      <c r="M311" s="171"/>
      <c r="N311" s="155">
        <f t="shared" si="57"/>
        <v>7</v>
      </c>
      <c r="O311" s="123">
        <f t="shared" si="64"/>
        <v>24</v>
      </c>
      <c r="P311" s="124">
        <f t="shared" si="58"/>
        <v>0</v>
      </c>
      <c r="Q311" s="125"/>
      <c r="R311" s="125"/>
      <c r="S311" s="125"/>
      <c r="T311" s="125"/>
      <c r="U311" s="125"/>
      <c r="V311" s="125"/>
      <c r="W311" s="125"/>
      <c r="X311" s="125"/>
      <c r="Y311" s="125"/>
      <c r="Z311" s="125"/>
    </row>
    <row r="312" spans="1:26">
      <c r="A312" s="161">
        <v>305</v>
      </c>
      <c r="B312" s="148" t="str">
        <f t="shared" si="59"/>
        <v>26-й год 5-й мес</v>
      </c>
      <c r="C312" s="149">
        <f t="shared" si="65"/>
        <v>50474</v>
      </c>
      <c r="D312" s="150">
        <f t="shared" si="55"/>
        <v>0</v>
      </c>
      <c r="E312" s="151">
        <f t="shared" si="60"/>
        <v>0</v>
      </c>
      <c r="F312" s="151">
        <f t="shared" si="66"/>
        <v>0</v>
      </c>
      <c r="G312" s="152">
        <f t="shared" si="61"/>
        <v>0</v>
      </c>
      <c r="H312" s="153">
        <f t="shared" si="56"/>
        <v>0</v>
      </c>
      <c r="I312" s="151">
        <f t="shared" si="67"/>
        <v>0</v>
      </c>
      <c r="J312" s="151">
        <f t="shared" si="62"/>
        <v>0</v>
      </c>
      <c r="K312" s="154">
        <f t="shared" si="63"/>
        <v>0</v>
      </c>
      <c r="L312" s="167"/>
      <c r="M312" s="171"/>
      <c r="N312" s="155">
        <f t="shared" si="57"/>
        <v>7</v>
      </c>
      <c r="O312" s="123">
        <f t="shared" si="64"/>
        <v>24</v>
      </c>
      <c r="P312" s="124">
        <f t="shared" si="58"/>
        <v>0</v>
      </c>
      <c r="Q312" s="125"/>
      <c r="R312" s="125"/>
      <c r="S312" s="125"/>
      <c r="T312" s="125"/>
      <c r="U312" s="125"/>
      <c r="V312" s="125"/>
      <c r="W312" s="125"/>
      <c r="X312" s="125"/>
      <c r="Y312" s="125"/>
      <c r="Z312" s="125"/>
    </row>
    <row r="313" spans="1:26">
      <c r="A313" s="161">
        <v>306</v>
      </c>
      <c r="B313" s="148" t="str">
        <f t="shared" si="59"/>
        <v>26-й год 6-й мес</v>
      </c>
      <c r="C313" s="149">
        <f t="shared" si="65"/>
        <v>50505</v>
      </c>
      <c r="D313" s="150">
        <f t="shared" si="55"/>
        <v>0</v>
      </c>
      <c r="E313" s="151">
        <f t="shared" si="60"/>
        <v>0</v>
      </c>
      <c r="F313" s="151">
        <f t="shared" si="66"/>
        <v>0</v>
      </c>
      <c r="G313" s="152">
        <f t="shared" si="61"/>
        <v>0</v>
      </c>
      <c r="H313" s="153">
        <f t="shared" si="56"/>
        <v>0</v>
      </c>
      <c r="I313" s="151">
        <f t="shared" si="67"/>
        <v>0</v>
      </c>
      <c r="J313" s="151">
        <f t="shared" si="62"/>
        <v>0</v>
      </c>
      <c r="K313" s="154">
        <f t="shared" si="63"/>
        <v>0</v>
      </c>
      <c r="L313" s="167"/>
      <c r="M313" s="171"/>
      <c r="N313" s="155">
        <f t="shared" si="57"/>
        <v>7</v>
      </c>
      <c r="O313" s="123">
        <f t="shared" si="64"/>
        <v>24</v>
      </c>
      <c r="P313" s="124">
        <f t="shared" si="58"/>
        <v>0</v>
      </c>
      <c r="Q313" s="125"/>
      <c r="R313" s="125"/>
      <c r="S313" s="125"/>
      <c r="T313" s="125"/>
      <c r="U313" s="125"/>
      <c r="V313" s="125"/>
      <c r="W313" s="125"/>
      <c r="X313" s="125"/>
      <c r="Y313" s="125"/>
      <c r="Z313" s="125"/>
    </row>
    <row r="314" spans="1:26">
      <c r="A314" s="161">
        <v>307</v>
      </c>
      <c r="B314" s="148" t="str">
        <f t="shared" si="59"/>
        <v>26-й год 7-й мес</v>
      </c>
      <c r="C314" s="149">
        <f t="shared" si="65"/>
        <v>50535</v>
      </c>
      <c r="D314" s="150">
        <f t="shared" si="55"/>
        <v>0</v>
      </c>
      <c r="E314" s="151">
        <f t="shared" si="60"/>
        <v>0</v>
      </c>
      <c r="F314" s="151">
        <f t="shared" si="66"/>
        <v>0</v>
      </c>
      <c r="G314" s="152">
        <f t="shared" si="61"/>
        <v>0</v>
      </c>
      <c r="H314" s="153">
        <f t="shared" si="56"/>
        <v>0</v>
      </c>
      <c r="I314" s="151">
        <f t="shared" si="67"/>
        <v>0</v>
      </c>
      <c r="J314" s="151">
        <f t="shared" si="62"/>
        <v>0</v>
      </c>
      <c r="K314" s="154">
        <f t="shared" si="63"/>
        <v>0</v>
      </c>
      <c r="L314" s="167"/>
      <c r="M314" s="171"/>
      <c r="N314" s="155">
        <f t="shared" si="57"/>
        <v>7</v>
      </c>
      <c r="O314" s="123">
        <f t="shared" si="64"/>
        <v>24</v>
      </c>
      <c r="P314" s="124">
        <f t="shared" si="58"/>
        <v>0</v>
      </c>
      <c r="Q314" s="125"/>
      <c r="R314" s="125"/>
      <c r="S314" s="125"/>
      <c r="T314" s="125"/>
      <c r="U314" s="125"/>
      <c r="V314" s="125"/>
      <c r="W314" s="125"/>
      <c r="X314" s="125"/>
      <c r="Y314" s="125"/>
      <c r="Z314" s="125"/>
    </row>
    <row r="315" spans="1:26">
      <c r="A315" s="161">
        <v>308</v>
      </c>
      <c r="B315" s="148" t="str">
        <f t="shared" si="59"/>
        <v>26-й год 8-й мес</v>
      </c>
      <c r="C315" s="149">
        <f t="shared" si="65"/>
        <v>50566</v>
      </c>
      <c r="D315" s="150">
        <f t="shared" si="55"/>
        <v>0</v>
      </c>
      <c r="E315" s="151">
        <f t="shared" si="60"/>
        <v>0</v>
      </c>
      <c r="F315" s="151">
        <f t="shared" si="66"/>
        <v>0</v>
      </c>
      <c r="G315" s="152">
        <f t="shared" si="61"/>
        <v>0</v>
      </c>
      <c r="H315" s="153">
        <f t="shared" si="56"/>
        <v>0</v>
      </c>
      <c r="I315" s="151">
        <f t="shared" si="67"/>
        <v>0</v>
      </c>
      <c r="J315" s="151">
        <f t="shared" si="62"/>
        <v>0</v>
      </c>
      <c r="K315" s="154">
        <f t="shared" si="63"/>
        <v>0</v>
      </c>
      <c r="L315" s="167"/>
      <c r="M315" s="171"/>
      <c r="N315" s="155">
        <f t="shared" si="57"/>
        <v>7</v>
      </c>
      <c r="O315" s="123">
        <f t="shared" si="64"/>
        <v>24</v>
      </c>
      <c r="P315" s="124">
        <f t="shared" si="58"/>
        <v>0</v>
      </c>
      <c r="Q315" s="125"/>
      <c r="R315" s="125"/>
      <c r="S315" s="125"/>
      <c r="T315" s="125"/>
      <c r="U315" s="125"/>
      <c r="V315" s="125"/>
      <c r="W315" s="125"/>
      <c r="X315" s="125"/>
      <c r="Y315" s="125"/>
      <c r="Z315" s="125"/>
    </row>
    <row r="316" spans="1:26">
      <c r="A316" s="161">
        <v>309</v>
      </c>
      <c r="B316" s="148" t="str">
        <f t="shared" si="59"/>
        <v>26-й год 9-й мес</v>
      </c>
      <c r="C316" s="149">
        <f t="shared" si="65"/>
        <v>50596</v>
      </c>
      <c r="D316" s="150">
        <f t="shared" si="55"/>
        <v>0</v>
      </c>
      <c r="E316" s="151">
        <f t="shared" si="60"/>
        <v>0</v>
      </c>
      <c r="F316" s="151">
        <f t="shared" si="66"/>
        <v>0</v>
      </c>
      <c r="G316" s="152">
        <f t="shared" si="61"/>
        <v>0</v>
      </c>
      <c r="H316" s="153">
        <f t="shared" si="56"/>
        <v>0</v>
      </c>
      <c r="I316" s="151">
        <f t="shared" si="67"/>
        <v>0</v>
      </c>
      <c r="J316" s="151">
        <f t="shared" si="62"/>
        <v>0</v>
      </c>
      <c r="K316" s="154">
        <f t="shared" si="63"/>
        <v>0</v>
      </c>
      <c r="L316" s="167"/>
      <c r="M316" s="171"/>
      <c r="N316" s="155">
        <f t="shared" si="57"/>
        <v>7</v>
      </c>
      <c r="O316" s="123">
        <f t="shared" si="64"/>
        <v>24</v>
      </c>
      <c r="P316" s="124">
        <f t="shared" si="58"/>
        <v>0</v>
      </c>
      <c r="Q316" s="125"/>
      <c r="R316" s="125"/>
      <c r="S316" s="125"/>
      <c r="T316" s="125"/>
      <c r="U316" s="125"/>
      <c r="V316" s="125"/>
      <c r="W316" s="125"/>
      <c r="X316" s="125"/>
      <c r="Y316" s="125"/>
      <c r="Z316" s="125"/>
    </row>
    <row r="317" spans="1:26">
      <c r="A317" s="161">
        <v>310</v>
      </c>
      <c r="B317" s="148" t="str">
        <f t="shared" si="59"/>
        <v>26-й год 10-й мес</v>
      </c>
      <c r="C317" s="149">
        <f t="shared" si="65"/>
        <v>50627</v>
      </c>
      <c r="D317" s="150">
        <f t="shared" si="55"/>
        <v>0</v>
      </c>
      <c r="E317" s="151">
        <f t="shared" si="60"/>
        <v>0</v>
      </c>
      <c r="F317" s="151">
        <f t="shared" si="66"/>
        <v>0</v>
      </c>
      <c r="G317" s="152">
        <f t="shared" si="61"/>
        <v>0</v>
      </c>
      <c r="H317" s="153">
        <f t="shared" si="56"/>
        <v>0</v>
      </c>
      <c r="I317" s="151">
        <f t="shared" si="67"/>
        <v>0</v>
      </c>
      <c r="J317" s="151">
        <f t="shared" si="62"/>
        <v>0</v>
      </c>
      <c r="K317" s="154">
        <f t="shared" si="63"/>
        <v>0</v>
      </c>
      <c r="L317" s="167"/>
      <c r="M317" s="171"/>
      <c r="N317" s="155">
        <f t="shared" si="57"/>
        <v>7</v>
      </c>
      <c r="O317" s="123">
        <f t="shared" si="64"/>
        <v>24</v>
      </c>
      <c r="P317" s="124">
        <f t="shared" si="58"/>
        <v>0</v>
      </c>
      <c r="Q317" s="125"/>
      <c r="R317" s="125"/>
      <c r="S317" s="125"/>
      <c r="T317" s="125"/>
      <c r="U317" s="125"/>
      <c r="V317" s="125"/>
      <c r="W317" s="125"/>
      <c r="X317" s="125"/>
      <c r="Y317" s="125"/>
      <c r="Z317" s="125"/>
    </row>
    <row r="318" spans="1:26">
      <c r="A318" s="161">
        <v>311</v>
      </c>
      <c r="B318" s="148" t="str">
        <f t="shared" si="59"/>
        <v>26-й год 11-й мес</v>
      </c>
      <c r="C318" s="149">
        <f t="shared" si="65"/>
        <v>50658</v>
      </c>
      <c r="D318" s="150">
        <f t="shared" si="55"/>
        <v>0</v>
      </c>
      <c r="E318" s="151">
        <f t="shared" si="60"/>
        <v>0</v>
      </c>
      <c r="F318" s="151">
        <f t="shared" si="66"/>
        <v>0</v>
      </c>
      <c r="G318" s="152">
        <f t="shared" si="61"/>
        <v>0</v>
      </c>
      <c r="H318" s="153">
        <f t="shared" si="56"/>
        <v>0</v>
      </c>
      <c r="I318" s="151">
        <f t="shared" si="67"/>
        <v>0</v>
      </c>
      <c r="J318" s="151">
        <f t="shared" si="62"/>
        <v>0</v>
      </c>
      <c r="K318" s="154">
        <f t="shared" si="63"/>
        <v>0</v>
      </c>
      <c r="L318" s="167"/>
      <c r="M318" s="171"/>
      <c r="N318" s="155">
        <f t="shared" si="57"/>
        <v>7</v>
      </c>
      <c r="O318" s="123">
        <f t="shared" si="64"/>
        <v>24</v>
      </c>
      <c r="P318" s="124">
        <f t="shared" si="58"/>
        <v>0</v>
      </c>
      <c r="Q318" s="125"/>
      <c r="R318" s="125"/>
      <c r="S318" s="125"/>
      <c r="T318" s="125"/>
      <c r="U318" s="125"/>
      <c r="V318" s="125"/>
      <c r="W318" s="125"/>
      <c r="X318" s="125"/>
      <c r="Y318" s="125"/>
      <c r="Z318" s="125"/>
    </row>
    <row r="319" spans="1:26">
      <c r="A319" s="162">
        <v>312</v>
      </c>
      <c r="B319" s="148" t="str">
        <f t="shared" si="59"/>
        <v>26-й год 12-й мес</v>
      </c>
      <c r="C319" s="149">
        <f t="shared" si="65"/>
        <v>50688</v>
      </c>
      <c r="D319" s="150">
        <f t="shared" si="55"/>
        <v>0</v>
      </c>
      <c r="E319" s="163">
        <f t="shared" si="60"/>
        <v>0</v>
      </c>
      <c r="F319" s="151">
        <f t="shared" si="66"/>
        <v>0</v>
      </c>
      <c r="G319" s="164">
        <f t="shared" si="61"/>
        <v>0</v>
      </c>
      <c r="H319" s="165">
        <f t="shared" si="56"/>
        <v>0</v>
      </c>
      <c r="I319" s="163">
        <f t="shared" si="67"/>
        <v>0</v>
      </c>
      <c r="J319" s="163">
        <f t="shared" si="62"/>
        <v>0</v>
      </c>
      <c r="K319" s="166">
        <f t="shared" si="63"/>
        <v>0</v>
      </c>
      <c r="L319" s="170"/>
      <c r="M319" s="172"/>
      <c r="N319" s="155">
        <f t="shared" si="57"/>
        <v>7</v>
      </c>
      <c r="O319" s="123">
        <f t="shared" si="64"/>
        <v>24</v>
      </c>
      <c r="P319" s="124">
        <f t="shared" si="58"/>
        <v>0</v>
      </c>
      <c r="Q319" s="125"/>
      <c r="R319" s="125"/>
      <c r="S319" s="125"/>
      <c r="T319" s="125"/>
      <c r="U319" s="125"/>
      <c r="V319" s="125"/>
      <c r="W319" s="125"/>
      <c r="X319" s="125"/>
      <c r="Y319" s="125"/>
      <c r="Z319" s="125"/>
    </row>
    <row r="320" spans="1:26">
      <c r="A320" s="147">
        <v>313</v>
      </c>
      <c r="B320" s="148" t="str">
        <f t="shared" si="59"/>
        <v>27-й год 1-й мес</v>
      </c>
      <c r="C320" s="149">
        <f t="shared" si="65"/>
        <v>50719</v>
      </c>
      <c r="D320" s="150">
        <f t="shared" si="55"/>
        <v>0</v>
      </c>
      <c r="E320" s="151">
        <f t="shared" si="60"/>
        <v>0</v>
      </c>
      <c r="F320" s="151">
        <f t="shared" si="66"/>
        <v>0</v>
      </c>
      <c r="G320" s="152">
        <f t="shared" si="61"/>
        <v>0</v>
      </c>
      <c r="H320" s="153">
        <f t="shared" si="56"/>
        <v>0</v>
      </c>
      <c r="I320" s="151">
        <f t="shared" si="67"/>
        <v>0</v>
      </c>
      <c r="J320" s="151">
        <f t="shared" si="62"/>
        <v>0</v>
      </c>
      <c r="K320" s="154">
        <f t="shared" si="63"/>
        <v>0</v>
      </c>
      <c r="L320" s="167"/>
      <c r="M320" s="171"/>
      <c r="N320" s="155">
        <f t="shared" si="57"/>
        <v>7</v>
      </c>
      <c r="O320" s="123">
        <f t="shared" si="64"/>
        <v>24</v>
      </c>
      <c r="P320" s="124">
        <f t="shared" si="58"/>
        <v>0</v>
      </c>
      <c r="Q320" s="125"/>
      <c r="R320" s="125"/>
      <c r="S320" s="125"/>
      <c r="T320" s="125"/>
      <c r="U320" s="125"/>
      <c r="V320" s="125"/>
      <c r="W320" s="125"/>
      <c r="X320" s="125"/>
      <c r="Y320" s="125"/>
      <c r="Z320" s="125"/>
    </row>
    <row r="321" spans="1:26">
      <c r="A321" s="147">
        <v>314</v>
      </c>
      <c r="B321" s="148" t="str">
        <f t="shared" si="59"/>
        <v>27-й год 2-й мес</v>
      </c>
      <c r="C321" s="149">
        <f t="shared" si="65"/>
        <v>50749</v>
      </c>
      <c r="D321" s="150">
        <f t="shared" si="55"/>
        <v>0</v>
      </c>
      <c r="E321" s="151">
        <f t="shared" si="60"/>
        <v>0</v>
      </c>
      <c r="F321" s="151">
        <f t="shared" si="66"/>
        <v>0</v>
      </c>
      <c r="G321" s="152">
        <f t="shared" si="61"/>
        <v>0</v>
      </c>
      <c r="H321" s="153">
        <f t="shared" si="56"/>
        <v>0</v>
      </c>
      <c r="I321" s="151">
        <f t="shared" si="67"/>
        <v>0</v>
      </c>
      <c r="J321" s="151">
        <f t="shared" si="62"/>
        <v>0</v>
      </c>
      <c r="K321" s="154">
        <f t="shared" si="63"/>
        <v>0</v>
      </c>
      <c r="L321" s="167"/>
      <c r="M321" s="171"/>
      <c r="N321" s="155">
        <f t="shared" si="57"/>
        <v>7</v>
      </c>
      <c r="O321" s="123">
        <f t="shared" si="64"/>
        <v>24</v>
      </c>
      <c r="P321" s="124">
        <f t="shared" si="58"/>
        <v>0</v>
      </c>
      <c r="Q321" s="125"/>
      <c r="R321" s="125"/>
      <c r="S321" s="125"/>
      <c r="T321" s="125"/>
      <c r="U321" s="125"/>
      <c r="V321" s="125"/>
      <c r="W321" s="125"/>
      <c r="X321" s="125"/>
      <c r="Y321" s="125"/>
      <c r="Z321" s="125"/>
    </row>
    <row r="322" spans="1:26">
      <c r="A322" s="147">
        <v>315</v>
      </c>
      <c r="B322" s="148" t="str">
        <f t="shared" si="59"/>
        <v>27-й год 3-й мес</v>
      </c>
      <c r="C322" s="149">
        <f t="shared" si="65"/>
        <v>50780</v>
      </c>
      <c r="D322" s="150">
        <f t="shared" si="55"/>
        <v>0</v>
      </c>
      <c r="E322" s="151">
        <f t="shared" si="60"/>
        <v>0</v>
      </c>
      <c r="F322" s="151">
        <f t="shared" si="66"/>
        <v>0</v>
      </c>
      <c r="G322" s="152">
        <f t="shared" si="61"/>
        <v>0</v>
      </c>
      <c r="H322" s="153">
        <f t="shared" si="56"/>
        <v>0</v>
      </c>
      <c r="I322" s="151">
        <f t="shared" si="67"/>
        <v>0</v>
      </c>
      <c r="J322" s="151">
        <f t="shared" si="62"/>
        <v>0</v>
      </c>
      <c r="K322" s="154">
        <f t="shared" si="63"/>
        <v>0</v>
      </c>
      <c r="L322" s="167"/>
      <c r="M322" s="171"/>
      <c r="N322" s="155">
        <f t="shared" si="57"/>
        <v>7</v>
      </c>
      <c r="O322" s="123">
        <f t="shared" si="64"/>
        <v>24</v>
      </c>
      <c r="P322" s="124">
        <f t="shared" si="58"/>
        <v>0</v>
      </c>
      <c r="Q322" s="125"/>
      <c r="R322" s="125"/>
      <c r="S322" s="125"/>
      <c r="T322" s="125"/>
      <c r="U322" s="125"/>
      <c r="V322" s="125"/>
      <c r="W322" s="125"/>
      <c r="X322" s="125"/>
      <c r="Y322" s="125"/>
      <c r="Z322" s="125"/>
    </row>
    <row r="323" spans="1:26">
      <c r="A323" s="147">
        <v>316</v>
      </c>
      <c r="B323" s="148" t="str">
        <f t="shared" si="59"/>
        <v>27-й год 4-й мес</v>
      </c>
      <c r="C323" s="149">
        <f t="shared" si="65"/>
        <v>50811</v>
      </c>
      <c r="D323" s="150">
        <f t="shared" si="55"/>
        <v>0</v>
      </c>
      <c r="E323" s="151">
        <f t="shared" si="60"/>
        <v>0</v>
      </c>
      <c r="F323" s="151">
        <f t="shared" si="66"/>
        <v>0</v>
      </c>
      <c r="G323" s="152">
        <f t="shared" si="61"/>
        <v>0</v>
      </c>
      <c r="H323" s="153">
        <f t="shared" si="56"/>
        <v>0</v>
      </c>
      <c r="I323" s="151">
        <f t="shared" si="67"/>
        <v>0</v>
      </c>
      <c r="J323" s="151">
        <f t="shared" si="62"/>
        <v>0</v>
      </c>
      <c r="K323" s="154">
        <f t="shared" si="63"/>
        <v>0</v>
      </c>
      <c r="L323" s="167"/>
      <c r="M323" s="171"/>
      <c r="N323" s="155">
        <f t="shared" si="57"/>
        <v>7</v>
      </c>
      <c r="O323" s="123">
        <f t="shared" si="64"/>
        <v>24</v>
      </c>
      <c r="P323" s="124">
        <f t="shared" si="58"/>
        <v>0</v>
      </c>
      <c r="Q323" s="125"/>
      <c r="R323" s="125"/>
      <c r="S323" s="125"/>
      <c r="T323" s="125"/>
      <c r="U323" s="125"/>
      <c r="V323" s="125"/>
      <c r="W323" s="125"/>
      <c r="X323" s="125"/>
      <c r="Y323" s="125"/>
      <c r="Z323" s="125"/>
    </row>
    <row r="324" spans="1:26">
      <c r="A324" s="147">
        <v>317</v>
      </c>
      <c r="B324" s="148" t="str">
        <f t="shared" si="59"/>
        <v>27-й год 5-й мес</v>
      </c>
      <c r="C324" s="149">
        <f t="shared" si="65"/>
        <v>50839</v>
      </c>
      <c r="D324" s="150">
        <f t="shared" si="55"/>
        <v>0</v>
      </c>
      <c r="E324" s="151">
        <f t="shared" si="60"/>
        <v>0</v>
      </c>
      <c r="F324" s="151">
        <f t="shared" si="66"/>
        <v>0</v>
      </c>
      <c r="G324" s="152">
        <f t="shared" si="61"/>
        <v>0</v>
      </c>
      <c r="H324" s="153">
        <f t="shared" si="56"/>
        <v>0</v>
      </c>
      <c r="I324" s="151">
        <f t="shared" si="67"/>
        <v>0</v>
      </c>
      <c r="J324" s="151">
        <f t="shared" si="62"/>
        <v>0</v>
      </c>
      <c r="K324" s="154">
        <f t="shared" si="63"/>
        <v>0</v>
      </c>
      <c r="L324" s="167"/>
      <c r="M324" s="171"/>
      <c r="N324" s="155">
        <f t="shared" si="57"/>
        <v>7</v>
      </c>
      <c r="O324" s="123">
        <f t="shared" si="64"/>
        <v>24</v>
      </c>
      <c r="P324" s="124">
        <f t="shared" si="58"/>
        <v>0</v>
      </c>
      <c r="Q324" s="125"/>
      <c r="R324" s="125"/>
      <c r="S324" s="125"/>
      <c r="T324" s="125"/>
      <c r="U324" s="125"/>
      <c r="V324" s="125"/>
      <c r="W324" s="125"/>
      <c r="X324" s="125"/>
      <c r="Y324" s="125"/>
      <c r="Z324" s="125"/>
    </row>
    <row r="325" spans="1:26">
      <c r="A325" s="147">
        <v>318</v>
      </c>
      <c r="B325" s="148" t="str">
        <f t="shared" si="59"/>
        <v>27-й год 6-й мес</v>
      </c>
      <c r="C325" s="149">
        <f t="shared" si="65"/>
        <v>50870</v>
      </c>
      <c r="D325" s="150">
        <f t="shared" si="55"/>
        <v>0</v>
      </c>
      <c r="E325" s="151">
        <f t="shared" si="60"/>
        <v>0</v>
      </c>
      <c r="F325" s="151">
        <f t="shared" si="66"/>
        <v>0</v>
      </c>
      <c r="G325" s="152">
        <f t="shared" si="61"/>
        <v>0</v>
      </c>
      <c r="H325" s="153">
        <f t="shared" si="56"/>
        <v>0</v>
      </c>
      <c r="I325" s="151">
        <f t="shared" si="67"/>
        <v>0</v>
      </c>
      <c r="J325" s="151">
        <f t="shared" si="62"/>
        <v>0</v>
      </c>
      <c r="K325" s="154">
        <f t="shared" si="63"/>
        <v>0</v>
      </c>
      <c r="L325" s="167"/>
      <c r="M325" s="171"/>
      <c r="N325" s="155">
        <f t="shared" si="57"/>
        <v>7</v>
      </c>
      <c r="O325" s="123">
        <f t="shared" si="64"/>
        <v>24</v>
      </c>
      <c r="P325" s="124">
        <f t="shared" si="58"/>
        <v>0</v>
      </c>
      <c r="Q325" s="125"/>
      <c r="R325" s="125"/>
      <c r="S325" s="125"/>
      <c r="T325" s="125"/>
      <c r="U325" s="125"/>
      <c r="V325" s="125"/>
      <c r="W325" s="125"/>
      <c r="X325" s="125"/>
      <c r="Y325" s="125"/>
      <c r="Z325" s="125"/>
    </row>
    <row r="326" spans="1:26">
      <c r="A326" s="147">
        <v>319</v>
      </c>
      <c r="B326" s="148" t="str">
        <f t="shared" si="59"/>
        <v>27-й год 7-й мес</v>
      </c>
      <c r="C326" s="149">
        <f t="shared" si="65"/>
        <v>50900</v>
      </c>
      <c r="D326" s="150">
        <f t="shared" si="55"/>
        <v>0</v>
      </c>
      <c r="E326" s="151">
        <f t="shared" si="60"/>
        <v>0</v>
      </c>
      <c r="F326" s="151">
        <f t="shared" si="66"/>
        <v>0</v>
      </c>
      <c r="G326" s="152">
        <f t="shared" si="61"/>
        <v>0</v>
      </c>
      <c r="H326" s="153">
        <f t="shared" si="56"/>
        <v>0</v>
      </c>
      <c r="I326" s="151">
        <f t="shared" si="67"/>
        <v>0</v>
      </c>
      <c r="J326" s="151">
        <f t="shared" si="62"/>
        <v>0</v>
      </c>
      <c r="K326" s="154">
        <f t="shared" si="63"/>
        <v>0</v>
      </c>
      <c r="L326" s="167"/>
      <c r="M326" s="171"/>
      <c r="N326" s="155">
        <f t="shared" si="57"/>
        <v>7</v>
      </c>
      <c r="O326" s="123">
        <f t="shared" si="64"/>
        <v>24</v>
      </c>
      <c r="P326" s="124">
        <f t="shared" si="58"/>
        <v>0</v>
      </c>
      <c r="Q326" s="125"/>
      <c r="R326" s="125"/>
      <c r="S326" s="125"/>
      <c r="T326" s="125"/>
      <c r="U326" s="125"/>
      <c r="V326" s="125"/>
      <c r="W326" s="125"/>
      <c r="X326" s="125"/>
      <c r="Y326" s="125"/>
      <c r="Z326" s="125"/>
    </row>
    <row r="327" spans="1:26">
      <c r="A327" s="147">
        <v>320</v>
      </c>
      <c r="B327" s="148" t="str">
        <f t="shared" si="59"/>
        <v>27-й год 8-й мес</v>
      </c>
      <c r="C327" s="149">
        <f t="shared" si="65"/>
        <v>50931</v>
      </c>
      <c r="D327" s="150">
        <f t="shared" si="55"/>
        <v>0</v>
      </c>
      <c r="E327" s="151">
        <f t="shared" si="60"/>
        <v>0</v>
      </c>
      <c r="F327" s="151">
        <f t="shared" si="66"/>
        <v>0</v>
      </c>
      <c r="G327" s="152">
        <f t="shared" si="61"/>
        <v>0</v>
      </c>
      <c r="H327" s="153">
        <f t="shared" si="56"/>
        <v>0</v>
      </c>
      <c r="I327" s="151">
        <f t="shared" si="67"/>
        <v>0</v>
      </c>
      <c r="J327" s="151">
        <f t="shared" si="62"/>
        <v>0</v>
      </c>
      <c r="K327" s="154">
        <f t="shared" si="63"/>
        <v>0</v>
      </c>
      <c r="L327" s="167"/>
      <c r="M327" s="171"/>
      <c r="N327" s="155">
        <f t="shared" si="57"/>
        <v>7</v>
      </c>
      <c r="O327" s="123">
        <f t="shared" si="64"/>
        <v>24</v>
      </c>
      <c r="P327" s="124">
        <f t="shared" si="58"/>
        <v>0</v>
      </c>
      <c r="Q327" s="125"/>
      <c r="R327" s="125"/>
      <c r="S327" s="125"/>
      <c r="T327" s="125"/>
      <c r="U327" s="125"/>
      <c r="V327" s="125"/>
      <c r="W327" s="125"/>
      <c r="X327" s="125"/>
      <c r="Y327" s="125"/>
      <c r="Z327" s="125"/>
    </row>
    <row r="328" spans="1:26">
      <c r="A328" s="147">
        <v>321</v>
      </c>
      <c r="B328" s="148" t="str">
        <f t="shared" si="59"/>
        <v>27-й год 9-й мес</v>
      </c>
      <c r="C328" s="149">
        <f t="shared" si="65"/>
        <v>50961</v>
      </c>
      <c r="D328" s="150">
        <f t="shared" ref="D328:D391" si="68">IF(P328*$D$2/100/12/(1-(1+$D$2/100/12)^(-O328))&lt;G327,ROUNDUP(P328*$D$2/100/12/(1-(1+$D$2/100/12)^(-O328)),0),G327+F328)</f>
        <v>0</v>
      </c>
      <c r="E328" s="151">
        <f t="shared" si="60"/>
        <v>0</v>
      </c>
      <c r="F328" s="151">
        <f t="shared" si="66"/>
        <v>0</v>
      </c>
      <c r="G328" s="152">
        <f t="shared" si="61"/>
        <v>0</v>
      </c>
      <c r="H328" s="153">
        <f t="shared" ref="H328:H391" si="69">I328+J328</f>
        <v>0</v>
      </c>
      <c r="I328" s="151">
        <f t="shared" si="67"/>
        <v>0</v>
      </c>
      <c r="J328" s="151">
        <f t="shared" si="62"/>
        <v>0</v>
      </c>
      <c r="K328" s="154">
        <f t="shared" si="63"/>
        <v>0</v>
      </c>
      <c r="L328" s="167"/>
      <c r="M328" s="171"/>
      <c r="N328" s="155">
        <f t="shared" ref="N328:N391" si="70">IF(ISBLANK(L327),VALUE(N327),ROW(L327))</f>
        <v>7</v>
      </c>
      <c r="O328" s="123">
        <f t="shared" si="64"/>
        <v>24</v>
      </c>
      <c r="P328" s="124">
        <f t="shared" ref="P328:P391" si="71">INDEX(G:G,N328,1)</f>
        <v>0</v>
      </c>
      <c r="Q328" s="125"/>
      <c r="R328" s="125"/>
      <c r="S328" s="125"/>
      <c r="T328" s="125"/>
      <c r="U328" s="125"/>
      <c r="V328" s="125"/>
      <c r="W328" s="125"/>
      <c r="X328" s="125"/>
      <c r="Y328" s="125"/>
      <c r="Z328" s="125"/>
    </row>
    <row r="329" spans="1:26">
      <c r="A329" s="147">
        <v>322</v>
      </c>
      <c r="B329" s="148" t="str">
        <f t="shared" ref="B329:B392" si="72">CONCATENATE(INT((A329-1)/12)+1,"-й год ",A329-1-INT((A329-1)/12)*12+1,"-й мес")</f>
        <v>27-й год 10-й мес</v>
      </c>
      <c r="C329" s="149">
        <f t="shared" si="65"/>
        <v>50992</v>
      </c>
      <c r="D329" s="150">
        <f t="shared" si="68"/>
        <v>0</v>
      </c>
      <c r="E329" s="151">
        <f t="shared" ref="E329:E392" si="73">D329-F329</f>
        <v>0</v>
      </c>
      <c r="F329" s="151">
        <f t="shared" si="66"/>
        <v>0</v>
      </c>
      <c r="G329" s="152">
        <f t="shared" ref="G329:G392" si="74">G328-E329-L329-M329</f>
        <v>0</v>
      </c>
      <c r="H329" s="153">
        <f t="shared" si="69"/>
        <v>0</v>
      </c>
      <c r="I329" s="151">
        <f t="shared" si="67"/>
        <v>0</v>
      </c>
      <c r="J329" s="151">
        <f t="shared" ref="J329:J392" si="75">K328*$D$2/12/100</f>
        <v>0</v>
      </c>
      <c r="K329" s="154">
        <f t="shared" ref="K329:K392" si="76">K328-I329-L329-M329</f>
        <v>0</v>
      </c>
      <c r="L329" s="167"/>
      <c r="M329" s="171"/>
      <c r="N329" s="155">
        <f t="shared" si="70"/>
        <v>7</v>
      </c>
      <c r="O329" s="123">
        <f t="shared" ref="O329:O392" si="77">O328+N328-N329</f>
        <v>24</v>
      </c>
      <c r="P329" s="124">
        <f t="shared" si="71"/>
        <v>0</v>
      </c>
      <c r="Q329" s="125"/>
      <c r="R329" s="125"/>
      <c r="S329" s="125"/>
      <c r="T329" s="125"/>
      <c r="U329" s="125"/>
      <c r="V329" s="125"/>
      <c r="W329" s="125"/>
      <c r="X329" s="125"/>
      <c r="Y329" s="125"/>
      <c r="Z329" s="125"/>
    </row>
    <row r="330" spans="1:26">
      <c r="A330" s="147">
        <v>323</v>
      </c>
      <c r="B330" s="148" t="str">
        <f t="shared" si="72"/>
        <v>27-й год 11-й мес</v>
      </c>
      <c r="C330" s="149">
        <f t="shared" ref="C330:C393" si="78">DATE(YEAR(C329),MONTH(C329)+1,DAY(C329))</f>
        <v>51023</v>
      </c>
      <c r="D330" s="150">
        <f t="shared" si="68"/>
        <v>0</v>
      </c>
      <c r="E330" s="151">
        <f t="shared" si="73"/>
        <v>0</v>
      </c>
      <c r="F330" s="151">
        <f t="shared" ref="F330:F393" si="79">G329*$D$2*(C330-C329)/(DATE(YEAR(C330)+1,1,1)-DATE(YEAR(C330),1,1))/100</f>
        <v>0</v>
      </c>
      <c r="G330" s="152">
        <f t="shared" si="74"/>
        <v>0</v>
      </c>
      <c r="H330" s="153">
        <f t="shared" si="69"/>
        <v>0</v>
      </c>
      <c r="I330" s="151">
        <f t="shared" ref="I330:I393" si="80">IF($D$1/$D$3&lt;K329,$D$1/$D$3,K329)</f>
        <v>0</v>
      </c>
      <c r="J330" s="151">
        <f t="shared" si="75"/>
        <v>0</v>
      </c>
      <c r="K330" s="154">
        <f t="shared" si="76"/>
        <v>0</v>
      </c>
      <c r="L330" s="167"/>
      <c r="M330" s="171"/>
      <c r="N330" s="155">
        <f t="shared" si="70"/>
        <v>7</v>
      </c>
      <c r="O330" s="123">
        <f t="shared" si="77"/>
        <v>24</v>
      </c>
      <c r="P330" s="124">
        <f t="shared" si="71"/>
        <v>0</v>
      </c>
      <c r="Q330" s="125"/>
      <c r="R330" s="125"/>
      <c r="S330" s="125"/>
      <c r="T330" s="125"/>
      <c r="U330" s="125"/>
      <c r="V330" s="125"/>
      <c r="W330" s="125"/>
      <c r="X330" s="125"/>
      <c r="Y330" s="125"/>
      <c r="Z330" s="125"/>
    </row>
    <row r="331" spans="1:26">
      <c r="A331" s="147">
        <v>324</v>
      </c>
      <c r="B331" s="148" t="str">
        <f t="shared" si="72"/>
        <v>27-й год 12-й мес</v>
      </c>
      <c r="C331" s="149">
        <f t="shared" si="78"/>
        <v>51053</v>
      </c>
      <c r="D331" s="150">
        <f t="shared" si="68"/>
        <v>0</v>
      </c>
      <c r="E331" s="151">
        <f t="shared" si="73"/>
        <v>0</v>
      </c>
      <c r="F331" s="151">
        <f t="shared" si="79"/>
        <v>0</v>
      </c>
      <c r="G331" s="152">
        <f t="shared" si="74"/>
        <v>0</v>
      </c>
      <c r="H331" s="153">
        <f t="shared" si="69"/>
        <v>0</v>
      </c>
      <c r="I331" s="151">
        <f t="shared" si="80"/>
        <v>0</v>
      </c>
      <c r="J331" s="151">
        <f t="shared" si="75"/>
        <v>0</v>
      </c>
      <c r="K331" s="154">
        <f t="shared" si="76"/>
        <v>0</v>
      </c>
      <c r="L331" s="167"/>
      <c r="M331" s="171"/>
      <c r="N331" s="155">
        <f t="shared" si="70"/>
        <v>7</v>
      </c>
      <c r="O331" s="123">
        <f t="shared" si="77"/>
        <v>24</v>
      </c>
      <c r="P331" s="124">
        <f t="shared" si="71"/>
        <v>0</v>
      </c>
      <c r="Q331" s="125"/>
      <c r="R331" s="125"/>
      <c r="S331" s="125"/>
      <c r="T331" s="125"/>
      <c r="U331" s="125"/>
      <c r="V331" s="125"/>
      <c r="W331" s="125"/>
      <c r="X331" s="125"/>
      <c r="Y331" s="125"/>
      <c r="Z331" s="125"/>
    </row>
    <row r="332" spans="1:26">
      <c r="A332" s="156">
        <v>325</v>
      </c>
      <c r="B332" s="148" t="str">
        <f t="shared" si="72"/>
        <v>28-й год 1-й мес</v>
      </c>
      <c r="C332" s="149">
        <f t="shared" si="78"/>
        <v>51084</v>
      </c>
      <c r="D332" s="150">
        <f t="shared" si="68"/>
        <v>0</v>
      </c>
      <c r="E332" s="157">
        <f t="shared" si="73"/>
        <v>0</v>
      </c>
      <c r="F332" s="151">
        <f t="shared" si="79"/>
        <v>0</v>
      </c>
      <c r="G332" s="158">
        <f t="shared" si="74"/>
        <v>0</v>
      </c>
      <c r="H332" s="159">
        <f t="shared" si="69"/>
        <v>0</v>
      </c>
      <c r="I332" s="157">
        <f t="shared" si="80"/>
        <v>0</v>
      </c>
      <c r="J332" s="157">
        <f t="shared" si="75"/>
        <v>0</v>
      </c>
      <c r="K332" s="160">
        <f t="shared" si="76"/>
        <v>0</v>
      </c>
      <c r="L332" s="169"/>
      <c r="M332" s="168"/>
      <c r="N332" s="155">
        <f t="shared" si="70"/>
        <v>7</v>
      </c>
      <c r="O332" s="123">
        <f t="shared" si="77"/>
        <v>24</v>
      </c>
      <c r="P332" s="124">
        <f t="shared" si="71"/>
        <v>0</v>
      </c>
      <c r="Q332" s="125"/>
      <c r="R332" s="125"/>
      <c r="S332" s="125"/>
      <c r="T332" s="125"/>
      <c r="U332" s="125"/>
      <c r="V332" s="125"/>
      <c r="W332" s="125"/>
      <c r="X332" s="125"/>
      <c r="Y332" s="125"/>
      <c r="Z332" s="125"/>
    </row>
    <row r="333" spans="1:26">
      <c r="A333" s="161">
        <v>326</v>
      </c>
      <c r="B333" s="148" t="str">
        <f t="shared" si="72"/>
        <v>28-й год 2-й мес</v>
      </c>
      <c r="C333" s="149">
        <f t="shared" si="78"/>
        <v>51114</v>
      </c>
      <c r="D333" s="150">
        <f t="shared" si="68"/>
        <v>0</v>
      </c>
      <c r="E333" s="151">
        <f t="shared" si="73"/>
        <v>0</v>
      </c>
      <c r="F333" s="151">
        <f t="shared" si="79"/>
        <v>0</v>
      </c>
      <c r="G333" s="152">
        <f t="shared" si="74"/>
        <v>0</v>
      </c>
      <c r="H333" s="153">
        <f t="shared" si="69"/>
        <v>0</v>
      </c>
      <c r="I333" s="151">
        <f t="shared" si="80"/>
        <v>0</v>
      </c>
      <c r="J333" s="151">
        <f t="shared" si="75"/>
        <v>0</v>
      </c>
      <c r="K333" s="154">
        <f t="shared" si="76"/>
        <v>0</v>
      </c>
      <c r="L333" s="167"/>
      <c r="M333" s="171"/>
      <c r="N333" s="155">
        <f t="shared" si="70"/>
        <v>7</v>
      </c>
      <c r="O333" s="123">
        <f t="shared" si="77"/>
        <v>24</v>
      </c>
      <c r="P333" s="124">
        <f t="shared" si="71"/>
        <v>0</v>
      </c>
      <c r="Q333" s="125"/>
      <c r="R333" s="125"/>
      <c r="S333" s="125"/>
      <c r="T333" s="125"/>
      <c r="U333" s="125"/>
      <c r="V333" s="125"/>
      <c r="W333" s="125"/>
      <c r="X333" s="125"/>
      <c r="Y333" s="125"/>
      <c r="Z333" s="125"/>
    </row>
    <row r="334" spans="1:26">
      <c r="A334" s="161">
        <v>327</v>
      </c>
      <c r="B334" s="148" t="str">
        <f t="shared" si="72"/>
        <v>28-й год 3-й мес</v>
      </c>
      <c r="C334" s="149">
        <f t="shared" si="78"/>
        <v>51145</v>
      </c>
      <c r="D334" s="150">
        <f t="shared" si="68"/>
        <v>0</v>
      </c>
      <c r="E334" s="151">
        <f t="shared" si="73"/>
        <v>0</v>
      </c>
      <c r="F334" s="151">
        <f t="shared" si="79"/>
        <v>0</v>
      </c>
      <c r="G334" s="152">
        <f t="shared" si="74"/>
        <v>0</v>
      </c>
      <c r="H334" s="153">
        <f t="shared" si="69"/>
        <v>0</v>
      </c>
      <c r="I334" s="151">
        <f t="shared" si="80"/>
        <v>0</v>
      </c>
      <c r="J334" s="151">
        <f t="shared" si="75"/>
        <v>0</v>
      </c>
      <c r="K334" s="154">
        <f t="shared" si="76"/>
        <v>0</v>
      </c>
      <c r="L334" s="167"/>
      <c r="M334" s="171"/>
      <c r="N334" s="155">
        <f t="shared" si="70"/>
        <v>7</v>
      </c>
      <c r="O334" s="123">
        <f t="shared" si="77"/>
        <v>24</v>
      </c>
      <c r="P334" s="124">
        <f t="shared" si="71"/>
        <v>0</v>
      </c>
      <c r="Q334" s="125"/>
      <c r="R334" s="125"/>
      <c r="S334" s="125"/>
      <c r="T334" s="125"/>
      <c r="U334" s="125"/>
      <c r="V334" s="125"/>
      <c r="W334" s="125"/>
      <c r="X334" s="125"/>
      <c r="Y334" s="125"/>
      <c r="Z334" s="125"/>
    </row>
    <row r="335" spans="1:26">
      <c r="A335" s="161">
        <v>328</v>
      </c>
      <c r="B335" s="148" t="str">
        <f t="shared" si="72"/>
        <v>28-й год 4-й мес</v>
      </c>
      <c r="C335" s="149">
        <f t="shared" si="78"/>
        <v>51176</v>
      </c>
      <c r="D335" s="150">
        <f t="shared" si="68"/>
        <v>0</v>
      </c>
      <c r="E335" s="151">
        <f t="shared" si="73"/>
        <v>0</v>
      </c>
      <c r="F335" s="151">
        <f t="shared" si="79"/>
        <v>0</v>
      </c>
      <c r="G335" s="152">
        <f t="shared" si="74"/>
        <v>0</v>
      </c>
      <c r="H335" s="153">
        <f t="shared" si="69"/>
        <v>0</v>
      </c>
      <c r="I335" s="151">
        <f t="shared" si="80"/>
        <v>0</v>
      </c>
      <c r="J335" s="151">
        <f t="shared" si="75"/>
        <v>0</v>
      </c>
      <c r="K335" s="154">
        <f t="shared" si="76"/>
        <v>0</v>
      </c>
      <c r="L335" s="167"/>
      <c r="M335" s="171"/>
      <c r="N335" s="155">
        <f t="shared" si="70"/>
        <v>7</v>
      </c>
      <c r="O335" s="123">
        <f t="shared" si="77"/>
        <v>24</v>
      </c>
      <c r="P335" s="124">
        <f t="shared" si="71"/>
        <v>0</v>
      </c>
      <c r="Q335" s="125"/>
      <c r="R335" s="125"/>
      <c r="S335" s="125"/>
      <c r="T335" s="125"/>
      <c r="U335" s="125"/>
      <c r="V335" s="125"/>
      <c r="W335" s="125"/>
      <c r="X335" s="125"/>
      <c r="Y335" s="125"/>
      <c r="Z335" s="125"/>
    </row>
    <row r="336" spans="1:26">
      <c r="A336" s="161">
        <v>329</v>
      </c>
      <c r="B336" s="148" t="str">
        <f t="shared" si="72"/>
        <v>28-й год 5-й мес</v>
      </c>
      <c r="C336" s="149">
        <f t="shared" si="78"/>
        <v>51205</v>
      </c>
      <c r="D336" s="150">
        <f t="shared" si="68"/>
        <v>0</v>
      </c>
      <c r="E336" s="151">
        <f t="shared" si="73"/>
        <v>0</v>
      </c>
      <c r="F336" s="151">
        <f t="shared" si="79"/>
        <v>0</v>
      </c>
      <c r="G336" s="152">
        <f t="shared" si="74"/>
        <v>0</v>
      </c>
      <c r="H336" s="153">
        <f t="shared" si="69"/>
        <v>0</v>
      </c>
      <c r="I336" s="151">
        <f t="shared" si="80"/>
        <v>0</v>
      </c>
      <c r="J336" s="151">
        <f t="shared" si="75"/>
        <v>0</v>
      </c>
      <c r="K336" s="154">
        <f t="shared" si="76"/>
        <v>0</v>
      </c>
      <c r="L336" s="167"/>
      <c r="M336" s="171"/>
      <c r="N336" s="155">
        <f t="shared" si="70"/>
        <v>7</v>
      </c>
      <c r="O336" s="123">
        <f t="shared" si="77"/>
        <v>24</v>
      </c>
      <c r="P336" s="124">
        <f t="shared" si="71"/>
        <v>0</v>
      </c>
      <c r="Q336" s="125"/>
      <c r="R336" s="125"/>
      <c r="S336" s="125"/>
      <c r="T336" s="125"/>
      <c r="U336" s="125"/>
      <c r="V336" s="125"/>
      <c r="W336" s="125"/>
      <c r="X336" s="125"/>
      <c r="Y336" s="125"/>
      <c r="Z336" s="125"/>
    </row>
    <row r="337" spans="1:26">
      <c r="A337" s="161">
        <v>330</v>
      </c>
      <c r="B337" s="148" t="str">
        <f t="shared" si="72"/>
        <v>28-й год 6-й мес</v>
      </c>
      <c r="C337" s="149">
        <f t="shared" si="78"/>
        <v>51236</v>
      </c>
      <c r="D337" s="150">
        <f t="shared" si="68"/>
        <v>0</v>
      </c>
      <c r="E337" s="151">
        <f t="shared" si="73"/>
        <v>0</v>
      </c>
      <c r="F337" s="151">
        <f t="shared" si="79"/>
        <v>0</v>
      </c>
      <c r="G337" s="152">
        <f t="shared" si="74"/>
        <v>0</v>
      </c>
      <c r="H337" s="153">
        <f t="shared" si="69"/>
        <v>0</v>
      </c>
      <c r="I337" s="151">
        <f t="shared" si="80"/>
        <v>0</v>
      </c>
      <c r="J337" s="151">
        <f t="shared" si="75"/>
        <v>0</v>
      </c>
      <c r="K337" s="154">
        <f t="shared" si="76"/>
        <v>0</v>
      </c>
      <c r="L337" s="167"/>
      <c r="M337" s="171"/>
      <c r="N337" s="155">
        <f t="shared" si="70"/>
        <v>7</v>
      </c>
      <c r="O337" s="123">
        <f t="shared" si="77"/>
        <v>24</v>
      </c>
      <c r="P337" s="124">
        <f t="shared" si="71"/>
        <v>0</v>
      </c>
      <c r="Q337" s="125"/>
      <c r="R337" s="125"/>
      <c r="S337" s="125"/>
      <c r="T337" s="125"/>
      <c r="U337" s="125"/>
      <c r="V337" s="125"/>
      <c r="W337" s="125"/>
      <c r="X337" s="125"/>
      <c r="Y337" s="125"/>
      <c r="Z337" s="125"/>
    </row>
    <row r="338" spans="1:26">
      <c r="A338" s="161">
        <v>331</v>
      </c>
      <c r="B338" s="148" t="str">
        <f t="shared" si="72"/>
        <v>28-й год 7-й мес</v>
      </c>
      <c r="C338" s="149">
        <f t="shared" si="78"/>
        <v>51266</v>
      </c>
      <c r="D338" s="150">
        <f t="shared" si="68"/>
        <v>0</v>
      </c>
      <c r="E338" s="151">
        <f t="shared" si="73"/>
        <v>0</v>
      </c>
      <c r="F338" s="151">
        <f t="shared" si="79"/>
        <v>0</v>
      </c>
      <c r="G338" s="152">
        <f t="shared" si="74"/>
        <v>0</v>
      </c>
      <c r="H338" s="153">
        <f t="shared" si="69"/>
        <v>0</v>
      </c>
      <c r="I338" s="151">
        <f t="shared" si="80"/>
        <v>0</v>
      </c>
      <c r="J338" s="151">
        <f t="shared" si="75"/>
        <v>0</v>
      </c>
      <c r="K338" s="154">
        <f t="shared" si="76"/>
        <v>0</v>
      </c>
      <c r="L338" s="167"/>
      <c r="M338" s="171"/>
      <c r="N338" s="155">
        <f t="shared" si="70"/>
        <v>7</v>
      </c>
      <c r="O338" s="123">
        <f t="shared" si="77"/>
        <v>24</v>
      </c>
      <c r="P338" s="124">
        <f t="shared" si="71"/>
        <v>0</v>
      </c>
      <c r="Q338" s="125"/>
      <c r="R338" s="125"/>
      <c r="S338" s="125"/>
      <c r="T338" s="125"/>
      <c r="U338" s="125"/>
      <c r="V338" s="125"/>
      <c r="W338" s="125"/>
      <c r="X338" s="125"/>
      <c r="Y338" s="125"/>
      <c r="Z338" s="125"/>
    </row>
    <row r="339" spans="1:26">
      <c r="A339" s="161">
        <v>332</v>
      </c>
      <c r="B339" s="148" t="str">
        <f t="shared" si="72"/>
        <v>28-й год 8-й мес</v>
      </c>
      <c r="C339" s="149">
        <f t="shared" si="78"/>
        <v>51297</v>
      </c>
      <c r="D339" s="150">
        <f t="shared" si="68"/>
        <v>0</v>
      </c>
      <c r="E339" s="151">
        <f t="shared" si="73"/>
        <v>0</v>
      </c>
      <c r="F339" s="151">
        <f t="shared" si="79"/>
        <v>0</v>
      </c>
      <c r="G339" s="152">
        <f t="shared" si="74"/>
        <v>0</v>
      </c>
      <c r="H339" s="153">
        <f t="shared" si="69"/>
        <v>0</v>
      </c>
      <c r="I339" s="151">
        <f t="shared" si="80"/>
        <v>0</v>
      </c>
      <c r="J339" s="151">
        <f t="shared" si="75"/>
        <v>0</v>
      </c>
      <c r="K339" s="154">
        <f t="shared" si="76"/>
        <v>0</v>
      </c>
      <c r="L339" s="167"/>
      <c r="M339" s="171"/>
      <c r="N339" s="155">
        <f t="shared" si="70"/>
        <v>7</v>
      </c>
      <c r="O339" s="123">
        <f t="shared" si="77"/>
        <v>24</v>
      </c>
      <c r="P339" s="124">
        <f t="shared" si="71"/>
        <v>0</v>
      </c>
      <c r="Q339" s="125"/>
      <c r="R339" s="125"/>
      <c r="S339" s="125"/>
      <c r="T339" s="125"/>
      <c r="U339" s="125"/>
      <c r="V339" s="125"/>
      <c r="W339" s="125"/>
      <c r="X339" s="125"/>
      <c r="Y339" s="125"/>
      <c r="Z339" s="125"/>
    </row>
    <row r="340" spans="1:26">
      <c r="A340" s="161">
        <v>333</v>
      </c>
      <c r="B340" s="148" t="str">
        <f t="shared" si="72"/>
        <v>28-й год 9-й мес</v>
      </c>
      <c r="C340" s="149">
        <f t="shared" si="78"/>
        <v>51327</v>
      </c>
      <c r="D340" s="150">
        <f t="shared" si="68"/>
        <v>0</v>
      </c>
      <c r="E340" s="151">
        <f t="shared" si="73"/>
        <v>0</v>
      </c>
      <c r="F340" s="151">
        <f t="shared" si="79"/>
        <v>0</v>
      </c>
      <c r="G340" s="152">
        <f t="shared" si="74"/>
        <v>0</v>
      </c>
      <c r="H340" s="153">
        <f t="shared" si="69"/>
        <v>0</v>
      </c>
      <c r="I340" s="151">
        <f t="shared" si="80"/>
        <v>0</v>
      </c>
      <c r="J340" s="151">
        <f t="shared" si="75"/>
        <v>0</v>
      </c>
      <c r="K340" s="154">
        <f t="shared" si="76"/>
        <v>0</v>
      </c>
      <c r="L340" s="167"/>
      <c r="M340" s="171"/>
      <c r="N340" s="155">
        <f t="shared" si="70"/>
        <v>7</v>
      </c>
      <c r="O340" s="123">
        <f t="shared" si="77"/>
        <v>24</v>
      </c>
      <c r="P340" s="124">
        <f t="shared" si="71"/>
        <v>0</v>
      </c>
      <c r="Q340" s="125"/>
      <c r="R340" s="125"/>
      <c r="S340" s="125"/>
      <c r="T340" s="125"/>
      <c r="U340" s="125"/>
      <c r="V340" s="125"/>
      <c r="W340" s="125"/>
      <c r="X340" s="125"/>
      <c r="Y340" s="125"/>
      <c r="Z340" s="125"/>
    </row>
    <row r="341" spans="1:26">
      <c r="A341" s="161">
        <v>334</v>
      </c>
      <c r="B341" s="148" t="str">
        <f t="shared" si="72"/>
        <v>28-й год 10-й мес</v>
      </c>
      <c r="C341" s="149">
        <f t="shared" si="78"/>
        <v>51358</v>
      </c>
      <c r="D341" s="150">
        <f t="shared" si="68"/>
        <v>0</v>
      </c>
      <c r="E341" s="151">
        <f t="shared" si="73"/>
        <v>0</v>
      </c>
      <c r="F341" s="151">
        <f t="shared" si="79"/>
        <v>0</v>
      </c>
      <c r="G341" s="152">
        <f t="shared" si="74"/>
        <v>0</v>
      </c>
      <c r="H341" s="153">
        <f t="shared" si="69"/>
        <v>0</v>
      </c>
      <c r="I341" s="151">
        <f t="shared" si="80"/>
        <v>0</v>
      </c>
      <c r="J341" s="151">
        <f t="shared" si="75"/>
        <v>0</v>
      </c>
      <c r="K341" s="154">
        <f t="shared" si="76"/>
        <v>0</v>
      </c>
      <c r="L341" s="167"/>
      <c r="M341" s="171"/>
      <c r="N341" s="155">
        <f t="shared" si="70"/>
        <v>7</v>
      </c>
      <c r="O341" s="123">
        <f t="shared" si="77"/>
        <v>24</v>
      </c>
      <c r="P341" s="124">
        <f t="shared" si="71"/>
        <v>0</v>
      </c>
      <c r="Q341" s="125"/>
      <c r="R341" s="125"/>
      <c r="S341" s="125"/>
      <c r="T341" s="125"/>
      <c r="U341" s="125"/>
      <c r="V341" s="125"/>
      <c r="W341" s="125"/>
      <c r="X341" s="125"/>
      <c r="Y341" s="125"/>
      <c r="Z341" s="125"/>
    </row>
    <row r="342" spans="1:26">
      <c r="A342" s="161">
        <v>335</v>
      </c>
      <c r="B342" s="148" t="str">
        <f t="shared" si="72"/>
        <v>28-й год 11-й мес</v>
      </c>
      <c r="C342" s="149">
        <f t="shared" si="78"/>
        <v>51389</v>
      </c>
      <c r="D342" s="150">
        <f t="shared" si="68"/>
        <v>0</v>
      </c>
      <c r="E342" s="151">
        <f t="shared" si="73"/>
        <v>0</v>
      </c>
      <c r="F342" s="151">
        <f t="shared" si="79"/>
        <v>0</v>
      </c>
      <c r="G342" s="152">
        <f t="shared" si="74"/>
        <v>0</v>
      </c>
      <c r="H342" s="153">
        <f t="shared" si="69"/>
        <v>0</v>
      </c>
      <c r="I342" s="151">
        <f t="shared" si="80"/>
        <v>0</v>
      </c>
      <c r="J342" s="151">
        <f t="shared" si="75"/>
        <v>0</v>
      </c>
      <c r="K342" s="154">
        <f t="shared" si="76"/>
        <v>0</v>
      </c>
      <c r="L342" s="167"/>
      <c r="M342" s="171"/>
      <c r="N342" s="155">
        <f t="shared" si="70"/>
        <v>7</v>
      </c>
      <c r="O342" s="123">
        <f t="shared" si="77"/>
        <v>24</v>
      </c>
      <c r="P342" s="124">
        <f t="shared" si="71"/>
        <v>0</v>
      </c>
      <c r="Q342" s="125"/>
      <c r="R342" s="125"/>
      <c r="S342" s="125"/>
      <c r="T342" s="125"/>
      <c r="U342" s="125"/>
      <c r="V342" s="125"/>
      <c r="W342" s="125"/>
      <c r="X342" s="125"/>
      <c r="Y342" s="125"/>
      <c r="Z342" s="125"/>
    </row>
    <row r="343" spans="1:26">
      <c r="A343" s="162">
        <v>336</v>
      </c>
      <c r="B343" s="148" t="str">
        <f t="shared" si="72"/>
        <v>28-й год 12-й мес</v>
      </c>
      <c r="C343" s="149">
        <f t="shared" si="78"/>
        <v>51419</v>
      </c>
      <c r="D343" s="150">
        <f t="shared" si="68"/>
        <v>0</v>
      </c>
      <c r="E343" s="163">
        <f t="shared" si="73"/>
        <v>0</v>
      </c>
      <c r="F343" s="151">
        <f t="shared" si="79"/>
        <v>0</v>
      </c>
      <c r="G343" s="164">
        <f t="shared" si="74"/>
        <v>0</v>
      </c>
      <c r="H343" s="165">
        <f t="shared" si="69"/>
        <v>0</v>
      </c>
      <c r="I343" s="163">
        <f t="shared" si="80"/>
        <v>0</v>
      </c>
      <c r="J343" s="163">
        <f t="shared" si="75"/>
        <v>0</v>
      </c>
      <c r="K343" s="166">
        <f t="shared" si="76"/>
        <v>0</v>
      </c>
      <c r="L343" s="170"/>
      <c r="M343" s="172"/>
      <c r="N343" s="155">
        <f t="shared" si="70"/>
        <v>7</v>
      </c>
      <c r="O343" s="123">
        <f t="shared" si="77"/>
        <v>24</v>
      </c>
      <c r="P343" s="124">
        <f t="shared" si="71"/>
        <v>0</v>
      </c>
      <c r="Q343" s="125"/>
      <c r="R343" s="125"/>
      <c r="S343" s="125"/>
      <c r="T343" s="125"/>
      <c r="U343" s="125"/>
      <c r="V343" s="125"/>
      <c r="W343" s="125"/>
      <c r="X343" s="125"/>
      <c r="Y343" s="125"/>
      <c r="Z343" s="125"/>
    </row>
    <row r="344" spans="1:26">
      <c r="A344" s="147">
        <v>337</v>
      </c>
      <c r="B344" s="148" t="str">
        <f t="shared" si="72"/>
        <v>29-й год 1-й мес</v>
      </c>
      <c r="C344" s="149">
        <f t="shared" si="78"/>
        <v>51450</v>
      </c>
      <c r="D344" s="150">
        <f t="shared" si="68"/>
        <v>0</v>
      </c>
      <c r="E344" s="151">
        <f t="shared" si="73"/>
        <v>0</v>
      </c>
      <c r="F344" s="151">
        <f t="shared" si="79"/>
        <v>0</v>
      </c>
      <c r="G344" s="152">
        <f t="shared" si="74"/>
        <v>0</v>
      </c>
      <c r="H344" s="153">
        <f t="shared" si="69"/>
        <v>0</v>
      </c>
      <c r="I344" s="151">
        <f t="shared" si="80"/>
        <v>0</v>
      </c>
      <c r="J344" s="151">
        <f t="shared" si="75"/>
        <v>0</v>
      </c>
      <c r="K344" s="154">
        <f t="shared" si="76"/>
        <v>0</v>
      </c>
      <c r="L344" s="167"/>
      <c r="M344" s="171"/>
      <c r="N344" s="155">
        <f t="shared" si="70"/>
        <v>7</v>
      </c>
      <c r="O344" s="123">
        <f t="shared" si="77"/>
        <v>24</v>
      </c>
      <c r="P344" s="124">
        <f t="shared" si="71"/>
        <v>0</v>
      </c>
      <c r="Q344" s="125"/>
      <c r="R344" s="125"/>
      <c r="S344" s="125"/>
      <c r="T344" s="125"/>
      <c r="U344" s="125"/>
      <c r="V344" s="125"/>
      <c r="W344" s="125"/>
      <c r="X344" s="125"/>
      <c r="Y344" s="125"/>
      <c r="Z344" s="125"/>
    </row>
    <row r="345" spans="1:26">
      <c r="A345" s="147">
        <v>338</v>
      </c>
      <c r="B345" s="148" t="str">
        <f t="shared" si="72"/>
        <v>29-й год 2-й мес</v>
      </c>
      <c r="C345" s="149">
        <f t="shared" si="78"/>
        <v>51480</v>
      </c>
      <c r="D345" s="150">
        <f t="shared" si="68"/>
        <v>0</v>
      </c>
      <c r="E345" s="151">
        <f t="shared" si="73"/>
        <v>0</v>
      </c>
      <c r="F345" s="151">
        <f t="shared" si="79"/>
        <v>0</v>
      </c>
      <c r="G345" s="152">
        <f t="shared" si="74"/>
        <v>0</v>
      </c>
      <c r="H345" s="153">
        <f t="shared" si="69"/>
        <v>0</v>
      </c>
      <c r="I345" s="151">
        <f t="shared" si="80"/>
        <v>0</v>
      </c>
      <c r="J345" s="151">
        <f t="shared" si="75"/>
        <v>0</v>
      </c>
      <c r="K345" s="154">
        <f t="shared" si="76"/>
        <v>0</v>
      </c>
      <c r="L345" s="167"/>
      <c r="M345" s="171"/>
      <c r="N345" s="155">
        <f t="shared" si="70"/>
        <v>7</v>
      </c>
      <c r="O345" s="123">
        <f t="shared" si="77"/>
        <v>24</v>
      </c>
      <c r="P345" s="124">
        <f t="shared" si="71"/>
        <v>0</v>
      </c>
      <c r="Q345" s="125"/>
      <c r="R345" s="125"/>
      <c r="S345" s="125"/>
      <c r="T345" s="125"/>
      <c r="U345" s="125"/>
      <c r="V345" s="125"/>
      <c r="W345" s="125"/>
      <c r="X345" s="125"/>
      <c r="Y345" s="125"/>
      <c r="Z345" s="125"/>
    </row>
    <row r="346" spans="1:26">
      <c r="A346" s="147">
        <v>339</v>
      </c>
      <c r="B346" s="148" t="str">
        <f t="shared" si="72"/>
        <v>29-й год 3-й мес</v>
      </c>
      <c r="C346" s="149">
        <f t="shared" si="78"/>
        <v>51511</v>
      </c>
      <c r="D346" s="150">
        <f t="shared" si="68"/>
        <v>0</v>
      </c>
      <c r="E346" s="151">
        <f t="shared" si="73"/>
        <v>0</v>
      </c>
      <c r="F346" s="151">
        <f t="shared" si="79"/>
        <v>0</v>
      </c>
      <c r="G346" s="152">
        <f t="shared" si="74"/>
        <v>0</v>
      </c>
      <c r="H346" s="153">
        <f t="shared" si="69"/>
        <v>0</v>
      </c>
      <c r="I346" s="151">
        <f t="shared" si="80"/>
        <v>0</v>
      </c>
      <c r="J346" s="151">
        <f t="shared" si="75"/>
        <v>0</v>
      </c>
      <c r="K346" s="154">
        <f t="shared" si="76"/>
        <v>0</v>
      </c>
      <c r="L346" s="167"/>
      <c r="M346" s="171"/>
      <c r="N346" s="155">
        <f t="shared" si="70"/>
        <v>7</v>
      </c>
      <c r="O346" s="123">
        <f t="shared" si="77"/>
        <v>24</v>
      </c>
      <c r="P346" s="124">
        <f t="shared" si="71"/>
        <v>0</v>
      </c>
      <c r="Q346" s="125"/>
      <c r="R346" s="125"/>
      <c r="S346" s="125"/>
      <c r="T346" s="125"/>
      <c r="U346" s="125"/>
      <c r="V346" s="125"/>
      <c r="W346" s="125"/>
      <c r="X346" s="125"/>
      <c r="Y346" s="125"/>
      <c r="Z346" s="125"/>
    </row>
    <row r="347" spans="1:26">
      <c r="A347" s="147">
        <v>340</v>
      </c>
      <c r="B347" s="148" t="str">
        <f t="shared" si="72"/>
        <v>29-й год 4-й мес</v>
      </c>
      <c r="C347" s="149">
        <f t="shared" si="78"/>
        <v>51542</v>
      </c>
      <c r="D347" s="150">
        <f t="shared" si="68"/>
        <v>0</v>
      </c>
      <c r="E347" s="151">
        <f t="shared" si="73"/>
        <v>0</v>
      </c>
      <c r="F347" s="151">
        <f t="shared" si="79"/>
        <v>0</v>
      </c>
      <c r="G347" s="152">
        <f t="shared" si="74"/>
        <v>0</v>
      </c>
      <c r="H347" s="153">
        <f t="shared" si="69"/>
        <v>0</v>
      </c>
      <c r="I347" s="151">
        <f t="shared" si="80"/>
        <v>0</v>
      </c>
      <c r="J347" s="151">
        <f t="shared" si="75"/>
        <v>0</v>
      </c>
      <c r="K347" s="154">
        <f t="shared" si="76"/>
        <v>0</v>
      </c>
      <c r="L347" s="167"/>
      <c r="M347" s="171"/>
      <c r="N347" s="155">
        <f t="shared" si="70"/>
        <v>7</v>
      </c>
      <c r="O347" s="123">
        <f t="shared" si="77"/>
        <v>24</v>
      </c>
      <c r="P347" s="124">
        <f t="shared" si="71"/>
        <v>0</v>
      </c>
      <c r="Q347" s="125"/>
      <c r="R347" s="125"/>
      <c r="S347" s="125"/>
      <c r="T347" s="125"/>
      <c r="U347" s="125"/>
      <c r="V347" s="125"/>
      <c r="W347" s="125"/>
      <c r="X347" s="125"/>
      <c r="Y347" s="125"/>
      <c r="Z347" s="125"/>
    </row>
    <row r="348" spans="1:26">
      <c r="A348" s="147">
        <v>341</v>
      </c>
      <c r="B348" s="148" t="str">
        <f t="shared" si="72"/>
        <v>29-й год 5-й мес</v>
      </c>
      <c r="C348" s="149">
        <f t="shared" si="78"/>
        <v>51570</v>
      </c>
      <c r="D348" s="150">
        <f t="shared" si="68"/>
        <v>0</v>
      </c>
      <c r="E348" s="151">
        <f t="shared" si="73"/>
        <v>0</v>
      </c>
      <c r="F348" s="151">
        <f t="shared" si="79"/>
        <v>0</v>
      </c>
      <c r="G348" s="152">
        <f t="shared" si="74"/>
        <v>0</v>
      </c>
      <c r="H348" s="153">
        <f t="shared" si="69"/>
        <v>0</v>
      </c>
      <c r="I348" s="151">
        <f t="shared" si="80"/>
        <v>0</v>
      </c>
      <c r="J348" s="151">
        <f t="shared" si="75"/>
        <v>0</v>
      </c>
      <c r="K348" s="154">
        <f t="shared" si="76"/>
        <v>0</v>
      </c>
      <c r="L348" s="167"/>
      <c r="M348" s="171"/>
      <c r="N348" s="155">
        <f t="shared" si="70"/>
        <v>7</v>
      </c>
      <c r="O348" s="123">
        <f t="shared" si="77"/>
        <v>24</v>
      </c>
      <c r="P348" s="124">
        <f t="shared" si="71"/>
        <v>0</v>
      </c>
      <c r="Q348" s="125"/>
      <c r="R348" s="125"/>
      <c r="S348" s="125"/>
      <c r="T348" s="125"/>
      <c r="U348" s="125"/>
      <c r="V348" s="125"/>
      <c r="W348" s="125"/>
      <c r="X348" s="125"/>
      <c r="Y348" s="125"/>
      <c r="Z348" s="125"/>
    </row>
    <row r="349" spans="1:26">
      <c r="A349" s="147">
        <v>342</v>
      </c>
      <c r="B349" s="148" t="str">
        <f t="shared" si="72"/>
        <v>29-й год 6-й мес</v>
      </c>
      <c r="C349" s="149">
        <f t="shared" si="78"/>
        <v>51601</v>
      </c>
      <c r="D349" s="150">
        <f t="shared" si="68"/>
        <v>0</v>
      </c>
      <c r="E349" s="151">
        <f t="shared" si="73"/>
        <v>0</v>
      </c>
      <c r="F349" s="151">
        <f t="shared" si="79"/>
        <v>0</v>
      </c>
      <c r="G349" s="152">
        <f t="shared" si="74"/>
        <v>0</v>
      </c>
      <c r="H349" s="153">
        <f t="shared" si="69"/>
        <v>0</v>
      </c>
      <c r="I349" s="151">
        <f t="shared" si="80"/>
        <v>0</v>
      </c>
      <c r="J349" s="151">
        <f t="shared" si="75"/>
        <v>0</v>
      </c>
      <c r="K349" s="154">
        <f t="shared" si="76"/>
        <v>0</v>
      </c>
      <c r="L349" s="167"/>
      <c r="M349" s="171"/>
      <c r="N349" s="155">
        <f t="shared" si="70"/>
        <v>7</v>
      </c>
      <c r="O349" s="123">
        <f t="shared" si="77"/>
        <v>24</v>
      </c>
      <c r="P349" s="124">
        <f t="shared" si="71"/>
        <v>0</v>
      </c>
      <c r="Q349" s="125"/>
      <c r="R349" s="125"/>
      <c r="S349" s="125"/>
      <c r="T349" s="125"/>
      <c r="U349" s="125"/>
      <c r="V349" s="125"/>
      <c r="W349" s="125"/>
      <c r="X349" s="125"/>
      <c r="Y349" s="125"/>
      <c r="Z349" s="125"/>
    </row>
    <row r="350" spans="1:26">
      <c r="A350" s="147">
        <v>343</v>
      </c>
      <c r="B350" s="148" t="str">
        <f t="shared" si="72"/>
        <v>29-й год 7-й мес</v>
      </c>
      <c r="C350" s="149">
        <f t="shared" si="78"/>
        <v>51631</v>
      </c>
      <c r="D350" s="150">
        <f t="shared" si="68"/>
        <v>0</v>
      </c>
      <c r="E350" s="151">
        <f t="shared" si="73"/>
        <v>0</v>
      </c>
      <c r="F350" s="151">
        <f t="shared" si="79"/>
        <v>0</v>
      </c>
      <c r="G350" s="152">
        <f t="shared" si="74"/>
        <v>0</v>
      </c>
      <c r="H350" s="153">
        <f t="shared" si="69"/>
        <v>0</v>
      </c>
      <c r="I350" s="151">
        <f t="shared" si="80"/>
        <v>0</v>
      </c>
      <c r="J350" s="151">
        <f t="shared" si="75"/>
        <v>0</v>
      </c>
      <c r="K350" s="154">
        <f t="shared" si="76"/>
        <v>0</v>
      </c>
      <c r="L350" s="167"/>
      <c r="M350" s="171"/>
      <c r="N350" s="155">
        <f t="shared" si="70"/>
        <v>7</v>
      </c>
      <c r="O350" s="123">
        <f t="shared" si="77"/>
        <v>24</v>
      </c>
      <c r="P350" s="124">
        <f t="shared" si="71"/>
        <v>0</v>
      </c>
      <c r="Q350" s="125"/>
      <c r="R350" s="125"/>
      <c r="S350" s="125"/>
      <c r="T350" s="125"/>
      <c r="U350" s="125"/>
      <c r="V350" s="125"/>
      <c r="W350" s="125"/>
      <c r="X350" s="125"/>
      <c r="Y350" s="125"/>
      <c r="Z350" s="125"/>
    </row>
    <row r="351" spans="1:26">
      <c r="A351" s="147">
        <v>344</v>
      </c>
      <c r="B351" s="148" t="str">
        <f t="shared" si="72"/>
        <v>29-й год 8-й мес</v>
      </c>
      <c r="C351" s="149">
        <f t="shared" si="78"/>
        <v>51662</v>
      </c>
      <c r="D351" s="150">
        <f t="shared" si="68"/>
        <v>0</v>
      </c>
      <c r="E351" s="151">
        <f t="shared" si="73"/>
        <v>0</v>
      </c>
      <c r="F351" s="151">
        <f t="shared" si="79"/>
        <v>0</v>
      </c>
      <c r="G351" s="152">
        <f t="shared" si="74"/>
        <v>0</v>
      </c>
      <c r="H351" s="153">
        <f t="shared" si="69"/>
        <v>0</v>
      </c>
      <c r="I351" s="151">
        <f t="shared" si="80"/>
        <v>0</v>
      </c>
      <c r="J351" s="151">
        <f t="shared" si="75"/>
        <v>0</v>
      </c>
      <c r="K351" s="154">
        <f t="shared" si="76"/>
        <v>0</v>
      </c>
      <c r="L351" s="167"/>
      <c r="M351" s="171"/>
      <c r="N351" s="155">
        <f t="shared" si="70"/>
        <v>7</v>
      </c>
      <c r="O351" s="123">
        <f t="shared" si="77"/>
        <v>24</v>
      </c>
      <c r="P351" s="124">
        <f t="shared" si="71"/>
        <v>0</v>
      </c>
      <c r="Q351" s="125"/>
      <c r="R351" s="125"/>
      <c r="S351" s="125"/>
      <c r="T351" s="125"/>
      <c r="U351" s="125"/>
      <c r="V351" s="125"/>
      <c r="W351" s="125"/>
      <c r="X351" s="125"/>
      <c r="Y351" s="125"/>
      <c r="Z351" s="125"/>
    </row>
    <row r="352" spans="1:26">
      <c r="A352" s="147">
        <v>345</v>
      </c>
      <c r="B352" s="148" t="str">
        <f t="shared" si="72"/>
        <v>29-й год 9-й мес</v>
      </c>
      <c r="C352" s="149">
        <f t="shared" si="78"/>
        <v>51692</v>
      </c>
      <c r="D352" s="150">
        <f t="shared" si="68"/>
        <v>0</v>
      </c>
      <c r="E352" s="151">
        <f t="shared" si="73"/>
        <v>0</v>
      </c>
      <c r="F352" s="151">
        <f t="shared" si="79"/>
        <v>0</v>
      </c>
      <c r="G352" s="152">
        <f t="shared" si="74"/>
        <v>0</v>
      </c>
      <c r="H352" s="153">
        <f t="shared" si="69"/>
        <v>0</v>
      </c>
      <c r="I352" s="151">
        <f t="shared" si="80"/>
        <v>0</v>
      </c>
      <c r="J352" s="151">
        <f t="shared" si="75"/>
        <v>0</v>
      </c>
      <c r="K352" s="154">
        <f t="shared" si="76"/>
        <v>0</v>
      </c>
      <c r="L352" s="167"/>
      <c r="M352" s="171"/>
      <c r="N352" s="155">
        <f t="shared" si="70"/>
        <v>7</v>
      </c>
      <c r="O352" s="123">
        <f t="shared" si="77"/>
        <v>24</v>
      </c>
      <c r="P352" s="124">
        <f t="shared" si="71"/>
        <v>0</v>
      </c>
      <c r="Q352" s="125"/>
      <c r="R352" s="125"/>
      <c r="S352" s="125"/>
      <c r="T352" s="125"/>
      <c r="U352" s="125"/>
      <c r="V352" s="125"/>
      <c r="W352" s="125"/>
      <c r="X352" s="125"/>
      <c r="Y352" s="125"/>
      <c r="Z352" s="125"/>
    </row>
    <row r="353" spans="1:26">
      <c r="A353" s="147">
        <v>346</v>
      </c>
      <c r="B353" s="148" t="str">
        <f t="shared" si="72"/>
        <v>29-й год 10-й мес</v>
      </c>
      <c r="C353" s="149">
        <f t="shared" si="78"/>
        <v>51723</v>
      </c>
      <c r="D353" s="150">
        <f t="shared" si="68"/>
        <v>0</v>
      </c>
      <c r="E353" s="151">
        <f t="shared" si="73"/>
        <v>0</v>
      </c>
      <c r="F353" s="151">
        <f t="shared" si="79"/>
        <v>0</v>
      </c>
      <c r="G353" s="152">
        <f t="shared" si="74"/>
        <v>0</v>
      </c>
      <c r="H353" s="153">
        <f t="shared" si="69"/>
        <v>0</v>
      </c>
      <c r="I353" s="151">
        <f t="shared" si="80"/>
        <v>0</v>
      </c>
      <c r="J353" s="151">
        <f t="shared" si="75"/>
        <v>0</v>
      </c>
      <c r="K353" s="154">
        <f t="shared" si="76"/>
        <v>0</v>
      </c>
      <c r="L353" s="167"/>
      <c r="M353" s="171"/>
      <c r="N353" s="155">
        <f t="shared" si="70"/>
        <v>7</v>
      </c>
      <c r="O353" s="123">
        <f t="shared" si="77"/>
        <v>24</v>
      </c>
      <c r="P353" s="124">
        <f t="shared" si="71"/>
        <v>0</v>
      </c>
      <c r="Q353" s="125"/>
      <c r="R353" s="125"/>
      <c r="S353" s="125"/>
      <c r="T353" s="125"/>
      <c r="U353" s="125"/>
      <c r="V353" s="125"/>
      <c r="W353" s="125"/>
      <c r="X353" s="125"/>
      <c r="Y353" s="125"/>
      <c r="Z353" s="125"/>
    </row>
    <row r="354" spans="1:26">
      <c r="A354" s="147">
        <v>347</v>
      </c>
      <c r="B354" s="148" t="str">
        <f t="shared" si="72"/>
        <v>29-й год 11-й мес</v>
      </c>
      <c r="C354" s="149">
        <f t="shared" si="78"/>
        <v>51754</v>
      </c>
      <c r="D354" s="150">
        <f t="shared" si="68"/>
        <v>0</v>
      </c>
      <c r="E354" s="151">
        <f t="shared" si="73"/>
        <v>0</v>
      </c>
      <c r="F354" s="151">
        <f t="shared" si="79"/>
        <v>0</v>
      </c>
      <c r="G354" s="152">
        <f t="shared" si="74"/>
        <v>0</v>
      </c>
      <c r="H354" s="153">
        <f t="shared" si="69"/>
        <v>0</v>
      </c>
      <c r="I354" s="151">
        <f t="shared" si="80"/>
        <v>0</v>
      </c>
      <c r="J354" s="151">
        <f t="shared" si="75"/>
        <v>0</v>
      </c>
      <c r="K354" s="154">
        <f t="shared" si="76"/>
        <v>0</v>
      </c>
      <c r="L354" s="167"/>
      <c r="M354" s="171"/>
      <c r="N354" s="155">
        <f t="shared" si="70"/>
        <v>7</v>
      </c>
      <c r="O354" s="123">
        <f t="shared" si="77"/>
        <v>24</v>
      </c>
      <c r="P354" s="124">
        <f t="shared" si="71"/>
        <v>0</v>
      </c>
      <c r="Q354" s="125"/>
      <c r="R354" s="125"/>
      <c r="S354" s="125"/>
      <c r="T354" s="125"/>
      <c r="U354" s="125"/>
      <c r="V354" s="125"/>
      <c r="W354" s="125"/>
      <c r="X354" s="125"/>
      <c r="Y354" s="125"/>
      <c r="Z354" s="125"/>
    </row>
    <row r="355" spans="1:26">
      <c r="A355" s="147">
        <v>348</v>
      </c>
      <c r="B355" s="148" t="str">
        <f t="shared" si="72"/>
        <v>29-й год 12-й мес</v>
      </c>
      <c r="C355" s="149">
        <f t="shared" si="78"/>
        <v>51784</v>
      </c>
      <c r="D355" s="150">
        <f t="shared" si="68"/>
        <v>0</v>
      </c>
      <c r="E355" s="151">
        <f t="shared" si="73"/>
        <v>0</v>
      </c>
      <c r="F355" s="151">
        <f t="shared" si="79"/>
        <v>0</v>
      </c>
      <c r="G355" s="152">
        <f t="shared" si="74"/>
        <v>0</v>
      </c>
      <c r="H355" s="153">
        <f t="shared" si="69"/>
        <v>0</v>
      </c>
      <c r="I355" s="151">
        <f t="shared" si="80"/>
        <v>0</v>
      </c>
      <c r="J355" s="151">
        <f t="shared" si="75"/>
        <v>0</v>
      </c>
      <c r="K355" s="154">
        <f t="shared" si="76"/>
        <v>0</v>
      </c>
      <c r="L355" s="167"/>
      <c r="M355" s="171"/>
      <c r="N355" s="155">
        <f t="shared" si="70"/>
        <v>7</v>
      </c>
      <c r="O355" s="123">
        <f t="shared" si="77"/>
        <v>24</v>
      </c>
      <c r="P355" s="124">
        <f t="shared" si="71"/>
        <v>0</v>
      </c>
      <c r="Q355" s="125"/>
      <c r="R355" s="125"/>
      <c r="S355" s="125"/>
      <c r="T355" s="125"/>
      <c r="U355" s="125"/>
      <c r="V355" s="125"/>
      <c r="W355" s="125"/>
      <c r="X355" s="125"/>
      <c r="Y355" s="125"/>
      <c r="Z355" s="125"/>
    </row>
    <row r="356" spans="1:26">
      <c r="A356" s="156">
        <v>349</v>
      </c>
      <c r="B356" s="148" t="str">
        <f t="shared" si="72"/>
        <v>30-й год 1-й мес</v>
      </c>
      <c r="C356" s="149">
        <f t="shared" si="78"/>
        <v>51815</v>
      </c>
      <c r="D356" s="150">
        <f t="shared" si="68"/>
        <v>0</v>
      </c>
      <c r="E356" s="157">
        <f t="shared" si="73"/>
        <v>0</v>
      </c>
      <c r="F356" s="151">
        <f t="shared" si="79"/>
        <v>0</v>
      </c>
      <c r="G356" s="158">
        <f t="shared" si="74"/>
        <v>0</v>
      </c>
      <c r="H356" s="159">
        <f t="shared" si="69"/>
        <v>0</v>
      </c>
      <c r="I356" s="157">
        <f t="shared" si="80"/>
        <v>0</v>
      </c>
      <c r="J356" s="157">
        <f t="shared" si="75"/>
        <v>0</v>
      </c>
      <c r="K356" s="160">
        <f t="shared" si="76"/>
        <v>0</v>
      </c>
      <c r="L356" s="169"/>
      <c r="M356" s="168"/>
      <c r="N356" s="155">
        <f t="shared" si="70"/>
        <v>7</v>
      </c>
      <c r="O356" s="123">
        <f t="shared" si="77"/>
        <v>24</v>
      </c>
      <c r="P356" s="124">
        <f t="shared" si="71"/>
        <v>0</v>
      </c>
      <c r="Q356" s="125"/>
      <c r="R356" s="125"/>
      <c r="S356" s="125"/>
      <c r="T356" s="125"/>
      <c r="U356" s="125"/>
      <c r="V356" s="125"/>
      <c r="W356" s="125"/>
      <c r="X356" s="125"/>
      <c r="Y356" s="125"/>
      <c r="Z356" s="125"/>
    </row>
    <row r="357" spans="1:26">
      <c r="A357" s="161">
        <v>350</v>
      </c>
      <c r="B357" s="148" t="str">
        <f t="shared" si="72"/>
        <v>30-й год 2-й мес</v>
      </c>
      <c r="C357" s="149">
        <f t="shared" si="78"/>
        <v>51845</v>
      </c>
      <c r="D357" s="150">
        <f t="shared" si="68"/>
        <v>0</v>
      </c>
      <c r="E357" s="151">
        <f t="shared" si="73"/>
        <v>0</v>
      </c>
      <c r="F357" s="151">
        <f t="shared" si="79"/>
        <v>0</v>
      </c>
      <c r="G357" s="152">
        <f t="shared" si="74"/>
        <v>0</v>
      </c>
      <c r="H357" s="153">
        <f t="shared" si="69"/>
        <v>0</v>
      </c>
      <c r="I357" s="151">
        <f t="shared" si="80"/>
        <v>0</v>
      </c>
      <c r="J357" s="151">
        <f t="shared" si="75"/>
        <v>0</v>
      </c>
      <c r="K357" s="154">
        <f t="shared" si="76"/>
        <v>0</v>
      </c>
      <c r="L357" s="167"/>
      <c r="M357" s="171"/>
      <c r="N357" s="155">
        <f t="shared" si="70"/>
        <v>7</v>
      </c>
      <c r="O357" s="123">
        <f t="shared" si="77"/>
        <v>24</v>
      </c>
      <c r="P357" s="124">
        <f t="shared" si="71"/>
        <v>0</v>
      </c>
      <c r="Q357" s="125"/>
      <c r="R357" s="125"/>
      <c r="S357" s="125"/>
      <c r="T357" s="125"/>
      <c r="U357" s="125"/>
      <c r="V357" s="125"/>
      <c r="W357" s="125"/>
      <c r="X357" s="125"/>
      <c r="Y357" s="125"/>
      <c r="Z357" s="125"/>
    </row>
    <row r="358" spans="1:26">
      <c r="A358" s="161">
        <v>351</v>
      </c>
      <c r="B358" s="148" t="str">
        <f t="shared" si="72"/>
        <v>30-й год 3-й мес</v>
      </c>
      <c r="C358" s="149">
        <f t="shared" si="78"/>
        <v>51876</v>
      </c>
      <c r="D358" s="150">
        <f t="shared" si="68"/>
        <v>0</v>
      </c>
      <c r="E358" s="151">
        <f t="shared" si="73"/>
        <v>0</v>
      </c>
      <c r="F358" s="151">
        <f t="shared" si="79"/>
        <v>0</v>
      </c>
      <c r="G358" s="152">
        <f t="shared" si="74"/>
        <v>0</v>
      </c>
      <c r="H358" s="153">
        <f t="shared" si="69"/>
        <v>0</v>
      </c>
      <c r="I358" s="151">
        <f t="shared" si="80"/>
        <v>0</v>
      </c>
      <c r="J358" s="151">
        <f t="shared" si="75"/>
        <v>0</v>
      </c>
      <c r="K358" s="154">
        <f t="shared" si="76"/>
        <v>0</v>
      </c>
      <c r="L358" s="167"/>
      <c r="M358" s="171"/>
      <c r="N358" s="155">
        <f t="shared" si="70"/>
        <v>7</v>
      </c>
      <c r="O358" s="123">
        <f t="shared" si="77"/>
        <v>24</v>
      </c>
      <c r="P358" s="124">
        <f t="shared" si="71"/>
        <v>0</v>
      </c>
      <c r="Q358" s="125"/>
      <c r="R358" s="125"/>
      <c r="S358" s="125"/>
      <c r="T358" s="125"/>
      <c r="U358" s="125"/>
      <c r="V358" s="125"/>
      <c r="W358" s="125"/>
      <c r="X358" s="125"/>
      <c r="Y358" s="125"/>
      <c r="Z358" s="125"/>
    </row>
    <row r="359" spans="1:26">
      <c r="A359" s="161">
        <v>352</v>
      </c>
      <c r="B359" s="148" t="str">
        <f t="shared" si="72"/>
        <v>30-й год 4-й мес</v>
      </c>
      <c r="C359" s="149">
        <f t="shared" si="78"/>
        <v>51907</v>
      </c>
      <c r="D359" s="150">
        <f t="shared" si="68"/>
        <v>0</v>
      </c>
      <c r="E359" s="151">
        <f t="shared" si="73"/>
        <v>0</v>
      </c>
      <c r="F359" s="151">
        <f t="shared" si="79"/>
        <v>0</v>
      </c>
      <c r="G359" s="152">
        <f t="shared" si="74"/>
        <v>0</v>
      </c>
      <c r="H359" s="153">
        <f t="shared" si="69"/>
        <v>0</v>
      </c>
      <c r="I359" s="151">
        <f t="shared" si="80"/>
        <v>0</v>
      </c>
      <c r="J359" s="151">
        <f t="shared" si="75"/>
        <v>0</v>
      </c>
      <c r="K359" s="154">
        <f t="shared" si="76"/>
        <v>0</v>
      </c>
      <c r="L359" s="167"/>
      <c r="M359" s="171"/>
      <c r="N359" s="155">
        <f t="shared" si="70"/>
        <v>7</v>
      </c>
      <c r="O359" s="123">
        <f t="shared" si="77"/>
        <v>24</v>
      </c>
      <c r="P359" s="124">
        <f t="shared" si="71"/>
        <v>0</v>
      </c>
      <c r="Q359" s="125"/>
      <c r="R359" s="125"/>
      <c r="S359" s="125"/>
      <c r="T359" s="125"/>
      <c r="U359" s="125"/>
      <c r="V359" s="125"/>
      <c r="W359" s="125"/>
      <c r="X359" s="125"/>
      <c r="Y359" s="125"/>
      <c r="Z359" s="125"/>
    </row>
    <row r="360" spans="1:26">
      <c r="A360" s="161">
        <v>353</v>
      </c>
      <c r="B360" s="148" t="str">
        <f t="shared" si="72"/>
        <v>30-й год 5-й мес</v>
      </c>
      <c r="C360" s="149">
        <f t="shared" si="78"/>
        <v>51935</v>
      </c>
      <c r="D360" s="150">
        <f t="shared" si="68"/>
        <v>0</v>
      </c>
      <c r="E360" s="151">
        <f t="shared" si="73"/>
        <v>0</v>
      </c>
      <c r="F360" s="151">
        <f t="shared" si="79"/>
        <v>0</v>
      </c>
      <c r="G360" s="152">
        <f t="shared" si="74"/>
        <v>0</v>
      </c>
      <c r="H360" s="153">
        <f t="shared" si="69"/>
        <v>0</v>
      </c>
      <c r="I360" s="151">
        <f t="shared" si="80"/>
        <v>0</v>
      </c>
      <c r="J360" s="151">
        <f t="shared" si="75"/>
        <v>0</v>
      </c>
      <c r="K360" s="154">
        <f t="shared" si="76"/>
        <v>0</v>
      </c>
      <c r="L360" s="167"/>
      <c r="M360" s="171"/>
      <c r="N360" s="155">
        <f t="shared" si="70"/>
        <v>7</v>
      </c>
      <c r="O360" s="123">
        <f t="shared" si="77"/>
        <v>24</v>
      </c>
      <c r="P360" s="124">
        <f t="shared" si="71"/>
        <v>0</v>
      </c>
      <c r="Q360" s="125"/>
      <c r="R360" s="125"/>
      <c r="S360" s="125"/>
      <c r="T360" s="125"/>
      <c r="U360" s="125"/>
      <c r="V360" s="125"/>
      <c r="W360" s="125"/>
      <c r="X360" s="125"/>
      <c r="Y360" s="125"/>
      <c r="Z360" s="125"/>
    </row>
    <row r="361" spans="1:26">
      <c r="A361" s="161">
        <v>354</v>
      </c>
      <c r="B361" s="148" t="str">
        <f t="shared" si="72"/>
        <v>30-й год 6-й мес</v>
      </c>
      <c r="C361" s="149">
        <f t="shared" si="78"/>
        <v>51966</v>
      </c>
      <c r="D361" s="150">
        <f t="shared" si="68"/>
        <v>0</v>
      </c>
      <c r="E361" s="151">
        <f t="shared" si="73"/>
        <v>0</v>
      </c>
      <c r="F361" s="151">
        <f t="shared" si="79"/>
        <v>0</v>
      </c>
      <c r="G361" s="152">
        <f t="shared" si="74"/>
        <v>0</v>
      </c>
      <c r="H361" s="153">
        <f t="shared" si="69"/>
        <v>0</v>
      </c>
      <c r="I361" s="151">
        <f t="shared" si="80"/>
        <v>0</v>
      </c>
      <c r="J361" s="151">
        <f t="shared" si="75"/>
        <v>0</v>
      </c>
      <c r="K361" s="154">
        <f t="shared" si="76"/>
        <v>0</v>
      </c>
      <c r="L361" s="167"/>
      <c r="M361" s="171"/>
      <c r="N361" s="155">
        <f t="shared" si="70"/>
        <v>7</v>
      </c>
      <c r="O361" s="123">
        <f t="shared" si="77"/>
        <v>24</v>
      </c>
      <c r="P361" s="124">
        <f t="shared" si="71"/>
        <v>0</v>
      </c>
      <c r="Q361" s="125"/>
      <c r="R361" s="125"/>
      <c r="S361" s="125"/>
      <c r="T361" s="125"/>
      <c r="U361" s="125"/>
      <c r="V361" s="125"/>
      <c r="W361" s="125"/>
      <c r="X361" s="125"/>
      <c r="Y361" s="125"/>
      <c r="Z361" s="125"/>
    </row>
    <row r="362" spans="1:26">
      <c r="A362" s="161">
        <v>355</v>
      </c>
      <c r="B362" s="148" t="str">
        <f t="shared" si="72"/>
        <v>30-й год 7-й мес</v>
      </c>
      <c r="C362" s="149">
        <f t="shared" si="78"/>
        <v>51996</v>
      </c>
      <c r="D362" s="150">
        <f t="shared" si="68"/>
        <v>0</v>
      </c>
      <c r="E362" s="151">
        <f t="shared" si="73"/>
        <v>0</v>
      </c>
      <c r="F362" s="151">
        <f t="shared" si="79"/>
        <v>0</v>
      </c>
      <c r="G362" s="152">
        <f t="shared" si="74"/>
        <v>0</v>
      </c>
      <c r="H362" s="153">
        <f t="shared" si="69"/>
        <v>0</v>
      </c>
      <c r="I362" s="151">
        <f t="shared" si="80"/>
        <v>0</v>
      </c>
      <c r="J362" s="151">
        <f t="shared" si="75"/>
        <v>0</v>
      </c>
      <c r="K362" s="154">
        <f t="shared" si="76"/>
        <v>0</v>
      </c>
      <c r="L362" s="167"/>
      <c r="M362" s="171"/>
      <c r="N362" s="155">
        <f t="shared" si="70"/>
        <v>7</v>
      </c>
      <c r="O362" s="123">
        <f t="shared" si="77"/>
        <v>24</v>
      </c>
      <c r="P362" s="124">
        <f t="shared" si="71"/>
        <v>0</v>
      </c>
      <c r="Q362" s="125"/>
      <c r="R362" s="125"/>
      <c r="S362" s="125"/>
      <c r="T362" s="125"/>
      <c r="U362" s="125"/>
      <c r="V362" s="125"/>
      <c r="W362" s="125"/>
      <c r="X362" s="125"/>
      <c r="Y362" s="125"/>
      <c r="Z362" s="125"/>
    </row>
    <row r="363" spans="1:26">
      <c r="A363" s="161">
        <v>356</v>
      </c>
      <c r="B363" s="148" t="str">
        <f t="shared" si="72"/>
        <v>30-й год 8-й мес</v>
      </c>
      <c r="C363" s="149">
        <f t="shared" si="78"/>
        <v>52027</v>
      </c>
      <c r="D363" s="150">
        <f t="shared" si="68"/>
        <v>0</v>
      </c>
      <c r="E363" s="151">
        <f t="shared" si="73"/>
        <v>0</v>
      </c>
      <c r="F363" s="151">
        <f t="shared" si="79"/>
        <v>0</v>
      </c>
      <c r="G363" s="152">
        <f t="shared" si="74"/>
        <v>0</v>
      </c>
      <c r="H363" s="153">
        <f t="shared" si="69"/>
        <v>0</v>
      </c>
      <c r="I363" s="151">
        <f t="shared" si="80"/>
        <v>0</v>
      </c>
      <c r="J363" s="151">
        <f t="shared" si="75"/>
        <v>0</v>
      </c>
      <c r="K363" s="154">
        <f t="shared" si="76"/>
        <v>0</v>
      </c>
      <c r="L363" s="167"/>
      <c r="M363" s="171"/>
      <c r="N363" s="155">
        <f t="shared" si="70"/>
        <v>7</v>
      </c>
      <c r="O363" s="123">
        <f t="shared" si="77"/>
        <v>24</v>
      </c>
      <c r="P363" s="124">
        <f t="shared" si="71"/>
        <v>0</v>
      </c>
      <c r="Q363" s="125"/>
      <c r="R363" s="125"/>
      <c r="S363" s="125"/>
      <c r="T363" s="125"/>
      <c r="U363" s="125"/>
      <c r="V363" s="125"/>
      <c r="W363" s="125"/>
      <c r="X363" s="125"/>
      <c r="Y363" s="125"/>
      <c r="Z363" s="125"/>
    </row>
    <row r="364" spans="1:26">
      <c r="A364" s="161">
        <v>357</v>
      </c>
      <c r="B364" s="148" t="str">
        <f t="shared" si="72"/>
        <v>30-й год 9-й мес</v>
      </c>
      <c r="C364" s="149">
        <f t="shared" si="78"/>
        <v>52057</v>
      </c>
      <c r="D364" s="150">
        <f t="shared" si="68"/>
        <v>0</v>
      </c>
      <c r="E364" s="151">
        <f t="shared" si="73"/>
        <v>0</v>
      </c>
      <c r="F364" s="151">
        <f t="shared" si="79"/>
        <v>0</v>
      </c>
      <c r="G364" s="152">
        <f t="shared" si="74"/>
        <v>0</v>
      </c>
      <c r="H364" s="153">
        <f t="shared" si="69"/>
        <v>0</v>
      </c>
      <c r="I364" s="151">
        <f t="shared" si="80"/>
        <v>0</v>
      </c>
      <c r="J364" s="151">
        <f t="shared" si="75"/>
        <v>0</v>
      </c>
      <c r="K364" s="154">
        <f t="shared" si="76"/>
        <v>0</v>
      </c>
      <c r="L364" s="167"/>
      <c r="M364" s="171"/>
      <c r="N364" s="155">
        <f t="shared" si="70"/>
        <v>7</v>
      </c>
      <c r="O364" s="123">
        <f t="shared" si="77"/>
        <v>24</v>
      </c>
      <c r="P364" s="124">
        <f t="shared" si="71"/>
        <v>0</v>
      </c>
      <c r="Q364" s="125"/>
      <c r="R364" s="125"/>
      <c r="S364" s="125"/>
      <c r="T364" s="125"/>
      <c r="U364" s="125"/>
      <c r="V364" s="125"/>
      <c r="W364" s="125"/>
      <c r="X364" s="125"/>
      <c r="Y364" s="125"/>
      <c r="Z364" s="125"/>
    </row>
    <row r="365" spans="1:26">
      <c r="A365" s="161">
        <v>358</v>
      </c>
      <c r="B365" s="148" t="str">
        <f t="shared" si="72"/>
        <v>30-й год 10-й мес</v>
      </c>
      <c r="C365" s="149">
        <f t="shared" si="78"/>
        <v>52088</v>
      </c>
      <c r="D365" s="150">
        <f t="shared" si="68"/>
        <v>0</v>
      </c>
      <c r="E365" s="151">
        <f t="shared" si="73"/>
        <v>0</v>
      </c>
      <c r="F365" s="151">
        <f t="shared" si="79"/>
        <v>0</v>
      </c>
      <c r="G365" s="152">
        <f t="shared" si="74"/>
        <v>0</v>
      </c>
      <c r="H365" s="153">
        <f t="shared" si="69"/>
        <v>0</v>
      </c>
      <c r="I365" s="151">
        <f t="shared" si="80"/>
        <v>0</v>
      </c>
      <c r="J365" s="151">
        <f t="shared" si="75"/>
        <v>0</v>
      </c>
      <c r="K365" s="154">
        <f t="shared" si="76"/>
        <v>0</v>
      </c>
      <c r="L365" s="167"/>
      <c r="M365" s="171"/>
      <c r="N365" s="155">
        <f t="shared" si="70"/>
        <v>7</v>
      </c>
      <c r="O365" s="123">
        <f t="shared" si="77"/>
        <v>24</v>
      </c>
      <c r="P365" s="124">
        <f t="shared" si="71"/>
        <v>0</v>
      </c>
      <c r="Q365" s="125"/>
      <c r="R365" s="125"/>
      <c r="S365" s="125"/>
      <c r="T365" s="125"/>
      <c r="U365" s="125"/>
      <c r="V365" s="125"/>
      <c r="W365" s="125"/>
      <c r="X365" s="125"/>
      <c r="Y365" s="125"/>
      <c r="Z365" s="125"/>
    </row>
    <row r="366" spans="1:26">
      <c r="A366" s="161">
        <v>359</v>
      </c>
      <c r="B366" s="148" t="str">
        <f t="shared" si="72"/>
        <v>30-й год 11-й мес</v>
      </c>
      <c r="C366" s="149">
        <f t="shared" si="78"/>
        <v>52119</v>
      </c>
      <c r="D366" s="150">
        <f t="shared" si="68"/>
        <v>0</v>
      </c>
      <c r="E366" s="151">
        <f t="shared" si="73"/>
        <v>0</v>
      </c>
      <c r="F366" s="151">
        <f t="shared" si="79"/>
        <v>0</v>
      </c>
      <c r="G366" s="152">
        <f t="shared" si="74"/>
        <v>0</v>
      </c>
      <c r="H366" s="153">
        <f t="shared" si="69"/>
        <v>0</v>
      </c>
      <c r="I366" s="151">
        <f t="shared" si="80"/>
        <v>0</v>
      </c>
      <c r="J366" s="151">
        <f t="shared" si="75"/>
        <v>0</v>
      </c>
      <c r="K366" s="154">
        <f t="shared" si="76"/>
        <v>0</v>
      </c>
      <c r="L366" s="167"/>
      <c r="M366" s="171"/>
      <c r="N366" s="155">
        <f t="shared" si="70"/>
        <v>7</v>
      </c>
      <c r="O366" s="123">
        <f t="shared" si="77"/>
        <v>24</v>
      </c>
      <c r="P366" s="124">
        <f t="shared" si="71"/>
        <v>0</v>
      </c>
      <c r="Q366" s="125"/>
      <c r="R366" s="125"/>
      <c r="S366" s="125"/>
      <c r="T366" s="125"/>
      <c r="U366" s="125"/>
      <c r="V366" s="125"/>
      <c r="W366" s="125"/>
      <c r="X366" s="125"/>
      <c r="Y366" s="125"/>
      <c r="Z366" s="125"/>
    </row>
    <row r="367" spans="1:26">
      <c r="A367" s="162">
        <v>360</v>
      </c>
      <c r="B367" s="148" t="str">
        <f t="shared" si="72"/>
        <v>30-й год 12-й мес</v>
      </c>
      <c r="C367" s="149">
        <f t="shared" si="78"/>
        <v>52149</v>
      </c>
      <c r="D367" s="150">
        <f t="shared" si="68"/>
        <v>0</v>
      </c>
      <c r="E367" s="163">
        <f t="shared" si="73"/>
        <v>0</v>
      </c>
      <c r="F367" s="151">
        <f t="shared" si="79"/>
        <v>0</v>
      </c>
      <c r="G367" s="164">
        <f t="shared" si="74"/>
        <v>0</v>
      </c>
      <c r="H367" s="165">
        <f t="shared" si="69"/>
        <v>0</v>
      </c>
      <c r="I367" s="163">
        <f t="shared" si="80"/>
        <v>0</v>
      </c>
      <c r="J367" s="163">
        <f t="shared" si="75"/>
        <v>0</v>
      </c>
      <c r="K367" s="166">
        <f t="shared" si="76"/>
        <v>0</v>
      </c>
      <c r="L367" s="170"/>
      <c r="M367" s="172"/>
      <c r="N367" s="155">
        <f t="shared" si="70"/>
        <v>7</v>
      </c>
      <c r="O367" s="123">
        <f t="shared" si="77"/>
        <v>24</v>
      </c>
      <c r="P367" s="124">
        <f t="shared" si="71"/>
        <v>0</v>
      </c>
      <c r="Q367" s="125"/>
      <c r="R367" s="125"/>
      <c r="S367" s="125"/>
      <c r="T367" s="125"/>
      <c r="U367" s="125"/>
      <c r="V367" s="125"/>
      <c r="W367" s="125"/>
      <c r="X367" s="125"/>
      <c r="Y367" s="125"/>
      <c r="Z367" s="125"/>
    </row>
    <row r="368" spans="1:26">
      <c r="A368" s="147">
        <v>361</v>
      </c>
      <c r="B368" s="148" t="str">
        <f t="shared" si="72"/>
        <v>31-й год 1-й мес</v>
      </c>
      <c r="C368" s="149">
        <f t="shared" si="78"/>
        <v>52180</v>
      </c>
      <c r="D368" s="150">
        <f t="shared" si="68"/>
        <v>0</v>
      </c>
      <c r="E368" s="151">
        <f t="shared" si="73"/>
        <v>0</v>
      </c>
      <c r="F368" s="151">
        <f t="shared" si="79"/>
        <v>0</v>
      </c>
      <c r="G368" s="152">
        <f t="shared" si="74"/>
        <v>0</v>
      </c>
      <c r="H368" s="153">
        <f t="shared" si="69"/>
        <v>0</v>
      </c>
      <c r="I368" s="151">
        <f t="shared" si="80"/>
        <v>0</v>
      </c>
      <c r="J368" s="151">
        <f t="shared" si="75"/>
        <v>0</v>
      </c>
      <c r="K368" s="154">
        <f t="shared" si="76"/>
        <v>0</v>
      </c>
      <c r="L368" s="167"/>
      <c r="M368" s="171"/>
      <c r="N368" s="155">
        <f t="shared" si="70"/>
        <v>7</v>
      </c>
      <c r="O368" s="123">
        <f t="shared" si="77"/>
        <v>24</v>
      </c>
      <c r="P368" s="124">
        <f t="shared" si="71"/>
        <v>0</v>
      </c>
      <c r="Q368" s="125"/>
      <c r="R368" s="125"/>
      <c r="S368" s="125"/>
      <c r="T368" s="125"/>
      <c r="U368" s="125"/>
      <c r="V368" s="125"/>
      <c r="W368" s="125"/>
      <c r="X368" s="125"/>
      <c r="Y368" s="125"/>
      <c r="Z368" s="125"/>
    </row>
    <row r="369" spans="1:26">
      <c r="A369" s="147">
        <v>362</v>
      </c>
      <c r="B369" s="148" t="str">
        <f t="shared" si="72"/>
        <v>31-й год 2-й мес</v>
      </c>
      <c r="C369" s="149">
        <f t="shared" si="78"/>
        <v>52210</v>
      </c>
      <c r="D369" s="150">
        <f t="shared" si="68"/>
        <v>0</v>
      </c>
      <c r="E369" s="151">
        <f t="shared" si="73"/>
        <v>0</v>
      </c>
      <c r="F369" s="151">
        <f t="shared" si="79"/>
        <v>0</v>
      </c>
      <c r="G369" s="152">
        <f t="shared" si="74"/>
        <v>0</v>
      </c>
      <c r="H369" s="153">
        <f t="shared" si="69"/>
        <v>0</v>
      </c>
      <c r="I369" s="151">
        <f t="shared" si="80"/>
        <v>0</v>
      </c>
      <c r="J369" s="151">
        <f t="shared" si="75"/>
        <v>0</v>
      </c>
      <c r="K369" s="154">
        <f t="shared" si="76"/>
        <v>0</v>
      </c>
      <c r="L369" s="167"/>
      <c r="M369" s="171"/>
      <c r="N369" s="155">
        <f t="shared" si="70"/>
        <v>7</v>
      </c>
      <c r="O369" s="123">
        <f t="shared" si="77"/>
        <v>24</v>
      </c>
      <c r="P369" s="124">
        <f t="shared" si="71"/>
        <v>0</v>
      </c>
      <c r="Q369" s="125"/>
      <c r="R369" s="125"/>
      <c r="S369" s="125"/>
      <c r="T369" s="125"/>
      <c r="U369" s="125"/>
      <c r="V369" s="125"/>
      <c r="W369" s="125"/>
      <c r="X369" s="125"/>
      <c r="Y369" s="125"/>
      <c r="Z369" s="125"/>
    </row>
    <row r="370" spans="1:26">
      <c r="A370" s="147">
        <v>363</v>
      </c>
      <c r="B370" s="148" t="str">
        <f t="shared" si="72"/>
        <v>31-й год 3-й мес</v>
      </c>
      <c r="C370" s="149">
        <f t="shared" si="78"/>
        <v>52241</v>
      </c>
      <c r="D370" s="150">
        <f t="shared" si="68"/>
        <v>0</v>
      </c>
      <c r="E370" s="151">
        <f t="shared" si="73"/>
        <v>0</v>
      </c>
      <c r="F370" s="151">
        <f t="shared" si="79"/>
        <v>0</v>
      </c>
      <c r="G370" s="152">
        <f t="shared" si="74"/>
        <v>0</v>
      </c>
      <c r="H370" s="153">
        <f t="shared" si="69"/>
        <v>0</v>
      </c>
      <c r="I370" s="151">
        <f t="shared" si="80"/>
        <v>0</v>
      </c>
      <c r="J370" s="151">
        <f t="shared" si="75"/>
        <v>0</v>
      </c>
      <c r="K370" s="154">
        <f t="shared" si="76"/>
        <v>0</v>
      </c>
      <c r="L370" s="167"/>
      <c r="M370" s="171"/>
      <c r="N370" s="155">
        <f t="shared" si="70"/>
        <v>7</v>
      </c>
      <c r="O370" s="123">
        <f t="shared" si="77"/>
        <v>24</v>
      </c>
      <c r="P370" s="124">
        <f t="shared" si="71"/>
        <v>0</v>
      </c>
      <c r="Q370" s="125"/>
      <c r="R370" s="125"/>
      <c r="S370" s="125"/>
      <c r="T370" s="125"/>
      <c r="U370" s="125"/>
      <c r="V370" s="125"/>
      <c r="W370" s="125"/>
      <c r="X370" s="125"/>
      <c r="Y370" s="125"/>
      <c r="Z370" s="125"/>
    </row>
    <row r="371" spans="1:26">
      <c r="A371" s="147">
        <v>364</v>
      </c>
      <c r="B371" s="148" t="str">
        <f t="shared" si="72"/>
        <v>31-й год 4-й мес</v>
      </c>
      <c r="C371" s="149">
        <f t="shared" si="78"/>
        <v>52272</v>
      </c>
      <c r="D371" s="150">
        <f t="shared" si="68"/>
        <v>0</v>
      </c>
      <c r="E371" s="151">
        <f t="shared" si="73"/>
        <v>0</v>
      </c>
      <c r="F371" s="151">
        <f t="shared" si="79"/>
        <v>0</v>
      </c>
      <c r="G371" s="152">
        <f t="shared" si="74"/>
        <v>0</v>
      </c>
      <c r="H371" s="153">
        <f t="shared" si="69"/>
        <v>0</v>
      </c>
      <c r="I371" s="151">
        <f t="shared" si="80"/>
        <v>0</v>
      </c>
      <c r="J371" s="151">
        <f t="shared" si="75"/>
        <v>0</v>
      </c>
      <c r="K371" s="154">
        <f t="shared" si="76"/>
        <v>0</v>
      </c>
      <c r="L371" s="167"/>
      <c r="M371" s="171"/>
      <c r="N371" s="155">
        <f t="shared" si="70"/>
        <v>7</v>
      </c>
      <c r="O371" s="123">
        <f t="shared" si="77"/>
        <v>24</v>
      </c>
      <c r="P371" s="124">
        <f t="shared" si="71"/>
        <v>0</v>
      </c>
      <c r="Q371" s="125"/>
      <c r="R371" s="125"/>
      <c r="S371" s="125"/>
      <c r="T371" s="125"/>
      <c r="U371" s="125"/>
      <c r="V371" s="125"/>
      <c r="W371" s="125"/>
      <c r="X371" s="125"/>
      <c r="Y371" s="125"/>
      <c r="Z371" s="125"/>
    </row>
    <row r="372" spans="1:26">
      <c r="A372" s="147">
        <v>365</v>
      </c>
      <c r="B372" s="148" t="str">
        <f t="shared" si="72"/>
        <v>31-й год 5-й мес</v>
      </c>
      <c r="C372" s="149">
        <f t="shared" si="78"/>
        <v>52300</v>
      </c>
      <c r="D372" s="150">
        <f t="shared" si="68"/>
        <v>0</v>
      </c>
      <c r="E372" s="151">
        <f t="shared" si="73"/>
        <v>0</v>
      </c>
      <c r="F372" s="151">
        <f t="shared" si="79"/>
        <v>0</v>
      </c>
      <c r="G372" s="152">
        <f t="shared" si="74"/>
        <v>0</v>
      </c>
      <c r="H372" s="153">
        <f t="shared" si="69"/>
        <v>0</v>
      </c>
      <c r="I372" s="151">
        <f t="shared" si="80"/>
        <v>0</v>
      </c>
      <c r="J372" s="151">
        <f t="shared" si="75"/>
        <v>0</v>
      </c>
      <c r="K372" s="154">
        <f t="shared" si="76"/>
        <v>0</v>
      </c>
      <c r="L372" s="167"/>
      <c r="M372" s="171"/>
      <c r="N372" s="155">
        <f t="shared" si="70"/>
        <v>7</v>
      </c>
      <c r="O372" s="123">
        <f t="shared" si="77"/>
        <v>24</v>
      </c>
      <c r="P372" s="124">
        <f t="shared" si="71"/>
        <v>0</v>
      </c>
      <c r="Q372" s="125"/>
      <c r="R372" s="125"/>
      <c r="S372" s="125"/>
      <c r="T372" s="125"/>
      <c r="U372" s="125"/>
      <c r="V372" s="125"/>
      <c r="W372" s="125"/>
      <c r="X372" s="125"/>
      <c r="Y372" s="125"/>
      <c r="Z372" s="125"/>
    </row>
    <row r="373" spans="1:26">
      <c r="A373" s="147">
        <v>366</v>
      </c>
      <c r="B373" s="148" t="str">
        <f t="shared" si="72"/>
        <v>31-й год 6-й мес</v>
      </c>
      <c r="C373" s="149">
        <f t="shared" si="78"/>
        <v>52331</v>
      </c>
      <c r="D373" s="150">
        <f t="shared" si="68"/>
        <v>0</v>
      </c>
      <c r="E373" s="151">
        <f t="shared" si="73"/>
        <v>0</v>
      </c>
      <c r="F373" s="151">
        <f t="shared" si="79"/>
        <v>0</v>
      </c>
      <c r="G373" s="152">
        <f t="shared" si="74"/>
        <v>0</v>
      </c>
      <c r="H373" s="153">
        <f t="shared" si="69"/>
        <v>0</v>
      </c>
      <c r="I373" s="151">
        <f t="shared" si="80"/>
        <v>0</v>
      </c>
      <c r="J373" s="151">
        <f t="shared" si="75"/>
        <v>0</v>
      </c>
      <c r="K373" s="154">
        <f t="shared" si="76"/>
        <v>0</v>
      </c>
      <c r="L373" s="167"/>
      <c r="M373" s="171"/>
      <c r="N373" s="155">
        <f t="shared" si="70"/>
        <v>7</v>
      </c>
      <c r="O373" s="123">
        <f t="shared" si="77"/>
        <v>24</v>
      </c>
      <c r="P373" s="124">
        <f t="shared" si="71"/>
        <v>0</v>
      </c>
      <c r="Q373" s="125"/>
      <c r="R373" s="125"/>
      <c r="S373" s="125"/>
      <c r="T373" s="125"/>
      <c r="U373" s="125"/>
      <c r="V373" s="125"/>
      <c r="W373" s="125"/>
      <c r="X373" s="125"/>
      <c r="Y373" s="125"/>
      <c r="Z373" s="125"/>
    </row>
    <row r="374" spans="1:26">
      <c r="A374" s="147">
        <v>367</v>
      </c>
      <c r="B374" s="148" t="str">
        <f t="shared" si="72"/>
        <v>31-й год 7-й мес</v>
      </c>
      <c r="C374" s="149">
        <f t="shared" si="78"/>
        <v>52361</v>
      </c>
      <c r="D374" s="150">
        <f t="shared" si="68"/>
        <v>0</v>
      </c>
      <c r="E374" s="151">
        <f t="shared" si="73"/>
        <v>0</v>
      </c>
      <c r="F374" s="151">
        <f t="shared" si="79"/>
        <v>0</v>
      </c>
      <c r="G374" s="152">
        <f t="shared" si="74"/>
        <v>0</v>
      </c>
      <c r="H374" s="153">
        <f t="shared" si="69"/>
        <v>0</v>
      </c>
      <c r="I374" s="151">
        <f t="shared" si="80"/>
        <v>0</v>
      </c>
      <c r="J374" s="151">
        <f t="shared" si="75"/>
        <v>0</v>
      </c>
      <c r="K374" s="154">
        <f t="shared" si="76"/>
        <v>0</v>
      </c>
      <c r="L374" s="167"/>
      <c r="M374" s="171"/>
      <c r="N374" s="155">
        <f t="shared" si="70"/>
        <v>7</v>
      </c>
      <c r="O374" s="123">
        <f t="shared" si="77"/>
        <v>24</v>
      </c>
      <c r="P374" s="124">
        <f t="shared" si="71"/>
        <v>0</v>
      </c>
      <c r="Q374" s="125"/>
      <c r="R374" s="125"/>
      <c r="S374" s="125"/>
      <c r="T374" s="125"/>
      <c r="U374" s="125"/>
      <c r="V374" s="125"/>
      <c r="W374" s="125"/>
      <c r="X374" s="125"/>
      <c r="Y374" s="125"/>
      <c r="Z374" s="125"/>
    </row>
    <row r="375" spans="1:26">
      <c r="A375" s="147">
        <v>368</v>
      </c>
      <c r="B375" s="148" t="str">
        <f t="shared" si="72"/>
        <v>31-й год 8-й мес</v>
      </c>
      <c r="C375" s="149">
        <f t="shared" si="78"/>
        <v>52392</v>
      </c>
      <c r="D375" s="150">
        <f t="shared" si="68"/>
        <v>0</v>
      </c>
      <c r="E375" s="151">
        <f t="shared" si="73"/>
        <v>0</v>
      </c>
      <c r="F375" s="151">
        <f t="shared" si="79"/>
        <v>0</v>
      </c>
      <c r="G375" s="152">
        <f t="shared" si="74"/>
        <v>0</v>
      </c>
      <c r="H375" s="153">
        <f t="shared" si="69"/>
        <v>0</v>
      </c>
      <c r="I375" s="151">
        <f t="shared" si="80"/>
        <v>0</v>
      </c>
      <c r="J375" s="151">
        <f t="shared" si="75"/>
        <v>0</v>
      </c>
      <c r="K375" s="154">
        <f t="shared" si="76"/>
        <v>0</v>
      </c>
      <c r="L375" s="167"/>
      <c r="M375" s="171"/>
      <c r="N375" s="155">
        <f t="shared" si="70"/>
        <v>7</v>
      </c>
      <c r="O375" s="123">
        <f t="shared" si="77"/>
        <v>24</v>
      </c>
      <c r="P375" s="124">
        <f t="shared" si="71"/>
        <v>0</v>
      </c>
      <c r="Q375" s="125"/>
      <c r="R375" s="125"/>
      <c r="S375" s="125"/>
      <c r="T375" s="125"/>
      <c r="U375" s="125"/>
      <c r="V375" s="125"/>
      <c r="W375" s="125"/>
      <c r="X375" s="125"/>
      <c r="Y375" s="125"/>
      <c r="Z375" s="125"/>
    </row>
    <row r="376" spans="1:26">
      <c r="A376" s="147">
        <v>369</v>
      </c>
      <c r="B376" s="148" t="str">
        <f t="shared" si="72"/>
        <v>31-й год 9-й мес</v>
      </c>
      <c r="C376" s="149">
        <f t="shared" si="78"/>
        <v>52422</v>
      </c>
      <c r="D376" s="150">
        <f t="shared" si="68"/>
        <v>0</v>
      </c>
      <c r="E376" s="151">
        <f t="shared" si="73"/>
        <v>0</v>
      </c>
      <c r="F376" s="151">
        <f t="shared" si="79"/>
        <v>0</v>
      </c>
      <c r="G376" s="152">
        <f t="shared" si="74"/>
        <v>0</v>
      </c>
      <c r="H376" s="153">
        <f t="shared" si="69"/>
        <v>0</v>
      </c>
      <c r="I376" s="151">
        <f t="shared" si="80"/>
        <v>0</v>
      </c>
      <c r="J376" s="151">
        <f t="shared" si="75"/>
        <v>0</v>
      </c>
      <c r="K376" s="154">
        <f t="shared" si="76"/>
        <v>0</v>
      </c>
      <c r="L376" s="167"/>
      <c r="M376" s="171"/>
      <c r="N376" s="155">
        <f t="shared" si="70"/>
        <v>7</v>
      </c>
      <c r="O376" s="123">
        <f t="shared" si="77"/>
        <v>24</v>
      </c>
      <c r="P376" s="124">
        <f t="shared" si="71"/>
        <v>0</v>
      </c>
      <c r="Q376" s="125"/>
      <c r="R376" s="125"/>
      <c r="S376" s="125"/>
      <c r="T376" s="125"/>
      <c r="U376" s="125"/>
      <c r="V376" s="125"/>
      <c r="W376" s="125"/>
      <c r="X376" s="125"/>
      <c r="Y376" s="125"/>
      <c r="Z376" s="125"/>
    </row>
    <row r="377" spans="1:26">
      <c r="A377" s="147">
        <v>370</v>
      </c>
      <c r="B377" s="148" t="str">
        <f t="shared" si="72"/>
        <v>31-й год 10-й мес</v>
      </c>
      <c r="C377" s="149">
        <f t="shared" si="78"/>
        <v>52453</v>
      </c>
      <c r="D377" s="150">
        <f t="shared" si="68"/>
        <v>0</v>
      </c>
      <c r="E377" s="151">
        <f t="shared" si="73"/>
        <v>0</v>
      </c>
      <c r="F377" s="151">
        <f t="shared" si="79"/>
        <v>0</v>
      </c>
      <c r="G377" s="152">
        <f t="shared" si="74"/>
        <v>0</v>
      </c>
      <c r="H377" s="153">
        <f t="shared" si="69"/>
        <v>0</v>
      </c>
      <c r="I377" s="151">
        <f t="shared" si="80"/>
        <v>0</v>
      </c>
      <c r="J377" s="151">
        <f t="shared" si="75"/>
        <v>0</v>
      </c>
      <c r="K377" s="154">
        <f t="shared" si="76"/>
        <v>0</v>
      </c>
      <c r="L377" s="167"/>
      <c r="M377" s="171"/>
      <c r="N377" s="155">
        <f t="shared" si="70"/>
        <v>7</v>
      </c>
      <c r="O377" s="123">
        <f t="shared" si="77"/>
        <v>24</v>
      </c>
      <c r="P377" s="124">
        <f t="shared" si="71"/>
        <v>0</v>
      </c>
      <c r="Q377" s="125"/>
      <c r="R377" s="125"/>
      <c r="S377" s="125"/>
      <c r="T377" s="125"/>
      <c r="U377" s="125"/>
      <c r="V377" s="125"/>
      <c r="W377" s="125"/>
      <c r="X377" s="125"/>
      <c r="Y377" s="125"/>
      <c r="Z377" s="125"/>
    </row>
    <row r="378" spans="1:26">
      <c r="A378" s="147">
        <v>371</v>
      </c>
      <c r="B378" s="148" t="str">
        <f t="shared" si="72"/>
        <v>31-й год 11-й мес</v>
      </c>
      <c r="C378" s="149">
        <f t="shared" si="78"/>
        <v>52484</v>
      </c>
      <c r="D378" s="150">
        <f t="shared" si="68"/>
        <v>0</v>
      </c>
      <c r="E378" s="151">
        <f t="shared" si="73"/>
        <v>0</v>
      </c>
      <c r="F378" s="151">
        <f t="shared" si="79"/>
        <v>0</v>
      </c>
      <c r="G378" s="152">
        <f t="shared" si="74"/>
        <v>0</v>
      </c>
      <c r="H378" s="153">
        <f t="shared" si="69"/>
        <v>0</v>
      </c>
      <c r="I378" s="151">
        <f t="shared" si="80"/>
        <v>0</v>
      </c>
      <c r="J378" s="151">
        <f t="shared" si="75"/>
        <v>0</v>
      </c>
      <c r="K378" s="154">
        <f t="shared" si="76"/>
        <v>0</v>
      </c>
      <c r="L378" s="167"/>
      <c r="M378" s="171"/>
      <c r="N378" s="155">
        <f t="shared" si="70"/>
        <v>7</v>
      </c>
      <c r="O378" s="123">
        <f t="shared" si="77"/>
        <v>24</v>
      </c>
      <c r="P378" s="124">
        <f t="shared" si="71"/>
        <v>0</v>
      </c>
      <c r="Q378" s="125"/>
      <c r="R378" s="125"/>
      <c r="S378" s="125"/>
      <c r="T378" s="125"/>
      <c r="U378" s="125"/>
      <c r="V378" s="125"/>
      <c r="W378" s="125"/>
      <c r="X378" s="125"/>
      <c r="Y378" s="125"/>
      <c r="Z378" s="125"/>
    </row>
    <row r="379" spans="1:26">
      <c r="A379" s="147">
        <v>372</v>
      </c>
      <c r="B379" s="148" t="str">
        <f t="shared" si="72"/>
        <v>31-й год 12-й мес</v>
      </c>
      <c r="C379" s="149">
        <f t="shared" si="78"/>
        <v>52514</v>
      </c>
      <c r="D379" s="150">
        <f t="shared" si="68"/>
        <v>0</v>
      </c>
      <c r="E379" s="151">
        <f t="shared" si="73"/>
        <v>0</v>
      </c>
      <c r="F379" s="151">
        <f t="shared" si="79"/>
        <v>0</v>
      </c>
      <c r="G379" s="152">
        <f t="shared" si="74"/>
        <v>0</v>
      </c>
      <c r="H379" s="153">
        <f t="shared" si="69"/>
        <v>0</v>
      </c>
      <c r="I379" s="151">
        <f t="shared" si="80"/>
        <v>0</v>
      </c>
      <c r="J379" s="151">
        <f t="shared" si="75"/>
        <v>0</v>
      </c>
      <c r="K379" s="154">
        <f t="shared" si="76"/>
        <v>0</v>
      </c>
      <c r="L379" s="167"/>
      <c r="M379" s="171"/>
      <c r="N379" s="155">
        <f t="shared" si="70"/>
        <v>7</v>
      </c>
      <c r="O379" s="123">
        <f t="shared" si="77"/>
        <v>24</v>
      </c>
      <c r="P379" s="124">
        <f t="shared" si="71"/>
        <v>0</v>
      </c>
      <c r="Q379" s="125"/>
      <c r="R379" s="125"/>
      <c r="S379" s="125"/>
      <c r="T379" s="125"/>
      <c r="U379" s="125"/>
      <c r="V379" s="125"/>
      <c r="W379" s="125"/>
      <c r="X379" s="125"/>
      <c r="Y379" s="125"/>
      <c r="Z379" s="125"/>
    </row>
    <row r="380" spans="1:26">
      <c r="A380" s="156">
        <v>373</v>
      </c>
      <c r="B380" s="148" t="str">
        <f t="shared" si="72"/>
        <v>32-й год 1-й мес</v>
      </c>
      <c r="C380" s="149">
        <f t="shared" si="78"/>
        <v>52545</v>
      </c>
      <c r="D380" s="150">
        <f t="shared" si="68"/>
        <v>0</v>
      </c>
      <c r="E380" s="157">
        <f t="shared" si="73"/>
        <v>0</v>
      </c>
      <c r="F380" s="151">
        <f t="shared" si="79"/>
        <v>0</v>
      </c>
      <c r="G380" s="158">
        <f t="shared" si="74"/>
        <v>0</v>
      </c>
      <c r="H380" s="159">
        <f t="shared" si="69"/>
        <v>0</v>
      </c>
      <c r="I380" s="157">
        <f t="shared" si="80"/>
        <v>0</v>
      </c>
      <c r="J380" s="157">
        <f t="shared" si="75"/>
        <v>0</v>
      </c>
      <c r="K380" s="160">
        <f t="shared" si="76"/>
        <v>0</v>
      </c>
      <c r="L380" s="169"/>
      <c r="M380" s="168"/>
      <c r="N380" s="155">
        <f t="shared" si="70"/>
        <v>7</v>
      </c>
      <c r="O380" s="123">
        <f t="shared" si="77"/>
        <v>24</v>
      </c>
      <c r="P380" s="124">
        <f t="shared" si="71"/>
        <v>0</v>
      </c>
      <c r="Q380" s="125"/>
      <c r="R380" s="125"/>
      <c r="S380" s="125"/>
      <c r="T380" s="125"/>
      <c r="U380" s="125"/>
      <c r="V380" s="125"/>
      <c r="W380" s="125"/>
      <c r="X380" s="125"/>
      <c r="Y380" s="125"/>
      <c r="Z380" s="125"/>
    </row>
    <row r="381" spans="1:26">
      <c r="A381" s="161">
        <v>374</v>
      </c>
      <c r="B381" s="148" t="str">
        <f t="shared" si="72"/>
        <v>32-й год 2-й мес</v>
      </c>
      <c r="C381" s="149">
        <f t="shared" si="78"/>
        <v>52575</v>
      </c>
      <c r="D381" s="150">
        <f t="shared" si="68"/>
        <v>0</v>
      </c>
      <c r="E381" s="151">
        <f t="shared" si="73"/>
        <v>0</v>
      </c>
      <c r="F381" s="151">
        <f t="shared" si="79"/>
        <v>0</v>
      </c>
      <c r="G381" s="152">
        <f t="shared" si="74"/>
        <v>0</v>
      </c>
      <c r="H381" s="153">
        <f t="shared" si="69"/>
        <v>0</v>
      </c>
      <c r="I381" s="151">
        <f t="shared" si="80"/>
        <v>0</v>
      </c>
      <c r="J381" s="151">
        <f t="shared" si="75"/>
        <v>0</v>
      </c>
      <c r="K381" s="154">
        <f t="shared" si="76"/>
        <v>0</v>
      </c>
      <c r="L381" s="167"/>
      <c r="M381" s="171"/>
      <c r="N381" s="155">
        <f t="shared" si="70"/>
        <v>7</v>
      </c>
      <c r="O381" s="123">
        <f t="shared" si="77"/>
        <v>24</v>
      </c>
      <c r="P381" s="124">
        <f t="shared" si="71"/>
        <v>0</v>
      </c>
      <c r="Q381" s="125"/>
      <c r="R381" s="125"/>
      <c r="S381" s="125"/>
      <c r="T381" s="125"/>
      <c r="U381" s="125"/>
      <c r="V381" s="125"/>
      <c r="W381" s="125"/>
      <c r="X381" s="125"/>
      <c r="Y381" s="125"/>
      <c r="Z381" s="125"/>
    </row>
    <row r="382" spans="1:26">
      <c r="A382" s="161">
        <v>375</v>
      </c>
      <c r="B382" s="148" t="str">
        <f t="shared" si="72"/>
        <v>32-й год 3-й мес</v>
      </c>
      <c r="C382" s="149">
        <f t="shared" si="78"/>
        <v>52606</v>
      </c>
      <c r="D382" s="150">
        <f t="shared" si="68"/>
        <v>0</v>
      </c>
      <c r="E382" s="151">
        <f t="shared" si="73"/>
        <v>0</v>
      </c>
      <c r="F382" s="151">
        <f t="shared" si="79"/>
        <v>0</v>
      </c>
      <c r="G382" s="152">
        <f t="shared" si="74"/>
        <v>0</v>
      </c>
      <c r="H382" s="153">
        <f t="shared" si="69"/>
        <v>0</v>
      </c>
      <c r="I382" s="151">
        <f t="shared" si="80"/>
        <v>0</v>
      </c>
      <c r="J382" s="151">
        <f t="shared" si="75"/>
        <v>0</v>
      </c>
      <c r="K382" s="154">
        <f t="shared" si="76"/>
        <v>0</v>
      </c>
      <c r="L382" s="167"/>
      <c r="M382" s="171"/>
      <c r="N382" s="155">
        <f t="shared" si="70"/>
        <v>7</v>
      </c>
      <c r="O382" s="123">
        <f t="shared" si="77"/>
        <v>24</v>
      </c>
      <c r="P382" s="124">
        <f t="shared" si="71"/>
        <v>0</v>
      </c>
      <c r="Q382" s="125"/>
      <c r="R382" s="125"/>
      <c r="S382" s="125"/>
      <c r="T382" s="125"/>
      <c r="U382" s="125"/>
      <c r="V382" s="125"/>
      <c r="W382" s="125"/>
      <c r="X382" s="125"/>
      <c r="Y382" s="125"/>
      <c r="Z382" s="125"/>
    </row>
    <row r="383" spans="1:26">
      <c r="A383" s="161">
        <v>376</v>
      </c>
      <c r="B383" s="148" t="str">
        <f t="shared" si="72"/>
        <v>32-й год 4-й мес</v>
      </c>
      <c r="C383" s="149">
        <f t="shared" si="78"/>
        <v>52637</v>
      </c>
      <c r="D383" s="150">
        <f t="shared" si="68"/>
        <v>0</v>
      </c>
      <c r="E383" s="151">
        <f t="shared" si="73"/>
        <v>0</v>
      </c>
      <c r="F383" s="151">
        <f t="shared" si="79"/>
        <v>0</v>
      </c>
      <c r="G383" s="152">
        <f t="shared" si="74"/>
        <v>0</v>
      </c>
      <c r="H383" s="153">
        <f t="shared" si="69"/>
        <v>0</v>
      </c>
      <c r="I383" s="151">
        <f t="shared" si="80"/>
        <v>0</v>
      </c>
      <c r="J383" s="151">
        <f t="shared" si="75"/>
        <v>0</v>
      </c>
      <c r="K383" s="154">
        <f t="shared" si="76"/>
        <v>0</v>
      </c>
      <c r="L383" s="167"/>
      <c r="M383" s="171"/>
      <c r="N383" s="155">
        <f t="shared" si="70"/>
        <v>7</v>
      </c>
      <c r="O383" s="123">
        <f t="shared" si="77"/>
        <v>24</v>
      </c>
      <c r="P383" s="124">
        <f t="shared" si="71"/>
        <v>0</v>
      </c>
      <c r="Q383" s="125"/>
      <c r="R383" s="125"/>
      <c r="S383" s="125"/>
      <c r="T383" s="125"/>
      <c r="U383" s="125"/>
      <c r="V383" s="125"/>
      <c r="W383" s="125"/>
      <c r="X383" s="125"/>
      <c r="Y383" s="125"/>
      <c r="Z383" s="125"/>
    </row>
    <row r="384" spans="1:26">
      <c r="A384" s="161">
        <v>377</v>
      </c>
      <c r="B384" s="148" t="str">
        <f t="shared" si="72"/>
        <v>32-й год 5-й мес</v>
      </c>
      <c r="C384" s="149">
        <f t="shared" si="78"/>
        <v>52666</v>
      </c>
      <c r="D384" s="150">
        <f t="shared" si="68"/>
        <v>0</v>
      </c>
      <c r="E384" s="151">
        <f t="shared" si="73"/>
        <v>0</v>
      </c>
      <c r="F384" s="151">
        <f t="shared" si="79"/>
        <v>0</v>
      </c>
      <c r="G384" s="152">
        <f t="shared" si="74"/>
        <v>0</v>
      </c>
      <c r="H384" s="153">
        <f t="shared" si="69"/>
        <v>0</v>
      </c>
      <c r="I384" s="151">
        <f t="shared" si="80"/>
        <v>0</v>
      </c>
      <c r="J384" s="151">
        <f t="shared" si="75"/>
        <v>0</v>
      </c>
      <c r="K384" s="154">
        <f t="shared" si="76"/>
        <v>0</v>
      </c>
      <c r="L384" s="167"/>
      <c r="M384" s="171"/>
      <c r="N384" s="155">
        <f t="shared" si="70"/>
        <v>7</v>
      </c>
      <c r="O384" s="123">
        <f t="shared" si="77"/>
        <v>24</v>
      </c>
      <c r="P384" s="124">
        <f t="shared" si="71"/>
        <v>0</v>
      </c>
      <c r="Q384" s="125"/>
      <c r="R384" s="125"/>
      <c r="S384" s="125"/>
      <c r="T384" s="125"/>
      <c r="U384" s="125"/>
      <c r="V384" s="125"/>
      <c r="W384" s="125"/>
      <c r="X384" s="125"/>
      <c r="Y384" s="125"/>
      <c r="Z384" s="125"/>
    </row>
    <row r="385" spans="1:26">
      <c r="A385" s="161">
        <v>378</v>
      </c>
      <c r="B385" s="148" t="str">
        <f t="shared" si="72"/>
        <v>32-й год 6-й мес</v>
      </c>
      <c r="C385" s="149">
        <f t="shared" si="78"/>
        <v>52697</v>
      </c>
      <c r="D385" s="150">
        <f t="shared" si="68"/>
        <v>0</v>
      </c>
      <c r="E385" s="151">
        <f t="shared" si="73"/>
        <v>0</v>
      </c>
      <c r="F385" s="151">
        <f t="shared" si="79"/>
        <v>0</v>
      </c>
      <c r="G385" s="152">
        <f t="shared" si="74"/>
        <v>0</v>
      </c>
      <c r="H385" s="153">
        <f t="shared" si="69"/>
        <v>0</v>
      </c>
      <c r="I385" s="151">
        <f t="shared" si="80"/>
        <v>0</v>
      </c>
      <c r="J385" s="151">
        <f t="shared" si="75"/>
        <v>0</v>
      </c>
      <c r="K385" s="154">
        <f t="shared" si="76"/>
        <v>0</v>
      </c>
      <c r="L385" s="167"/>
      <c r="M385" s="171"/>
      <c r="N385" s="155">
        <f t="shared" si="70"/>
        <v>7</v>
      </c>
      <c r="O385" s="123">
        <f t="shared" si="77"/>
        <v>24</v>
      </c>
      <c r="P385" s="124">
        <f t="shared" si="71"/>
        <v>0</v>
      </c>
      <c r="Q385" s="125"/>
      <c r="R385" s="125"/>
      <c r="S385" s="125"/>
      <c r="T385" s="125"/>
      <c r="U385" s="125"/>
      <c r="V385" s="125"/>
      <c r="W385" s="125"/>
      <c r="X385" s="125"/>
      <c r="Y385" s="125"/>
      <c r="Z385" s="125"/>
    </row>
    <row r="386" spans="1:26">
      <c r="A386" s="161">
        <v>379</v>
      </c>
      <c r="B386" s="148" t="str">
        <f t="shared" si="72"/>
        <v>32-й год 7-й мес</v>
      </c>
      <c r="C386" s="149">
        <f t="shared" si="78"/>
        <v>52727</v>
      </c>
      <c r="D386" s="150">
        <f t="shared" si="68"/>
        <v>0</v>
      </c>
      <c r="E386" s="151">
        <f t="shared" si="73"/>
        <v>0</v>
      </c>
      <c r="F386" s="151">
        <f t="shared" si="79"/>
        <v>0</v>
      </c>
      <c r="G386" s="152">
        <f t="shared" si="74"/>
        <v>0</v>
      </c>
      <c r="H386" s="153">
        <f t="shared" si="69"/>
        <v>0</v>
      </c>
      <c r="I386" s="151">
        <f t="shared" si="80"/>
        <v>0</v>
      </c>
      <c r="J386" s="151">
        <f t="shared" si="75"/>
        <v>0</v>
      </c>
      <c r="K386" s="154">
        <f t="shared" si="76"/>
        <v>0</v>
      </c>
      <c r="L386" s="167"/>
      <c r="M386" s="171"/>
      <c r="N386" s="155">
        <f t="shared" si="70"/>
        <v>7</v>
      </c>
      <c r="O386" s="123">
        <f t="shared" si="77"/>
        <v>24</v>
      </c>
      <c r="P386" s="124">
        <f t="shared" si="71"/>
        <v>0</v>
      </c>
      <c r="Q386" s="125"/>
      <c r="R386" s="125"/>
      <c r="S386" s="125"/>
      <c r="T386" s="125"/>
      <c r="U386" s="125"/>
      <c r="V386" s="125"/>
      <c r="W386" s="125"/>
      <c r="X386" s="125"/>
      <c r="Y386" s="125"/>
      <c r="Z386" s="125"/>
    </row>
    <row r="387" spans="1:26">
      <c r="A387" s="161">
        <v>380</v>
      </c>
      <c r="B387" s="148" t="str">
        <f t="shared" si="72"/>
        <v>32-й год 8-й мес</v>
      </c>
      <c r="C387" s="149">
        <f t="shared" si="78"/>
        <v>52758</v>
      </c>
      <c r="D387" s="150">
        <f t="shared" si="68"/>
        <v>0</v>
      </c>
      <c r="E387" s="151">
        <f t="shared" si="73"/>
        <v>0</v>
      </c>
      <c r="F387" s="151">
        <f t="shared" si="79"/>
        <v>0</v>
      </c>
      <c r="G387" s="152">
        <f t="shared" si="74"/>
        <v>0</v>
      </c>
      <c r="H387" s="153">
        <f t="shared" si="69"/>
        <v>0</v>
      </c>
      <c r="I387" s="151">
        <f t="shared" si="80"/>
        <v>0</v>
      </c>
      <c r="J387" s="151">
        <f t="shared" si="75"/>
        <v>0</v>
      </c>
      <c r="K387" s="154">
        <f t="shared" si="76"/>
        <v>0</v>
      </c>
      <c r="L387" s="167"/>
      <c r="M387" s="171"/>
      <c r="N387" s="155">
        <f t="shared" si="70"/>
        <v>7</v>
      </c>
      <c r="O387" s="123">
        <f t="shared" si="77"/>
        <v>24</v>
      </c>
      <c r="P387" s="124">
        <f t="shared" si="71"/>
        <v>0</v>
      </c>
      <c r="Q387" s="125"/>
      <c r="R387" s="125"/>
      <c r="S387" s="125"/>
      <c r="T387" s="125"/>
      <c r="U387" s="125"/>
      <c r="V387" s="125"/>
      <c r="W387" s="125"/>
      <c r="X387" s="125"/>
      <c r="Y387" s="125"/>
      <c r="Z387" s="125"/>
    </row>
    <row r="388" spans="1:26">
      <c r="A388" s="161">
        <v>381</v>
      </c>
      <c r="B388" s="148" t="str">
        <f t="shared" si="72"/>
        <v>32-й год 9-й мес</v>
      </c>
      <c r="C388" s="149">
        <f t="shared" si="78"/>
        <v>52788</v>
      </c>
      <c r="D388" s="150">
        <f t="shared" si="68"/>
        <v>0</v>
      </c>
      <c r="E388" s="151">
        <f t="shared" si="73"/>
        <v>0</v>
      </c>
      <c r="F388" s="151">
        <f t="shared" si="79"/>
        <v>0</v>
      </c>
      <c r="G388" s="152">
        <f t="shared" si="74"/>
        <v>0</v>
      </c>
      <c r="H388" s="153">
        <f t="shared" si="69"/>
        <v>0</v>
      </c>
      <c r="I388" s="151">
        <f t="shared" si="80"/>
        <v>0</v>
      </c>
      <c r="J388" s="151">
        <f t="shared" si="75"/>
        <v>0</v>
      </c>
      <c r="K388" s="154">
        <f t="shared" si="76"/>
        <v>0</v>
      </c>
      <c r="L388" s="167"/>
      <c r="M388" s="171"/>
      <c r="N388" s="155">
        <f t="shared" si="70"/>
        <v>7</v>
      </c>
      <c r="O388" s="123">
        <f t="shared" si="77"/>
        <v>24</v>
      </c>
      <c r="P388" s="124">
        <f t="shared" si="71"/>
        <v>0</v>
      </c>
      <c r="Q388" s="125"/>
      <c r="R388" s="125"/>
      <c r="S388" s="125"/>
      <c r="T388" s="125"/>
      <c r="U388" s="125"/>
      <c r="V388" s="125"/>
      <c r="W388" s="125"/>
      <c r="X388" s="125"/>
      <c r="Y388" s="125"/>
      <c r="Z388" s="125"/>
    </row>
    <row r="389" spans="1:26">
      <c r="A389" s="161">
        <v>382</v>
      </c>
      <c r="B389" s="148" t="str">
        <f t="shared" si="72"/>
        <v>32-й год 10-й мес</v>
      </c>
      <c r="C389" s="149">
        <f t="shared" si="78"/>
        <v>52819</v>
      </c>
      <c r="D389" s="150">
        <f t="shared" si="68"/>
        <v>0</v>
      </c>
      <c r="E389" s="151">
        <f t="shared" si="73"/>
        <v>0</v>
      </c>
      <c r="F389" s="151">
        <f t="shared" si="79"/>
        <v>0</v>
      </c>
      <c r="G389" s="152">
        <f t="shared" si="74"/>
        <v>0</v>
      </c>
      <c r="H389" s="153">
        <f t="shared" si="69"/>
        <v>0</v>
      </c>
      <c r="I389" s="151">
        <f t="shared" si="80"/>
        <v>0</v>
      </c>
      <c r="J389" s="151">
        <f t="shared" si="75"/>
        <v>0</v>
      </c>
      <c r="K389" s="154">
        <f t="shared" si="76"/>
        <v>0</v>
      </c>
      <c r="L389" s="167"/>
      <c r="M389" s="171"/>
      <c r="N389" s="155">
        <f t="shared" si="70"/>
        <v>7</v>
      </c>
      <c r="O389" s="123">
        <f t="shared" si="77"/>
        <v>24</v>
      </c>
      <c r="P389" s="124">
        <f t="shared" si="71"/>
        <v>0</v>
      </c>
      <c r="Q389" s="125"/>
      <c r="R389" s="125"/>
      <c r="S389" s="125"/>
      <c r="T389" s="125"/>
      <c r="U389" s="125"/>
      <c r="V389" s="125"/>
      <c r="W389" s="125"/>
      <c r="X389" s="125"/>
      <c r="Y389" s="125"/>
      <c r="Z389" s="125"/>
    </row>
    <row r="390" spans="1:26">
      <c r="A390" s="161">
        <v>383</v>
      </c>
      <c r="B390" s="148" t="str">
        <f t="shared" si="72"/>
        <v>32-й год 11-й мес</v>
      </c>
      <c r="C390" s="149">
        <f t="shared" si="78"/>
        <v>52850</v>
      </c>
      <c r="D390" s="150">
        <f t="shared" si="68"/>
        <v>0</v>
      </c>
      <c r="E390" s="151">
        <f t="shared" si="73"/>
        <v>0</v>
      </c>
      <c r="F390" s="151">
        <f t="shared" si="79"/>
        <v>0</v>
      </c>
      <c r="G390" s="152">
        <f t="shared" si="74"/>
        <v>0</v>
      </c>
      <c r="H390" s="153">
        <f t="shared" si="69"/>
        <v>0</v>
      </c>
      <c r="I390" s="151">
        <f t="shared" si="80"/>
        <v>0</v>
      </c>
      <c r="J390" s="151">
        <f t="shared" si="75"/>
        <v>0</v>
      </c>
      <c r="K390" s="154">
        <f t="shared" si="76"/>
        <v>0</v>
      </c>
      <c r="L390" s="167"/>
      <c r="M390" s="171"/>
      <c r="N390" s="155">
        <f t="shared" si="70"/>
        <v>7</v>
      </c>
      <c r="O390" s="123">
        <f t="shared" si="77"/>
        <v>24</v>
      </c>
      <c r="P390" s="124">
        <f t="shared" si="71"/>
        <v>0</v>
      </c>
      <c r="Q390" s="125"/>
      <c r="R390" s="125"/>
      <c r="S390" s="125"/>
      <c r="T390" s="125"/>
      <c r="U390" s="125"/>
      <c r="V390" s="125"/>
      <c r="W390" s="125"/>
      <c r="X390" s="125"/>
      <c r="Y390" s="125"/>
      <c r="Z390" s="125"/>
    </row>
    <row r="391" spans="1:26">
      <c r="A391" s="162">
        <v>384</v>
      </c>
      <c r="B391" s="148" t="str">
        <f t="shared" si="72"/>
        <v>32-й год 12-й мес</v>
      </c>
      <c r="C391" s="149">
        <f t="shared" si="78"/>
        <v>52880</v>
      </c>
      <c r="D391" s="150">
        <f t="shared" si="68"/>
        <v>0</v>
      </c>
      <c r="E391" s="163">
        <f t="shared" si="73"/>
        <v>0</v>
      </c>
      <c r="F391" s="151">
        <f t="shared" si="79"/>
        <v>0</v>
      </c>
      <c r="G391" s="164">
        <f t="shared" si="74"/>
        <v>0</v>
      </c>
      <c r="H391" s="165">
        <f t="shared" si="69"/>
        <v>0</v>
      </c>
      <c r="I391" s="163">
        <f t="shared" si="80"/>
        <v>0</v>
      </c>
      <c r="J391" s="163">
        <f t="shared" si="75"/>
        <v>0</v>
      </c>
      <c r="K391" s="166">
        <f t="shared" si="76"/>
        <v>0</v>
      </c>
      <c r="L391" s="170"/>
      <c r="M391" s="172"/>
      <c r="N391" s="155">
        <f t="shared" si="70"/>
        <v>7</v>
      </c>
      <c r="O391" s="123">
        <f t="shared" si="77"/>
        <v>24</v>
      </c>
      <c r="P391" s="124">
        <f t="shared" si="71"/>
        <v>0</v>
      </c>
      <c r="Q391" s="125"/>
      <c r="R391" s="125"/>
      <c r="S391" s="125"/>
      <c r="T391" s="125"/>
      <c r="U391" s="125"/>
      <c r="V391" s="125"/>
      <c r="W391" s="125"/>
      <c r="X391" s="125"/>
      <c r="Y391" s="125"/>
      <c r="Z391" s="125"/>
    </row>
    <row r="392" spans="1:26">
      <c r="A392" s="147">
        <v>385</v>
      </c>
      <c r="B392" s="148" t="str">
        <f t="shared" si="72"/>
        <v>33-й год 1-й мес</v>
      </c>
      <c r="C392" s="149">
        <f t="shared" si="78"/>
        <v>52911</v>
      </c>
      <c r="D392" s="150">
        <f t="shared" ref="D392:D455" si="81">IF(P392*$D$2/100/12/(1-(1+$D$2/100/12)^(-O392))&lt;G391,ROUNDUP(P392*$D$2/100/12/(1-(1+$D$2/100/12)^(-O392)),0),G391+F392)</f>
        <v>0</v>
      </c>
      <c r="E392" s="151">
        <f t="shared" si="73"/>
        <v>0</v>
      </c>
      <c r="F392" s="151">
        <f t="shared" si="79"/>
        <v>0</v>
      </c>
      <c r="G392" s="152">
        <f t="shared" si="74"/>
        <v>0</v>
      </c>
      <c r="H392" s="153">
        <f t="shared" ref="H392:H455" si="82">I392+J392</f>
        <v>0</v>
      </c>
      <c r="I392" s="151">
        <f t="shared" si="80"/>
        <v>0</v>
      </c>
      <c r="J392" s="151">
        <f t="shared" si="75"/>
        <v>0</v>
      </c>
      <c r="K392" s="154">
        <f t="shared" si="76"/>
        <v>0</v>
      </c>
      <c r="L392" s="167"/>
      <c r="M392" s="171"/>
      <c r="N392" s="155">
        <f t="shared" ref="N392:N455" si="83">IF(ISBLANK(L391),VALUE(N391),ROW(L391))</f>
        <v>7</v>
      </c>
      <c r="O392" s="123">
        <f t="shared" si="77"/>
        <v>24</v>
      </c>
      <c r="P392" s="124">
        <f t="shared" ref="P392:P455" si="84">INDEX(G:G,N392,1)</f>
        <v>0</v>
      </c>
      <c r="Q392" s="125"/>
      <c r="R392" s="125"/>
      <c r="S392" s="125"/>
      <c r="T392" s="125"/>
      <c r="U392" s="125"/>
      <c r="V392" s="125"/>
      <c r="W392" s="125"/>
      <c r="X392" s="125"/>
      <c r="Y392" s="125"/>
      <c r="Z392" s="125"/>
    </row>
    <row r="393" spans="1:26">
      <c r="A393" s="147">
        <v>386</v>
      </c>
      <c r="B393" s="148" t="str">
        <f t="shared" ref="B393:B456" si="85">CONCATENATE(INT((A393-1)/12)+1,"-й год ",A393-1-INT((A393-1)/12)*12+1,"-й мес")</f>
        <v>33-й год 2-й мес</v>
      </c>
      <c r="C393" s="149">
        <f t="shared" si="78"/>
        <v>52941</v>
      </c>
      <c r="D393" s="150">
        <f t="shared" si="81"/>
        <v>0</v>
      </c>
      <c r="E393" s="151">
        <f t="shared" ref="E393:E456" si="86">D393-F393</f>
        <v>0</v>
      </c>
      <c r="F393" s="151">
        <f t="shared" si="79"/>
        <v>0</v>
      </c>
      <c r="G393" s="152">
        <f t="shared" ref="G393:G456" si="87">G392-E393-L393-M393</f>
        <v>0</v>
      </c>
      <c r="H393" s="153">
        <f t="shared" si="82"/>
        <v>0</v>
      </c>
      <c r="I393" s="151">
        <f t="shared" si="80"/>
        <v>0</v>
      </c>
      <c r="J393" s="151">
        <f t="shared" ref="J393:J456" si="88">K392*$D$2/12/100</f>
        <v>0</v>
      </c>
      <c r="K393" s="154">
        <f t="shared" ref="K393:K456" si="89">K392-I393-L393-M393</f>
        <v>0</v>
      </c>
      <c r="L393" s="167"/>
      <c r="M393" s="171"/>
      <c r="N393" s="155">
        <f t="shared" si="83"/>
        <v>7</v>
      </c>
      <c r="O393" s="123">
        <f t="shared" ref="O393:O456" si="90">O392+N392-N393</f>
        <v>24</v>
      </c>
      <c r="P393" s="124">
        <f t="shared" si="84"/>
        <v>0</v>
      </c>
      <c r="Q393" s="125"/>
      <c r="R393" s="125"/>
      <c r="S393" s="125"/>
      <c r="T393" s="125"/>
      <c r="U393" s="125"/>
      <c r="V393" s="125"/>
      <c r="W393" s="125"/>
      <c r="X393" s="125"/>
      <c r="Y393" s="125"/>
      <c r="Z393" s="125"/>
    </row>
    <row r="394" spans="1:26">
      <c r="A394" s="147">
        <v>387</v>
      </c>
      <c r="B394" s="148" t="str">
        <f t="shared" si="85"/>
        <v>33-й год 3-й мес</v>
      </c>
      <c r="C394" s="149">
        <f t="shared" ref="C394:C457" si="91">DATE(YEAR(C393),MONTH(C393)+1,DAY(C393))</f>
        <v>52972</v>
      </c>
      <c r="D394" s="150">
        <f t="shared" si="81"/>
        <v>0</v>
      </c>
      <c r="E394" s="151">
        <f t="shared" si="86"/>
        <v>0</v>
      </c>
      <c r="F394" s="151">
        <f t="shared" ref="F394:F457" si="92">G393*$D$2*(C394-C393)/(DATE(YEAR(C394)+1,1,1)-DATE(YEAR(C394),1,1))/100</f>
        <v>0</v>
      </c>
      <c r="G394" s="152">
        <f t="shared" si="87"/>
        <v>0</v>
      </c>
      <c r="H394" s="153">
        <f t="shared" si="82"/>
        <v>0</v>
      </c>
      <c r="I394" s="151">
        <f t="shared" ref="I394:I457" si="93">IF($D$1/$D$3&lt;K393,$D$1/$D$3,K393)</f>
        <v>0</v>
      </c>
      <c r="J394" s="151">
        <f t="shared" si="88"/>
        <v>0</v>
      </c>
      <c r="K394" s="154">
        <f t="shared" si="89"/>
        <v>0</v>
      </c>
      <c r="L394" s="167"/>
      <c r="M394" s="171"/>
      <c r="N394" s="155">
        <f t="shared" si="83"/>
        <v>7</v>
      </c>
      <c r="O394" s="123">
        <f t="shared" si="90"/>
        <v>24</v>
      </c>
      <c r="P394" s="124">
        <f t="shared" si="84"/>
        <v>0</v>
      </c>
      <c r="Q394" s="125"/>
      <c r="R394" s="125"/>
      <c r="S394" s="125"/>
      <c r="T394" s="125"/>
      <c r="U394" s="125"/>
      <c r="V394" s="125"/>
      <c r="W394" s="125"/>
      <c r="X394" s="125"/>
      <c r="Y394" s="125"/>
      <c r="Z394" s="125"/>
    </row>
    <row r="395" spans="1:26">
      <c r="A395" s="147">
        <v>388</v>
      </c>
      <c r="B395" s="148" t="str">
        <f t="shared" si="85"/>
        <v>33-й год 4-й мес</v>
      </c>
      <c r="C395" s="149">
        <f t="shared" si="91"/>
        <v>53003</v>
      </c>
      <c r="D395" s="150">
        <f t="shared" si="81"/>
        <v>0</v>
      </c>
      <c r="E395" s="151">
        <f t="shared" si="86"/>
        <v>0</v>
      </c>
      <c r="F395" s="151">
        <f t="shared" si="92"/>
        <v>0</v>
      </c>
      <c r="G395" s="152">
        <f t="shared" si="87"/>
        <v>0</v>
      </c>
      <c r="H395" s="153">
        <f t="shared" si="82"/>
        <v>0</v>
      </c>
      <c r="I395" s="151">
        <f t="shared" si="93"/>
        <v>0</v>
      </c>
      <c r="J395" s="151">
        <f t="shared" si="88"/>
        <v>0</v>
      </c>
      <c r="K395" s="154">
        <f t="shared" si="89"/>
        <v>0</v>
      </c>
      <c r="L395" s="167"/>
      <c r="M395" s="171"/>
      <c r="N395" s="155">
        <f t="shared" si="83"/>
        <v>7</v>
      </c>
      <c r="O395" s="123">
        <f t="shared" si="90"/>
        <v>24</v>
      </c>
      <c r="P395" s="124">
        <f t="shared" si="84"/>
        <v>0</v>
      </c>
      <c r="Q395" s="125"/>
      <c r="R395" s="125"/>
      <c r="S395" s="125"/>
      <c r="T395" s="125"/>
      <c r="U395" s="125"/>
      <c r="V395" s="125"/>
      <c r="W395" s="125"/>
      <c r="X395" s="125"/>
      <c r="Y395" s="125"/>
      <c r="Z395" s="125"/>
    </row>
    <row r="396" spans="1:26">
      <c r="A396" s="147">
        <v>389</v>
      </c>
      <c r="B396" s="148" t="str">
        <f t="shared" si="85"/>
        <v>33-й год 5-й мес</v>
      </c>
      <c r="C396" s="149">
        <f t="shared" si="91"/>
        <v>53031</v>
      </c>
      <c r="D396" s="150">
        <f t="shared" si="81"/>
        <v>0</v>
      </c>
      <c r="E396" s="151">
        <f t="shared" si="86"/>
        <v>0</v>
      </c>
      <c r="F396" s="151">
        <f t="shared" si="92"/>
        <v>0</v>
      </c>
      <c r="G396" s="152">
        <f t="shared" si="87"/>
        <v>0</v>
      </c>
      <c r="H396" s="153">
        <f t="shared" si="82"/>
        <v>0</v>
      </c>
      <c r="I396" s="151">
        <f t="shared" si="93"/>
        <v>0</v>
      </c>
      <c r="J396" s="151">
        <f t="shared" si="88"/>
        <v>0</v>
      </c>
      <c r="K396" s="154">
        <f t="shared" si="89"/>
        <v>0</v>
      </c>
      <c r="L396" s="167"/>
      <c r="M396" s="171"/>
      <c r="N396" s="155">
        <f t="shared" si="83"/>
        <v>7</v>
      </c>
      <c r="O396" s="123">
        <f t="shared" si="90"/>
        <v>24</v>
      </c>
      <c r="P396" s="124">
        <f t="shared" si="84"/>
        <v>0</v>
      </c>
      <c r="Q396" s="125"/>
      <c r="R396" s="125"/>
      <c r="S396" s="125"/>
      <c r="T396" s="125"/>
      <c r="U396" s="125"/>
      <c r="V396" s="125"/>
      <c r="W396" s="125"/>
      <c r="X396" s="125"/>
      <c r="Y396" s="125"/>
      <c r="Z396" s="125"/>
    </row>
    <row r="397" spans="1:26">
      <c r="A397" s="147">
        <v>390</v>
      </c>
      <c r="B397" s="148" t="str">
        <f t="shared" si="85"/>
        <v>33-й год 6-й мес</v>
      </c>
      <c r="C397" s="149">
        <f t="shared" si="91"/>
        <v>53062</v>
      </c>
      <c r="D397" s="150">
        <f t="shared" si="81"/>
        <v>0</v>
      </c>
      <c r="E397" s="151">
        <f t="shared" si="86"/>
        <v>0</v>
      </c>
      <c r="F397" s="151">
        <f t="shared" si="92"/>
        <v>0</v>
      </c>
      <c r="G397" s="152">
        <f t="shared" si="87"/>
        <v>0</v>
      </c>
      <c r="H397" s="153">
        <f t="shared" si="82"/>
        <v>0</v>
      </c>
      <c r="I397" s="151">
        <f t="shared" si="93"/>
        <v>0</v>
      </c>
      <c r="J397" s="151">
        <f t="shared" si="88"/>
        <v>0</v>
      </c>
      <c r="K397" s="154">
        <f t="shared" si="89"/>
        <v>0</v>
      </c>
      <c r="L397" s="167"/>
      <c r="M397" s="171"/>
      <c r="N397" s="155">
        <f t="shared" si="83"/>
        <v>7</v>
      </c>
      <c r="O397" s="123">
        <f t="shared" si="90"/>
        <v>24</v>
      </c>
      <c r="P397" s="124">
        <f t="shared" si="84"/>
        <v>0</v>
      </c>
      <c r="Q397" s="125"/>
      <c r="R397" s="125"/>
      <c r="S397" s="125"/>
      <c r="T397" s="125"/>
      <c r="U397" s="125"/>
      <c r="V397" s="125"/>
      <c r="W397" s="125"/>
      <c r="X397" s="125"/>
      <c r="Y397" s="125"/>
      <c r="Z397" s="125"/>
    </row>
    <row r="398" spans="1:26">
      <c r="A398" s="147">
        <v>391</v>
      </c>
      <c r="B398" s="148" t="str">
        <f t="shared" si="85"/>
        <v>33-й год 7-й мес</v>
      </c>
      <c r="C398" s="149">
        <f t="shared" si="91"/>
        <v>53092</v>
      </c>
      <c r="D398" s="150">
        <f t="shared" si="81"/>
        <v>0</v>
      </c>
      <c r="E398" s="151">
        <f t="shared" si="86"/>
        <v>0</v>
      </c>
      <c r="F398" s="151">
        <f t="shared" si="92"/>
        <v>0</v>
      </c>
      <c r="G398" s="152">
        <f t="shared" si="87"/>
        <v>0</v>
      </c>
      <c r="H398" s="153">
        <f t="shared" si="82"/>
        <v>0</v>
      </c>
      <c r="I398" s="151">
        <f t="shared" si="93"/>
        <v>0</v>
      </c>
      <c r="J398" s="151">
        <f t="shared" si="88"/>
        <v>0</v>
      </c>
      <c r="K398" s="154">
        <f t="shared" si="89"/>
        <v>0</v>
      </c>
      <c r="L398" s="167"/>
      <c r="M398" s="171"/>
      <c r="N398" s="155">
        <f t="shared" si="83"/>
        <v>7</v>
      </c>
      <c r="O398" s="123">
        <f t="shared" si="90"/>
        <v>24</v>
      </c>
      <c r="P398" s="124">
        <f t="shared" si="84"/>
        <v>0</v>
      </c>
      <c r="Q398" s="125"/>
      <c r="R398" s="125"/>
      <c r="S398" s="125"/>
      <c r="T398" s="125"/>
      <c r="U398" s="125"/>
      <c r="V398" s="125"/>
      <c r="W398" s="125"/>
      <c r="X398" s="125"/>
      <c r="Y398" s="125"/>
      <c r="Z398" s="125"/>
    </row>
    <row r="399" spans="1:26">
      <c r="A399" s="147">
        <v>392</v>
      </c>
      <c r="B399" s="148" t="str">
        <f t="shared" si="85"/>
        <v>33-й год 8-й мес</v>
      </c>
      <c r="C399" s="149">
        <f t="shared" si="91"/>
        <v>53123</v>
      </c>
      <c r="D399" s="150">
        <f t="shared" si="81"/>
        <v>0</v>
      </c>
      <c r="E399" s="151">
        <f t="shared" si="86"/>
        <v>0</v>
      </c>
      <c r="F399" s="151">
        <f t="shared" si="92"/>
        <v>0</v>
      </c>
      <c r="G399" s="152">
        <f t="shared" si="87"/>
        <v>0</v>
      </c>
      <c r="H399" s="153">
        <f t="shared" si="82"/>
        <v>0</v>
      </c>
      <c r="I399" s="151">
        <f t="shared" si="93"/>
        <v>0</v>
      </c>
      <c r="J399" s="151">
        <f t="shared" si="88"/>
        <v>0</v>
      </c>
      <c r="K399" s="154">
        <f t="shared" si="89"/>
        <v>0</v>
      </c>
      <c r="L399" s="167"/>
      <c r="M399" s="171"/>
      <c r="N399" s="155">
        <f t="shared" si="83"/>
        <v>7</v>
      </c>
      <c r="O399" s="123">
        <f t="shared" si="90"/>
        <v>24</v>
      </c>
      <c r="P399" s="124">
        <f t="shared" si="84"/>
        <v>0</v>
      </c>
      <c r="Q399" s="125"/>
      <c r="R399" s="125"/>
      <c r="S399" s="125"/>
      <c r="T399" s="125"/>
      <c r="U399" s="125"/>
      <c r="V399" s="125"/>
      <c r="W399" s="125"/>
      <c r="X399" s="125"/>
      <c r="Y399" s="125"/>
      <c r="Z399" s="125"/>
    </row>
    <row r="400" spans="1:26">
      <c r="A400" s="147">
        <v>393</v>
      </c>
      <c r="B400" s="148" t="str">
        <f t="shared" si="85"/>
        <v>33-й год 9-й мес</v>
      </c>
      <c r="C400" s="149">
        <f t="shared" si="91"/>
        <v>53153</v>
      </c>
      <c r="D400" s="150">
        <f t="shared" si="81"/>
        <v>0</v>
      </c>
      <c r="E400" s="151">
        <f t="shared" si="86"/>
        <v>0</v>
      </c>
      <c r="F400" s="151">
        <f t="shared" si="92"/>
        <v>0</v>
      </c>
      <c r="G400" s="152">
        <f t="shared" si="87"/>
        <v>0</v>
      </c>
      <c r="H400" s="153">
        <f t="shared" si="82"/>
        <v>0</v>
      </c>
      <c r="I400" s="151">
        <f t="shared" si="93"/>
        <v>0</v>
      </c>
      <c r="J400" s="151">
        <f t="shared" si="88"/>
        <v>0</v>
      </c>
      <c r="K400" s="154">
        <f t="shared" si="89"/>
        <v>0</v>
      </c>
      <c r="L400" s="167"/>
      <c r="M400" s="171"/>
      <c r="N400" s="155">
        <f t="shared" si="83"/>
        <v>7</v>
      </c>
      <c r="O400" s="123">
        <f t="shared" si="90"/>
        <v>24</v>
      </c>
      <c r="P400" s="124">
        <f t="shared" si="84"/>
        <v>0</v>
      </c>
      <c r="Q400" s="125"/>
      <c r="R400" s="125"/>
      <c r="S400" s="125"/>
      <c r="T400" s="125"/>
      <c r="U400" s="125"/>
      <c r="V400" s="125"/>
      <c r="W400" s="125"/>
      <c r="X400" s="125"/>
      <c r="Y400" s="125"/>
      <c r="Z400" s="125"/>
    </row>
    <row r="401" spans="1:26">
      <c r="A401" s="147">
        <v>394</v>
      </c>
      <c r="B401" s="148" t="str">
        <f t="shared" si="85"/>
        <v>33-й год 10-й мес</v>
      </c>
      <c r="C401" s="149">
        <f t="shared" si="91"/>
        <v>53184</v>
      </c>
      <c r="D401" s="150">
        <f t="shared" si="81"/>
        <v>0</v>
      </c>
      <c r="E401" s="151">
        <f t="shared" si="86"/>
        <v>0</v>
      </c>
      <c r="F401" s="151">
        <f t="shared" si="92"/>
        <v>0</v>
      </c>
      <c r="G401" s="152">
        <f t="shared" si="87"/>
        <v>0</v>
      </c>
      <c r="H401" s="153">
        <f t="shared" si="82"/>
        <v>0</v>
      </c>
      <c r="I401" s="151">
        <f t="shared" si="93"/>
        <v>0</v>
      </c>
      <c r="J401" s="151">
        <f t="shared" si="88"/>
        <v>0</v>
      </c>
      <c r="K401" s="154">
        <f t="shared" si="89"/>
        <v>0</v>
      </c>
      <c r="L401" s="167"/>
      <c r="M401" s="171"/>
      <c r="N401" s="155">
        <f t="shared" si="83"/>
        <v>7</v>
      </c>
      <c r="O401" s="123">
        <f t="shared" si="90"/>
        <v>24</v>
      </c>
      <c r="P401" s="124">
        <f t="shared" si="84"/>
        <v>0</v>
      </c>
      <c r="Q401" s="125"/>
      <c r="R401" s="125"/>
      <c r="S401" s="125"/>
      <c r="T401" s="125"/>
      <c r="U401" s="125"/>
      <c r="V401" s="125"/>
      <c r="W401" s="125"/>
      <c r="X401" s="125"/>
      <c r="Y401" s="125"/>
      <c r="Z401" s="125"/>
    </row>
    <row r="402" spans="1:26">
      <c r="A402" s="147">
        <v>395</v>
      </c>
      <c r="B402" s="148" t="str">
        <f t="shared" si="85"/>
        <v>33-й год 11-й мес</v>
      </c>
      <c r="C402" s="149">
        <f t="shared" si="91"/>
        <v>53215</v>
      </c>
      <c r="D402" s="150">
        <f t="shared" si="81"/>
        <v>0</v>
      </c>
      <c r="E402" s="151">
        <f t="shared" si="86"/>
        <v>0</v>
      </c>
      <c r="F402" s="151">
        <f t="shared" si="92"/>
        <v>0</v>
      </c>
      <c r="G402" s="152">
        <f t="shared" si="87"/>
        <v>0</v>
      </c>
      <c r="H402" s="153">
        <f t="shared" si="82"/>
        <v>0</v>
      </c>
      <c r="I402" s="151">
        <f t="shared" si="93"/>
        <v>0</v>
      </c>
      <c r="J402" s="151">
        <f t="shared" si="88"/>
        <v>0</v>
      </c>
      <c r="K402" s="154">
        <f t="shared" si="89"/>
        <v>0</v>
      </c>
      <c r="L402" s="167"/>
      <c r="M402" s="171"/>
      <c r="N402" s="155">
        <f t="shared" si="83"/>
        <v>7</v>
      </c>
      <c r="O402" s="123">
        <f t="shared" si="90"/>
        <v>24</v>
      </c>
      <c r="P402" s="124">
        <f t="shared" si="84"/>
        <v>0</v>
      </c>
      <c r="Q402" s="125"/>
      <c r="R402" s="125"/>
      <c r="S402" s="125"/>
      <c r="T402" s="125"/>
      <c r="U402" s="125"/>
      <c r="V402" s="125"/>
      <c r="W402" s="125"/>
      <c r="X402" s="125"/>
      <c r="Y402" s="125"/>
      <c r="Z402" s="125"/>
    </row>
    <row r="403" spans="1:26">
      <c r="A403" s="147">
        <v>396</v>
      </c>
      <c r="B403" s="148" t="str">
        <f t="shared" si="85"/>
        <v>33-й год 12-й мес</v>
      </c>
      <c r="C403" s="149">
        <f t="shared" si="91"/>
        <v>53245</v>
      </c>
      <c r="D403" s="150">
        <f t="shared" si="81"/>
        <v>0</v>
      </c>
      <c r="E403" s="151">
        <f t="shared" si="86"/>
        <v>0</v>
      </c>
      <c r="F403" s="151">
        <f t="shared" si="92"/>
        <v>0</v>
      </c>
      <c r="G403" s="152">
        <f t="shared" si="87"/>
        <v>0</v>
      </c>
      <c r="H403" s="153">
        <f t="shared" si="82"/>
        <v>0</v>
      </c>
      <c r="I403" s="151">
        <f t="shared" si="93"/>
        <v>0</v>
      </c>
      <c r="J403" s="151">
        <f t="shared" si="88"/>
        <v>0</v>
      </c>
      <c r="K403" s="154">
        <f t="shared" si="89"/>
        <v>0</v>
      </c>
      <c r="L403" s="167"/>
      <c r="M403" s="171"/>
      <c r="N403" s="155">
        <f t="shared" si="83"/>
        <v>7</v>
      </c>
      <c r="O403" s="123">
        <f t="shared" si="90"/>
        <v>24</v>
      </c>
      <c r="P403" s="124">
        <f t="shared" si="84"/>
        <v>0</v>
      </c>
      <c r="Q403" s="125"/>
      <c r="R403" s="125"/>
      <c r="S403" s="125"/>
      <c r="T403" s="125"/>
      <c r="U403" s="125"/>
      <c r="V403" s="125"/>
      <c r="W403" s="125"/>
      <c r="X403" s="125"/>
      <c r="Y403" s="125"/>
      <c r="Z403" s="125"/>
    </row>
    <row r="404" spans="1:26">
      <c r="A404" s="156">
        <v>397</v>
      </c>
      <c r="B404" s="148" t="str">
        <f t="shared" si="85"/>
        <v>34-й год 1-й мес</v>
      </c>
      <c r="C404" s="149">
        <f t="shared" si="91"/>
        <v>53276</v>
      </c>
      <c r="D404" s="150">
        <f t="shared" si="81"/>
        <v>0</v>
      </c>
      <c r="E404" s="157">
        <f t="shared" si="86"/>
        <v>0</v>
      </c>
      <c r="F404" s="151">
        <f t="shared" si="92"/>
        <v>0</v>
      </c>
      <c r="G404" s="158">
        <f t="shared" si="87"/>
        <v>0</v>
      </c>
      <c r="H404" s="159">
        <f t="shared" si="82"/>
        <v>0</v>
      </c>
      <c r="I404" s="157">
        <f t="shared" si="93"/>
        <v>0</v>
      </c>
      <c r="J404" s="157">
        <f t="shared" si="88"/>
        <v>0</v>
      </c>
      <c r="K404" s="160">
        <f t="shared" si="89"/>
        <v>0</v>
      </c>
      <c r="L404" s="169"/>
      <c r="M404" s="168"/>
      <c r="N404" s="155">
        <f t="shared" si="83"/>
        <v>7</v>
      </c>
      <c r="O404" s="123">
        <f t="shared" si="90"/>
        <v>24</v>
      </c>
      <c r="P404" s="124">
        <f t="shared" si="84"/>
        <v>0</v>
      </c>
      <c r="Q404" s="125"/>
      <c r="R404" s="125"/>
      <c r="S404" s="125"/>
      <c r="T404" s="125"/>
      <c r="U404" s="125"/>
      <c r="V404" s="125"/>
      <c r="W404" s="125"/>
      <c r="X404" s="125"/>
      <c r="Y404" s="125"/>
      <c r="Z404" s="125"/>
    </row>
    <row r="405" spans="1:26">
      <c r="A405" s="161">
        <v>398</v>
      </c>
      <c r="B405" s="148" t="str">
        <f t="shared" si="85"/>
        <v>34-й год 2-й мес</v>
      </c>
      <c r="C405" s="149">
        <f t="shared" si="91"/>
        <v>53306</v>
      </c>
      <c r="D405" s="150">
        <f t="shared" si="81"/>
        <v>0</v>
      </c>
      <c r="E405" s="151">
        <f t="shared" si="86"/>
        <v>0</v>
      </c>
      <c r="F405" s="151">
        <f t="shared" si="92"/>
        <v>0</v>
      </c>
      <c r="G405" s="152">
        <f t="shared" si="87"/>
        <v>0</v>
      </c>
      <c r="H405" s="153">
        <f t="shared" si="82"/>
        <v>0</v>
      </c>
      <c r="I405" s="151">
        <f t="shared" si="93"/>
        <v>0</v>
      </c>
      <c r="J405" s="151">
        <f t="shared" si="88"/>
        <v>0</v>
      </c>
      <c r="K405" s="154">
        <f t="shared" si="89"/>
        <v>0</v>
      </c>
      <c r="L405" s="167"/>
      <c r="M405" s="171"/>
      <c r="N405" s="155">
        <f t="shared" si="83"/>
        <v>7</v>
      </c>
      <c r="O405" s="123">
        <f t="shared" si="90"/>
        <v>24</v>
      </c>
      <c r="P405" s="124">
        <f t="shared" si="84"/>
        <v>0</v>
      </c>
      <c r="Q405" s="125"/>
      <c r="R405" s="125"/>
      <c r="S405" s="125"/>
      <c r="T405" s="125"/>
      <c r="U405" s="125"/>
      <c r="V405" s="125"/>
      <c r="W405" s="125"/>
      <c r="X405" s="125"/>
      <c r="Y405" s="125"/>
      <c r="Z405" s="125"/>
    </row>
    <row r="406" spans="1:26">
      <c r="A406" s="161">
        <v>399</v>
      </c>
      <c r="B406" s="148" t="str">
        <f t="shared" si="85"/>
        <v>34-й год 3-й мес</v>
      </c>
      <c r="C406" s="149">
        <f t="shared" si="91"/>
        <v>53337</v>
      </c>
      <c r="D406" s="150">
        <f t="shared" si="81"/>
        <v>0</v>
      </c>
      <c r="E406" s="151">
        <f t="shared" si="86"/>
        <v>0</v>
      </c>
      <c r="F406" s="151">
        <f t="shared" si="92"/>
        <v>0</v>
      </c>
      <c r="G406" s="152">
        <f t="shared" si="87"/>
        <v>0</v>
      </c>
      <c r="H406" s="153">
        <f t="shared" si="82"/>
        <v>0</v>
      </c>
      <c r="I406" s="151">
        <f t="shared" si="93"/>
        <v>0</v>
      </c>
      <c r="J406" s="151">
        <f t="shared" si="88"/>
        <v>0</v>
      </c>
      <c r="K406" s="154">
        <f t="shared" si="89"/>
        <v>0</v>
      </c>
      <c r="L406" s="167"/>
      <c r="M406" s="171"/>
      <c r="N406" s="155">
        <f t="shared" si="83"/>
        <v>7</v>
      </c>
      <c r="O406" s="123">
        <f t="shared" si="90"/>
        <v>24</v>
      </c>
      <c r="P406" s="124">
        <f t="shared" si="84"/>
        <v>0</v>
      </c>
      <c r="Q406" s="125"/>
      <c r="R406" s="125"/>
      <c r="S406" s="125"/>
      <c r="T406" s="125"/>
      <c r="U406" s="125"/>
      <c r="V406" s="125"/>
      <c r="W406" s="125"/>
      <c r="X406" s="125"/>
      <c r="Y406" s="125"/>
      <c r="Z406" s="125"/>
    </row>
    <row r="407" spans="1:26">
      <c r="A407" s="161">
        <v>400</v>
      </c>
      <c r="B407" s="148" t="str">
        <f t="shared" si="85"/>
        <v>34-й год 4-й мес</v>
      </c>
      <c r="C407" s="149">
        <f t="shared" si="91"/>
        <v>53368</v>
      </c>
      <c r="D407" s="150">
        <f t="shared" si="81"/>
        <v>0</v>
      </c>
      <c r="E407" s="151">
        <f t="shared" si="86"/>
        <v>0</v>
      </c>
      <c r="F407" s="151">
        <f t="shared" si="92"/>
        <v>0</v>
      </c>
      <c r="G407" s="152">
        <f t="shared" si="87"/>
        <v>0</v>
      </c>
      <c r="H407" s="153">
        <f t="shared" si="82"/>
        <v>0</v>
      </c>
      <c r="I407" s="151">
        <f t="shared" si="93"/>
        <v>0</v>
      </c>
      <c r="J407" s="151">
        <f t="shared" si="88"/>
        <v>0</v>
      </c>
      <c r="K407" s="154">
        <f t="shared" si="89"/>
        <v>0</v>
      </c>
      <c r="L407" s="167"/>
      <c r="M407" s="171"/>
      <c r="N407" s="155">
        <f t="shared" si="83"/>
        <v>7</v>
      </c>
      <c r="O407" s="123">
        <f t="shared" si="90"/>
        <v>24</v>
      </c>
      <c r="P407" s="124">
        <f t="shared" si="84"/>
        <v>0</v>
      </c>
      <c r="Q407" s="125"/>
      <c r="R407" s="125"/>
      <c r="S407" s="125"/>
      <c r="T407" s="125"/>
      <c r="U407" s="125"/>
      <c r="V407" s="125"/>
      <c r="W407" s="125"/>
      <c r="X407" s="125"/>
      <c r="Y407" s="125"/>
      <c r="Z407" s="125"/>
    </row>
    <row r="408" spans="1:26">
      <c r="A408" s="161">
        <v>401</v>
      </c>
      <c r="B408" s="148" t="str">
        <f t="shared" si="85"/>
        <v>34-й год 5-й мес</v>
      </c>
      <c r="C408" s="149">
        <f t="shared" si="91"/>
        <v>53396</v>
      </c>
      <c r="D408" s="150">
        <f t="shared" si="81"/>
        <v>0</v>
      </c>
      <c r="E408" s="151">
        <f t="shared" si="86"/>
        <v>0</v>
      </c>
      <c r="F408" s="151">
        <f t="shared" si="92"/>
        <v>0</v>
      </c>
      <c r="G408" s="152">
        <f t="shared" si="87"/>
        <v>0</v>
      </c>
      <c r="H408" s="153">
        <f t="shared" si="82"/>
        <v>0</v>
      </c>
      <c r="I408" s="151">
        <f t="shared" si="93"/>
        <v>0</v>
      </c>
      <c r="J408" s="151">
        <f t="shared" si="88"/>
        <v>0</v>
      </c>
      <c r="K408" s="154">
        <f t="shared" si="89"/>
        <v>0</v>
      </c>
      <c r="L408" s="167"/>
      <c r="M408" s="171"/>
      <c r="N408" s="155">
        <f t="shared" si="83"/>
        <v>7</v>
      </c>
      <c r="O408" s="123">
        <f t="shared" si="90"/>
        <v>24</v>
      </c>
      <c r="P408" s="124">
        <f t="shared" si="84"/>
        <v>0</v>
      </c>
      <c r="Q408" s="125"/>
      <c r="R408" s="125"/>
      <c r="S408" s="125"/>
      <c r="T408" s="125"/>
      <c r="U408" s="125"/>
      <c r="V408" s="125"/>
      <c r="W408" s="125"/>
      <c r="X408" s="125"/>
      <c r="Y408" s="125"/>
      <c r="Z408" s="125"/>
    </row>
    <row r="409" spans="1:26">
      <c r="A409" s="161">
        <v>402</v>
      </c>
      <c r="B409" s="148" t="str">
        <f t="shared" si="85"/>
        <v>34-й год 6-й мес</v>
      </c>
      <c r="C409" s="149">
        <f t="shared" si="91"/>
        <v>53427</v>
      </c>
      <c r="D409" s="150">
        <f t="shared" si="81"/>
        <v>0</v>
      </c>
      <c r="E409" s="151">
        <f t="shared" si="86"/>
        <v>0</v>
      </c>
      <c r="F409" s="151">
        <f t="shared" si="92"/>
        <v>0</v>
      </c>
      <c r="G409" s="152">
        <f t="shared" si="87"/>
        <v>0</v>
      </c>
      <c r="H409" s="153">
        <f t="shared" si="82"/>
        <v>0</v>
      </c>
      <c r="I409" s="151">
        <f t="shared" si="93"/>
        <v>0</v>
      </c>
      <c r="J409" s="151">
        <f t="shared" si="88"/>
        <v>0</v>
      </c>
      <c r="K409" s="154">
        <f t="shared" si="89"/>
        <v>0</v>
      </c>
      <c r="L409" s="167"/>
      <c r="M409" s="171"/>
      <c r="N409" s="155">
        <f t="shared" si="83"/>
        <v>7</v>
      </c>
      <c r="O409" s="123">
        <f t="shared" si="90"/>
        <v>24</v>
      </c>
      <c r="P409" s="124">
        <f t="shared" si="84"/>
        <v>0</v>
      </c>
      <c r="Q409" s="125"/>
      <c r="R409" s="125"/>
      <c r="S409" s="125"/>
      <c r="T409" s="125"/>
      <c r="U409" s="125"/>
      <c r="V409" s="125"/>
      <c r="W409" s="125"/>
      <c r="X409" s="125"/>
      <c r="Y409" s="125"/>
      <c r="Z409" s="125"/>
    </row>
    <row r="410" spans="1:26">
      <c r="A410" s="161">
        <v>403</v>
      </c>
      <c r="B410" s="148" t="str">
        <f t="shared" si="85"/>
        <v>34-й год 7-й мес</v>
      </c>
      <c r="C410" s="149">
        <f t="shared" si="91"/>
        <v>53457</v>
      </c>
      <c r="D410" s="150">
        <f t="shared" si="81"/>
        <v>0</v>
      </c>
      <c r="E410" s="151">
        <f t="shared" si="86"/>
        <v>0</v>
      </c>
      <c r="F410" s="151">
        <f t="shared" si="92"/>
        <v>0</v>
      </c>
      <c r="G410" s="152">
        <f t="shared" si="87"/>
        <v>0</v>
      </c>
      <c r="H410" s="153">
        <f t="shared" si="82"/>
        <v>0</v>
      </c>
      <c r="I410" s="151">
        <f t="shared" si="93"/>
        <v>0</v>
      </c>
      <c r="J410" s="151">
        <f t="shared" si="88"/>
        <v>0</v>
      </c>
      <c r="K410" s="154">
        <f t="shared" si="89"/>
        <v>0</v>
      </c>
      <c r="L410" s="167"/>
      <c r="M410" s="171"/>
      <c r="N410" s="155">
        <f t="shared" si="83"/>
        <v>7</v>
      </c>
      <c r="O410" s="123">
        <f t="shared" si="90"/>
        <v>24</v>
      </c>
      <c r="P410" s="124">
        <f t="shared" si="84"/>
        <v>0</v>
      </c>
      <c r="Q410" s="125"/>
      <c r="R410" s="125"/>
      <c r="S410" s="125"/>
      <c r="T410" s="125"/>
      <c r="U410" s="125"/>
      <c r="V410" s="125"/>
      <c r="W410" s="125"/>
      <c r="X410" s="125"/>
      <c r="Y410" s="125"/>
      <c r="Z410" s="125"/>
    </row>
    <row r="411" spans="1:26">
      <c r="A411" s="161">
        <v>404</v>
      </c>
      <c r="B411" s="148" t="str">
        <f t="shared" si="85"/>
        <v>34-й год 8-й мес</v>
      </c>
      <c r="C411" s="149">
        <f t="shared" si="91"/>
        <v>53488</v>
      </c>
      <c r="D411" s="150">
        <f t="shared" si="81"/>
        <v>0</v>
      </c>
      <c r="E411" s="151">
        <f t="shared" si="86"/>
        <v>0</v>
      </c>
      <c r="F411" s="151">
        <f t="shared" si="92"/>
        <v>0</v>
      </c>
      <c r="G411" s="152">
        <f t="shared" si="87"/>
        <v>0</v>
      </c>
      <c r="H411" s="153">
        <f t="shared" si="82"/>
        <v>0</v>
      </c>
      <c r="I411" s="151">
        <f t="shared" si="93"/>
        <v>0</v>
      </c>
      <c r="J411" s="151">
        <f t="shared" si="88"/>
        <v>0</v>
      </c>
      <c r="K411" s="154">
        <f t="shared" si="89"/>
        <v>0</v>
      </c>
      <c r="L411" s="167"/>
      <c r="M411" s="171"/>
      <c r="N411" s="155">
        <f t="shared" si="83"/>
        <v>7</v>
      </c>
      <c r="O411" s="123">
        <f t="shared" si="90"/>
        <v>24</v>
      </c>
      <c r="P411" s="124">
        <f t="shared" si="84"/>
        <v>0</v>
      </c>
      <c r="Q411" s="125"/>
      <c r="R411" s="125"/>
      <c r="S411" s="125"/>
      <c r="T411" s="125"/>
      <c r="U411" s="125"/>
      <c r="V411" s="125"/>
      <c r="W411" s="125"/>
      <c r="X411" s="125"/>
      <c r="Y411" s="125"/>
      <c r="Z411" s="125"/>
    </row>
    <row r="412" spans="1:26">
      <c r="A412" s="161">
        <v>405</v>
      </c>
      <c r="B412" s="148" t="str">
        <f t="shared" si="85"/>
        <v>34-й год 9-й мес</v>
      </c>
      <c r="C412" s="149">
        <f t="shared" si="91"/>
        <v>53518</v>
      </c>
      <c r="D412" s="150">
        <f t="shared" si="81"/>
        <v>0</v>
      </c>
      <c r="E412" s="151">
        <f t="shared" si="86"/>
        <v>0</v>
      </c>
      <c r="F412" s="151">
        <f t="shared" si="92"/>
        <v>0</v>
      </c>
      <c r="G412" s="152">
        <f t="shared" si="87"/>
        <v>0</v>
      </c>
      <c r="H412" s="153">
        <f t="shared" si="82"/>
        <v>0</v>
      </c>
      <c r="I412" s="151">
        <f t="shared" si="93"/>
        <v>0</v>
      </c>
      <c r="J412" s="151">
        <f t="shared" si="88"/>
        <v>0</v>
      </c>
      <c r="K412" s="154">
        <f t="shared" si="89"/>
        <v>0</v>
      </c>
      <c r="L412" s="167"/>
      <c r="M412" s="171"/>
      <c r="N412" s="155">
        <f t="shared" si="83"/>
        <v>7</v>
      </c>
      <c r="O412" s="123">
        <f t="shared" si="90"/>
        <v>24</v>
      </c>
      <c r="P412" s="124">
        <f t="shared" si="84"/>
        <v>0</v>
      </c>
      <c r="Q412" s="125"/>
      <c r="R412" s="125"/>
      <c r="S412" s="125"/>
      <c r="T412" s="125"/>
      <c r="U412" s="125"/>
      <c r="V412" s="125"/>
      <c r="W412" s="125"/>
      <c r="X412" s="125"/>
      <c r="Y412" s="125"/>
      <c r="Z412" s="125"/>
    </row>
    <row r="413" spans="1:26">
      <c r="A413" s="161">
        <v>406</v>
      </c>
      <c r="B413" s="148" t="str">
        <f t="shared" si="85"/>
        <v>34-й год 10-й мес</v>
      </c>
      <c r="C413" s="149">
        <f t="shared" si="91"/>
        <v>53549</v>
      </c>
      <c r="D413" s="150">
        <f t="shared" si="81"/>
        <v>0</v>
      </c>
      <c r="E413" s="151">
        <f t="shared" si="86"/>
        <v>0</v>
      </c>
      <c r="F413" s="151">
        <f t="shared" si="92"/>
        <v>0</v>
      </c>
      <c r="G413" s="152">
        <f t="shared" si="87"/>
        <v>0</v>
      </c>
      <c r="H413" s="153">
        <f t="shared" si="82"/>
        <v>0</v>
      </c>
      <c r="I413" s="151">
        <f t="shared" si="93"/>
        <v>0</v>
      </c>
      <c r="J413" s="151">
        <f t="shared" si="88"/>
        <v>0</v>
      </c>
      <c r="K413" s="154">
        <f t="shared" si="89"/>
        <v>0</v>
      </c>
      <c r="L413" s="167"/>
      <c r="M413" s="171"/>
      <c r="N413" s="155">
        <f t="shared" si="83"/>
        <v>7</v>
      </c>
      <c r="O413" s="123">
        <f t="shared" si="90"/>
        <v>24</v>
      </c>
      <c r="P413" s="124">
        <f t="shared" si="84"/>
        <v>0</v>
      </c>
      <c r="Q413" s="125"/>
      <c r="R413" s="125"/>
      <c r="S413" s="125"/>
      <c r="T413" s="125"/>
      <c r="U413" s="125"/>
      <c r="V413" s="125"/>
      <c r="W413" s="125"/>
      <c r="X413" s="125"/>
      <c r="Y413" s="125"/>
      <c r="Z413" s="125"/>
    </row>
    <row r="414" spans="1:26">
      <c r="A414" s="161">
        <v>407</v>
      </c>
      <c r="B414" s="148" t="str">
        <f t="shared" si="85"/>
        <v>34-й год 11-й мес</v>
      </c>
      <c r="C414" s="149">
        <f t="shared" si="91"/>
        <v>53580</v>
      </c>
      <c r="D414" s="150">
        <f t="shared" si="81"/>
        <v>0</v>
      </c>
      <c r="E414" s="151">
        <f t="shared" si="86"/>
        <v>0</v>
      </c>
      <c r="F414" s="151">
        <f t="shared" si="92"/>
        <v>0</v>
      </c>
      <c r="G414" s="152">
        <f t="shared" si="87"/>
        <v>0</v>
      </c>
      <c r="H414" s="153">
        <f t="shared" si="82"/>
        <v>0</v>
      </c>
      <c r="I414" s="151">
        <f t="shared" si="93"/>
        <v>0</v>
      </c>
      <c r="J414" s="151">
        <f t="shared" si="88"/>
        <v>0</v>
      </c>
      <c r="K414" s="154">
        <f t="shared" si="89"/>
        <v>0</v>
      </c>
      <c r="L414" s="167"/>
      <c r="M414" s="171"/>
      <c r="N414" s="155">
        <f t="shared" si="83"/>
        <v>7</v>
      </c>
      <c r="O414" s="123">
        <f t="shared" si="90"/>
        <v>24</v>
      </c>
      <c r="P414" s="124">
        <f t="shared" si="84"/>
        <v>0</v>
      </c>
      <c r="Q414" s="125"/>
      <c r="R414" s="125"/>
      <c r="S414" s="125"/>
      <c r="T414" s="125"/>
      <c r="U414" s="125"/>
      <c r="V414" s="125"/>
      <c r="W414" s="125"/>
      <c r="X414" s="125"/>
      <c r="Y414" s="125"/>
      <c r="Z414" s="125"/>
    </row>
    <row r="415" spans="1:26">
      <c r="A415" s="162">
        <v>408</v>
      </c>
      <c r="B415" s="148" t="str">
        <f t="shared" si="85"/>
        <v>34-й год 12-й мес</v>
      </c>
      <c r="C415" s="149">
        <f t="shared" si="91"/>
        <v>53610</v>
      </c>
      <c r="D415" s="150">
        <f t="shared" si="81"/>
        <v>0</v>
      </c>
      <c r="E415" s="163">
        <f t="shared" si="86"/>
        <v>0</v>
      </c>
      <c r="F415" s="151">
        <f t="shared" si="92"/>
        <v>0</v>
      </c>
      <c r="G415" s="164">
        <f t="shared" si="87"/>
        <v>0</v>
      </c>
      <c r="H415" s="165">
        <f t="shared" si="82"/>
        <v>0</v>
      </c>
      <c r="I415" s="163">
        <f t="shared" si="93"/>
        <v>0</v>
      </c>
      <c r="J415" s="163">
        <f t="shared" si="88"/>
        <v>0</v>
      </c>
      <c r="K415" s="166">
        <f t="shared" si="89"/>
        <v>0</v>
      </c>
      <c r="L415" s="170"/>
      <c r="M415" s="172"/>
      <c r="N415" s="155">
        <f t="shared" si="83"/>
        <v>7</v>
      </c>
      <c r="O415" s="123">
        <f t="shared" si="90"/>
        <v>24</v>
      </c>
      <c r="P415" s="124">
        <f t="shared" si="84"/>
        <v>0</v>
      </c>
      <c r="Q415" s="125"/>
      <c r="R415" s="125"/>
      <c r="S415" s="125"/>
      <c r="T415" s="125"/>
      <c r="U415" s="125"/>
      <c r="V415" s="125"/>
      <c r="W415" s="125"/>
      <c r="X415" s="125"/>
      <c r="Y415" s="125"/>
      <c r="Z415" s="125"/>
    </row>
    <row r="416" spans="1:26">
      <c r="A416" s="147">
        <v>409</v>
      </c>
      <c r="B416" s="148" t="str">
        <f t="shared" si="85"/>
        <v>35-й год 1-й мес</v>
      </c>
      <c r="C416" s="149">
        <f t="shared" si="91"/>
        <v>53641</v>
      </c>
      <c r="D416" s="150">
        <f t="shared" si="81"/>
        <v>0</v>
      </c>
      <c r="E416" s="151">
        <f t="shared" si="86"/>
        <v>0</v>
      </c>
      <c r="F416" s="151">
        <f t="shared" si="92"/>
        <v>0</v>
      </c>
      <c r="G416" s="152">
        <f t="shared" si="87"/>
        <v>0</v>
      </c>
      <c r="H416" s="153">
        <f t="shared" si="82"/>
        <v>0</v>
      </c>
      <c r="I416" s="151">
        <f t="shared" si="93"/>
        <v>0</v>
      </c>
      <c r="J416" s="151">
        <f t="shared" si="88"/>
        <v>0</v>
      </c>
      <c r="K416" s="154">
        <f t="shared" si="89"/>
        <v>0</v>
      </c>
      <c r="L416" s="167"/>
      <c r="M416" s="171"/>
      <c r="N416" s="155">
        <f t="shared" si="83"/>
        <v>7</v>
      </c>
      <c r="O416" s="123">
        <f t="shared" si="90"/>
        <v>24</v>
      </c>
      <c r="P416" s="124">
        <f t="shared" si="84"/>
        <v>0</v>
      </c>
      <c r="Q416" s="125"/>
      <c r="R416" s="125"/>
      <c r="S416" s="125"/>
      <c r="T416" s="125"/>
      <c r="U416" s="125"/>
      <c r="V416" s="125"/>
      <c r="W416" s="125"/>
      <c r="X416" s="125"/>
      <c r="Y416" s="125"/>
      <c r="Z416" s="125"/>
    </row>
    <row r="417" spans="1:26">
      <c r="A417" s="147">
        <v>410</v>
      </c>
      <c r="B417" s="148" t="str">
        <f t="shared" si="85"/>
        <v>35-й год 2-й мес</v>
      </c>
      <c r="C417" s="149">
        <f t="shared" si="91"/>
        <v>53671</v>
      </c>
      <c r="D417" s="150">
        <f t="shared" si="81"/>
        <v>0</v>
      </c>
      <c r="E417" s="151">
        <f t="shared" si="86"/>
        <v>0</v>
      </c>
      <c r="F417" s="151">
        <f t="shared" si="92"/>
        <v>0</v>
      </c>
      <c r="G417" s="152">
        <f t="shared" si="87"/>
        <v>0</v>
      </c>
      <c r="H417" s="153">
        <f t="shared" si="82"/>
        <v>0</v>
      </c>
      <c r="I417" s="151">
        <f t="shared" si="93"/>
        <v>0</v>
      </c>
      <c r="J417" s="151">
        <f t="shared" si="88"/>
        <v>0</v>
      </c>
      <c r="K417" s="154">
        <f t="shared" si="89"/>
        <v>0</v>
      </c>
      <c r="L417" s="167"/>
      <c r="M417" s="171"/>
      <c r="N417" s="155">
        <f t="shared" si="83"/>
        <v>7</v>
      </c>
      <c r="O417" s="123">
        <f t="shared" si="90"/>
        <v>24</v>
      </c>
      <c r="P417" s="124">
        <f t="shared" si="84"/>
        <v>0</v>
      </c>
      <c r="Q417" s="125"/>
      <c r="R417" s="125"/>
      <c r="S417" s="125"/>
      <c r="T417" s="125"/>
      <c r="U417" s="125"/>
      <c r="V417" s="125"/>
      <c r="W417" s="125"/>
      <c r="X417" s="125"/>
      <c r="Y417" s="125"/>
      <c r="Z417" s="125"/>
    </row>
    <row r="418" spans="1:26">
      <c r="A418" s="147">
        <v>411</v>
      </c>
      <c r="B418" s="148" t="str">
        <f t="shared" si="85"/>
        <v>35-й год 3-й мес</v>
      </c>
      <c r="C418" s="149">
        <f t="shared" si="91"/>
        <v>53702</v>
      </c>
      <c r="D418" s="150">
        <f t="shared" si="81"/>
        <v>0</v>
      </c>
      <c r="E418" s="151">
        <f t="shared" si="86"/>
        <v>0</v>
      </c>
      <c r="F418" s="151">
        <f t="shared" si="92"/>
        <v>0</v>
      </c>
      <c r="G418" s="152">
        <f t="shared" si="87"/>
        <v>0</v>
      </c>
      <c r="H418" s="153">
        <f t="shared" si="82"/>
        <v>0</v>
      </c>
      <c r="I418" s="151">
        <f t="shared" si="93"/>
        <v>0</v>
      </c>
      <c r="J418" s="151">
        <f t="shared" si="88"/>
        <v>0</v>
      </c>
      <c r="K418" s="154">
        <f t="shared" si="89"/>
        <v>0</v>
      </c>
      <c r="L418" s="167"/>
      <c r="M418" s="171"/>
      <c r="N418" s="155">
        <f t="shared" si="83"/>
        <v>7</v>
      </c>
      <c r="O418" s="123">
        <f t="shared" si="90"/>
        <v>24</v>
      </c>
      <c r="P418" s="124">
        <f t="shared" si="84"/>
        <v>0</v>
      </c>
      <c r="Q418" s="125"/>
      <c r="R418" s="125"/>
      <c r="S418" s="125"/>
      <c r="T418" s="125"/>
      <c r="U418" s="125"/>
      <c r="V418" s="125"/>
      <c r="W418" s="125"/>
      <c r="X418" s="125"/>
      <c r="Y418" s="125"/>
      <c r="Z418" s="125"/>
    </row>
    <row r="419" spans="1:26">
      <c r="A419" s="147">
        <v>412</v>
      </c>
      <c r="B419" s="148" t="str">
        <f t="shared" si="85"/>
        <v>35-й год 4-й мес</v>
      </c>
      <c r="C419" s="149">
        <f t="shared" si="91"/>
        <v>53733</v>
      </c>
      <c r="D419" s="150">
        <f t="shared" si="81"/>
        <v>0</v>
      </c>
      <c r="E419" s="151">
        <f t="shared" si="86"/>
        <v>0</v>
      </c>
      <c r="F419" s="151">
        <f t="shared" si="92"/>
        <v>0</v>
      </c>
      <c r="G419" s="152">
        <f t="shared" si="87"/>
        <v>0</v>
      </c>
      <c r="H419" s="153">
        <f t="shared" si="82"/>
        <v>0</v>
      </c>
      <c r="I419" s="151">
        <f t="shared" si="93"/>
        <v>0</v>
      </c>
      <c r="J419" s="151">
        <f t="shared" si="88"/>
        <v>0</v>
      </c>
      <c r="K419" s="154">
        <f t="shared" si="89"/>
        <v>0</v>
      </c>
      <c r="L419" s="167"/>
      <c r="M419" s="171"/>
      <c r="N419" s="155">
        <f t="shared" si="83"/>
        <v>7</v>
      </c>
      <c r="O419" s="123">
        <f t="shared" si="90"/>
        <v>24</v>
      </c>
      <c r="P419" s="124">
        <f t="shared" si="84"/>
        <v>0</v>
      </c>
      <c r="Q419" s="125"/>
      <c r="R419" s="125"/>
      <c r="S419" s="125"/>
      <c r="T419" s="125"/>
      <c r="U419" s="125"/>
      <c r="V419" s="125"/>
      <c r="W419" s="125"/>
      <c r="X419" s="125"/>
      <c r="Y419" s="125"/>
      <c r="Z419" s="125"/>
    </row>
    <row r="420" spans="1:26">
      <c r="A420" s="147">
        <v>413</v>
      </c>
      <c r="B420" s="148" t="str">
        <f t="shared" si="85"/>
        <v>35-й год 5-й мес</v>
      </c>
      <c r="C420" s="149">
        <f t="shared" si="91"/>
        <v>53761</v>
      </c>
      <c r="D420" s="150">
        <f t="shared" si="81"/>
        <v>0</v>
      </c>
      <c r="E420" s="151">
        <f t="shared" si="86"/>
        <v>0</v>
      </c>
      <c r="F420" s="151">
        <f t="shared" si="92"/>
        <v>0</v>
      </c>
      <c r="G420" s="152">
        <f t="shared" si="87"/>
        <v>0</v>
      </c>
      <c r="H420" s="153">
        <f t="shared" si="82"/>
        <v>0</v>
      </c>
      <c r="I420" s="151">
        <f t="shared" si="93"/>
        <v>0</v>
      </c>
      <c r="J420" s="151">
        <f t="shared" si="88"/>
        <v>0</v>
      </c>
      <c r="K420" s="154">
        <f t="shared" si="89"/>
        <v>0</v>
      </c>
      <c r="L420" s="167"/>
      <c r="M420" s="171"/>
      <c r="N420" s="155">
        <f t="shared" si="83"/>
        <v>7</v>
      </c>
      <c r="O420" s="123">
        <f t="shared" si="90"/>
        <v>24</v>
      </c>
      <c r="P420" s="124">
        <f t="shared" si="84"/>
        <v>0</v>
      </c>
      <c r="Q420" s="125"/>
      <c r="R420" s="125"/>
      <c r="S420" s="125"/>
      <c r="T420" s="125"/>
      <c r="U420" s="125"/>
      <c r="V420" s="125"/>
      <c r="W420" s="125"/>
      <c r="X420" s="125"/>
      <c r="Y420" s="125"/>
      <c r="Z420" s="125"/>
    </row>
    <row r="421" spans="1:26">
      <c r="A421" s="147">
        <v>414</v>
      </c>
      <c r="B421" s="148" t="str">
        <f t="shared" si="85"/>
        <v>35-й год 6-й мес</v>
      </c>
      <c r="C421" s="149">
        <f t="shared" si="91"/>
        <v>53792</v>
      </c>
      <c r="D421" s="150">
        <f t="shared" si="81"/>
        <v>0</v>
      </c>
      <c r="E421" s="151">
        <f t="shared" si="86"/>
        <v>0</v>
      </c>
      <c r="F421" s="151">
        <f t="shared" si="92"/>
        <v>0</v>
      </c>
      <c r="G421" s="152">
        <f t="shared" si="87"/>
        <v>0</v>
      </c>
      <c r="H421" s="153">
        <f t="shared" si="82"/>
        <v>0</v>
      </c>
      <c r="I421" s="151">
        <f t="shared" si="93"/>
        <v>0</v>
      </c>
      <c r="J421" s="151">
        <f t="shared" si="88"/>
        <v>0</v>
      </c>
      <c r="K421" s="154">
        <f t="shared" si="89"/>
        <v>0</v>
      </c>
      <c r="L421" s="167"/>
      <c r="M421" s="171"/>
      <c r="N421" s="155">
        <f t="shared" si="83"/>
        <v>7</v>
      </c>
      <c r="O421" s="123">
        <f t="shared" si="90"/>
        <v>24</v>
      </c>
      <c r="P421" s="124">
        <f t="shared" si="84"/>
        <v>0</v>
      </c>
      <c r="Q421" s="125"/>
      <c r="R421" s="125"/>
      <c r="S421" s="125"/>
      <c r="T421" s="125"/>
      <c r="U421" s="125"/>
      <c r="V421" s="125"/>
      <c r="W421" s="125"/>
      <c r="X421" s="125"/>
      <c r="Y421" s="125"/>
      <c r="Z421" s="125"/>
    </row>
    <row r="422" spans="1:26">
      <c r="A422" s="147">
        <v>415</v>
      </c>
      <c r="B422" s="148" t="str">
        <f t="shared" si="85"/>
        <v>35-й год 7-й мес</v>
      </c>
      <c r="C422" s="149">
        <f t="shared" si="91"/>
        <v>53822</v>
      </c>
      <c r="D422" s="150">
        <f t="shared" si="81"/>
        <v>0</v>
      </c>
      <c r="E422" s="151">
        <f t="shared" si="86"/>
        <v>0</v>
      </c>
      <c r="F422" s="151">
        <f t="shared" si="92"/>
        <v>0</v>
      </c>
      <c r="G422" s="152">
        <f t="shared" si="87"/>
        <v>0</v>
      </c>
      <c r="H422" s="153">
        <f t="shared" si="82"/>
        <v>0</v>
      </c>
      <c r="I422" s="151">
        <f t="shared" si="93"/>
        <v>0</v>
      </c>
      <c r="J422" s="151">
        <f t="shared" si="88"/>
        <v>0</v>
      </c>
      <c r="K422" s="154">
        <f t="shared" si="89"/>
        <v>0</v>
      </c>
      <c r="L422" s="167"/>
      <c r="M422" s="171"/>
      <c r="N422" s="155">
        <f t="shared" si="83"/>
        <v>7</v>
      </c>
      <c r="O422" s="123">
        <f t="shared" si="90"/>
        <v>24</v>
      </c>
      <c r="P422" s="124">
        <f t="shared" si="84"/>
        <v>0</v>
      </c>
      <c r="Q422" s="125"/>
      <c r="R422" s="125"/>
      <c r="S422" s="125"/>
      <c r="T422" s="125"/>
      <c r="U422" s="125"/>
      <c r="V422" s="125"/>
      <c r="W422" s="125"/>
      <c r="X422" s="125"/>
      <c r="Y422" s="125"/>
      <c r="Z422" s="125"/>
    </row>
    <row r="423" spans="1:26">
      <c r="A423" s="147">
        <v>416</v>
      </c>
      <c r="B423" s="148" t="str">
        <f t="shared" si="85"/>
        <v>35-й год 8-й мес</v>
      </c>
      <c r="C423" s="149">
        <f t="shared" si="91"/>
        <v>53853</v>
      </c>
      <c r="D423" s="150">
        <f t="shared" si="81"/>
        <v>0</v>
      </c>
      <c r="E423" s="151">
        <f t="shared" si="86"/>
        <v>0</v>
      </c>
      <c r="F423" s="151">
        <f t="shared" si="92"/>
        <v>0</v>
      </c>
      <c r="G423" s="152">
        <f t="shared" si="87"/>
        <v>0</v>
      </c>
      <c r="H423" s="153">
        <f t="shared" si="82"/>
        <v>0</v>
      </c>
      <c r="I423" s="151">
        <f t="shared" si="93"/>
        <v>0</v>
      </c>
      <c r="J423" s="151">
        <f t="shared" si="88"/>
        <v>0</v>
      </c>
      <c r="K423" s="154">
        <f t="shared" si="89"/>
        <v>0</v>
      </c>
      <c r="L423" s="167"/>
      <c r="M423" s="171"/>
      <c r="N423" s="155">
        <f t="shared" si="83"/>
        <v>7</v>
      </c>
      <c r="O423" s="123">
        <f t="shared" si="90"/>
        <v>24</v>
      </c>
      <c r="P423" s="124">
        <f t="shared" si="84"/>
        <v>0</v>
      </c>
      <c r="Q423" s="125"/>
      <c r="R423" s="125"/>
      <c r="S423" s="125"/>
      <c r="T423" s="125"/>
      <c r="U423" s="125"/>
      <c r="V423" s="125"/>
      <c r="W423" s="125"/>
      <c r="X423" s="125"/>
      <c r="Y423" s="125"/>
      <c r="Z423" s="125"/>
    </row>
    <row r="424" spans="1:26">
      <c r="A424" s="147">
        <v>417</v>
      </c>
      <c r="B424" s="148" t="str">
        <f t="shared" si="85"/>
        <v>35-й год 9-й мес</v>
      </c>
      <c r="C424" s="149">
        <f t="shared" si="91"/>
        <v>53883</v>
      </c>
      <c r="D424" s="150">
        <f t="shared" si="81"/>
        <v>0</v>
      </c>
      <c r="E424" s="151">
        <f t="shared" si="86"/>
        <v>0</v>
      </c>
      <c r="F424" s="151">
        <f t="shared" si="92"/>
        <v>0</v>
      </c>
      <c r="G424" s="152">
        <f t="shared" si="87"/>
        <v>0</v>
      </c>
      <c r="H424" s="153">
        <f t="shared" si="82"/>
        <v>0</v>
      </c>
      <c r="I424" s="151">
        <f t="shared" si="93"/>
        <v>0</v>
      </c>
      <c r="J424" s="151">
        <f t="shared" si="88"/>
        <v>0</v>
      </c>
      <c r="K424" s="154">
        <f t="shared" si="89"/>
        <v>0</v>
      </c>
      <c r="L424" s="167"/>
      <c r="M424" s="171"/>
      <c r="N424" s="155">
        <f t="shared" si="83"/>
        <v>7</v>
      </c>
      <c r="O424" s="123">
        <f t="shared" si="90"/>
        <v>24</v>
      </c>
      <c r="P424" s="124">
        <f t="shared" si="84"/>
        <v>0</v>
      </c>
      <c r="Q424" s="125"/>
      <c r="R424" s="125"/>
      <c r="S424" s="125"/>
      <c r="T424" s="125"/>
      <c r="U424" s="125"/>
      <c r="V424" s="125"/>
      <c r="W424" s="125"/>
      <c r="X424" s="125"/>
      <c r="Y424" s="125"/>
      <c r="Z424" s="125"/>
    </row>
    <row r="425" spans="1:26">
      <c r="A425" s="147">
        <v>418</v>
      </c>
      <c r="B425" s="148" t="str">
        <f t="shared" si="85"/>
        <v>35-й год 10-й мес</v>
      </c>
      <c r="C425" s="149">
        <f t="shared" si="91"/>
        <v>53914</v>
      </c>
      <c r="D425" s="150">
        <f t="shared" si="81"/>
        <v>0</v>
      </c>
      <c r="E425" s="151">
        <f t="shared" si="86"/>
        <v>0</v>
      </c>
      <c r="F425" s="151">
        <f t="shared" si="92"/>
        <v>0</v>
      </c>
      <c r="G425" s="152">
        <f t="shared" si="87"/>
        <v>0</v>
      </c>
      <c r="H425" s="153">
        <f t="shared" si="82"/>
        <v>0</v>
      </c>
      <c r="I425" s="151">
        <f t="shared" si="93"/>
        <v>0</v>
      </c>
      <c r="J425" s="151">
        <f t="shared" si="88"/>
        <v>0</v>
      </c>
      <c r="K425" s="154">
        <f t="shared" si="89"/>
        <v>0</v>
      </c>
      <c r="L425" s="167"/>
      <c r="M425" s="171"/>
      <c r="N425" s="155">
        <f t="shared" si="83"/>
        <v>7</v>
      </c>
      <c r="O425" s="123">
        <f t="shared" si="90"/>
        <v>24</v>
      </c>
      <c r="P425" s="124">
        <f t="shared" si="84"/>
        <v>0</v>
      </c>
      <c r="Q425" s="125"/>
      <c r="R425" s="125"/>
      <c r="S425" s="125"/>
      <c r="T425" s="125"/>
      <c r="U425" s="125"/>
      <c r="V425" s="125"/>
      <c r="W425" s="125"/>
      <c r="X425" s="125"/>
      <c r="Y425" s="125"/>
      <c r="Z425" s="125"/>
    </row>
    <row r="426" spans="1:26">
      <c r="A426" s="147">
        <v>419</v>
      </c>
      <c r="B426" s="148" t="str">
        <f t="shared" si="85"/>
        <v>35-й год 11-й мес</v>
      </c>
      <c r="C426" s="149">
        <f t="shared" si="91"/>
        <v>53945</v>
      </c>
      <c r="D426" s="150">
        <f t="shared" si="81"/>
        <v>0</v>
      </c>
      <c r="E426" s="151">
        <f t="shared" si="86"/>
        <v>0</v>
      </c>
      <c r="F426" s="151">
        <f t="shared" si="92"/>
        <v>0</v>
      </c>
      <c r="G426" s="152">
        <f t="shared" si="87"/>
        <v>0</v>
      </c>
      <c r="H426" s="153">
        <f t="shared" si="82"/>
        <v>0</v>
      </c>
      <c r="I426" s="151">
        <f t="shared" si="93"/>
        <v>0</v>
      </c>
      <c r="J426" s="151">
        <f t="shared" si="88"/>
        <v>0</v>
      </c>
      <c r="K426" s="154">
        <f t="shared" si="89"/>
        <v>0</v>
      </c>
      <c r="L426" s="167"/>
      <c r="M426" s="171"/>
      <c r="N426" s="155">
        <f t="shared" si="83"/>
        <v>7</v>
      </c>
      <c r="O426" s="123">
        <f t="shared" si="90"/>
        <v>24</v>
      </c>
      <c r="P426" s="124">
        <f t="shared" si="84"/>
        <v>0</v>
      </c>
      <c r="Q426" s="125"/>
      <c r="R426" s="125"/>
      <c r="S426" s="125"/>
      <c r="T426" s="125"/>
      <c r="U426" s="125"/>
      <c r="V426" s="125"/>
      <c r="W426" s="125"/>
      <c r="X426" s="125"/>
      <c r="Y426" s="125"/>
      <c r="Z426" s="125"/>
    </row>
    <row r="427" spans="1:26">
      <c r="A427" s="147">
        <v>420</v>
      </c>
      <c r="B427" s="148" t="str">
        <f t="shared" si="85"/>
        <v>35-й год 12-й мес</v>
      </c>
      <c r="C427" s="149">
        <f t="shared" si="91"/>
        <v>53975</v>
      </c>
      <c r="D427" s="150">
        <f t="shared" si="81"/>
        <v>0</v>
      </c>
      <c r="E427" s="151">
        <f t="shared" si="86"/>
        <v>0</v>
      </c>
      <c r="F427" s="151">
        <f t="shared" si="92"/>
        <v>0</v>
      </c>
      <c r="G427" s="152">
        <f t="shared" si="87"/>
        <v>0</v>
      </c>
      <c r="H427" s="153">
        <f t="shared" si="82"/>
        <v>0</v>
      </c>
      <c r="I427" s="151">
        <f t="shared" si="93"/>
        <v>0</v>
      </c>
      <c r="J427" s="151">
        <f t="shared" si="88"/>
        <v>0</v>
      </c>
      <c r="K427" s="154">
        <f t="shared" si="89"/>
        <v>0</v>
      </c>
      <c r="L427" s="167"/>
      <c r="M427" s="171"/>
      <c r="N427" s="155">
        <f t="shared" si="83"/>
        <v>7</v>
      </c>
      <c r="O427" s="123">
        <f t="shared" si="90"/>
        <v>24</v>
      </c>
      <c r="P427" s="124">
        <f t="shared" si="84"/>
        <v>0</v>
      </c>
      <c r="Q427" s="125"/>
      <c r="R427" s="125"/>
      <c r="S427" s="125"/>
      <c r="T427" s="125"/>
      <c r="U427" s="125"/>
      <c r="V427" s="125"/>
      <c r="W427" s="125"/>
      <c r="X427" s="125"/>
      <c r="Y427" s="125"/>
      <c r="Z427" s="125"/>
    </row>
    <row r="428" spans="1:26">
      <c r="A428" s="156">
        <v>421</v>
      </c>
      <c r="B428" s="148" t="str">
        <f t="shared" si="85"/>
        <v>36-й год 1-й мес</v>
      </c>
      <c r="C428" s="149">
        <f t="shared" si="91"/>
        <v>54006</v>
      </c>
      <c r="D428" s="150">
        <f t="shared" si="81"/>
        <v>0</v>
      </c>
      <c r="E428" s="157">
        <f t="shared" si="86"/>
        <v>0</v>
      </c>
      <c r="F428" s="151">
        <f t="shared" si="92"/>
        <v>0</v>
      </c>
      <c r="G428" s="158">
        <f t="shared" si="87"/>
        <v>0</v>
      </c>
      <c r="H428" s="159">
        <f t="shared" si="82"/>
        <v>0</v>
      </c>
      <c r="I428" s="157">
        <f t="shared" si="93"/>
        <v>0</v>
      </c>
      <c r="J428" s="157">
        <f t="shared" si="88"/>
        <v>0</v>
      </c>
      <c r="K428" s="160">
        <f t="shared" si="89"/>
        <v>0</v>
      </c>
      <c r="L428" s="169"/>
      <c r="M428" s="168"/>
      <c r="N428" s="155">
        <f t="shared" si="83"/>
        <v>7</v>
      </c>
      <c r="O428" s="123">
        <f t="shared" si="90"/>
        <v>24</v>
      </c>
      <c r="P428" s="124">
        <f t="shared" si="84"/>
        <v>0</v>
      </c>
      <c r="Q428" s="125"/>
      <c r="R428" s="125"/>
      <c r="S428" s="125"/>
      <c r="T428" s="125"/>
      <c r="U428" s="125"/>
      <c r="V428" s="125"/>
      <c r="W428" s="125"/>
      <c r="X428" s="125"/>
      <c r="Y428" s="125"/>
      <c r="Z428" s="125"/>
    </row>
    <row r="429" spans="1:26">
      <c r="A429" s="161">
        <v>422</v>
      </c>
      <c r="B429" s="148" t="str">
        <f t="shared" si="85"/>
        <v>36-й год 2-й мес</v>
      </c>
      <c r="C429" s="149">
        <f t="shared" si="91"/>
        <v>54036</v>
      </c>
      <c r="D429" s="150">
        <f t="shared" si="81"/>
        <v>0</v>
      </c>
      <c r="E429" s="151">
        <f t="shared" si="86"/>
        <v>0</v>
      </c>
      <c r="F429" s="151">
        <f t="shared" si="92"/>
        <v>0</v>
      </c>
      <c r="G429" s="152">
        <f t="shared" si="87"/>
        <v>0</v>
      </c>
      <c r="H429" s="153">
        <f t="shared" si="82"/>
        <v>0</v>
      </c>
      <c r="I429" s="151">
        <f t="shared" si="93"/>
        <v>0</v>
      </c>
      <c r="J429" s="151">
        <f t="shared" si="88"/>
        <v>0</v>
      </c>
      <c r="K429" s="154">
        <f t="shared" si="89"/>
        <v>0</v>
      </c>
      <c r="L429" s="167"/>
      <c r="M429" s="171"/>
      <c r="N429" s="155">
        <f t="shared" si="83"/>
        <v>7</v>
      </c>
      <c r="O429" s="123">
        <f t="shared" si="90"/>
        <v>24</v>
      </c>
      <c r="P429" s="124">
        <f t="shared" si="84"/>
        <v>0</v>
      </c>
      <c r="Q429" s="125"/>
      <c r="R429" s="125"/>
      <c r="S429" s="125"/>
      <c r="T429" s="125"/>
      <c r="U429" s="125"/>
      <c r="V429" s="125"/>
      <c r="W429" s="125"/>
      <c r="X429" s="125"/>
      <c r="Y429" s="125"/>
      <c r="Z429" s="125"/>
    </row>
    <row r="430" spans="1:26">
      <c r="A430" s="161">
        <v>423</v>
      </c>
      <c r="B430" s="148" t="str">
        <f t="shared" si="85"/>
        <v>36-й год 3-й мес</v>
      </c>
      <c r="C430" s="149">
        <f t="shared" si="91"/>
        <v>54067</v>
      </c>
      <c r="D430" s="150">
        <f t="shared" si="81"/>
        <v>0</v>
      </c>
      <c r="E430" s="151">
        <f t="shared" si="86"/>
        <v>0</v>
      </c>
      <c r="F430" s="151">
        <f t="shared" si="92"/>
        <v>0</v>
      </c>
      <c r="G430" s="152">
        <f t="shared" si="87"/>
        <v>0</v>
      </c>
      <c r="H430" s="153">
        <f t="shared" si="82"/>
        <v>0</v>
      </c>
      <c r="I430" s="151">
        <f t="shared" si="93"/>
        <v>0</v>
      </c>
      <c r="J430" s="151">
        <f t="shared" si="88"/>
        <v>0</v>
      </c>
      <c r="K430" s="154">
        <f t="shared" si="89"/>
        <v>0</v>
      </c>
      <c r="L430" s="167"/>
      <c r="M430" s="171"/>
      <c r="N430" s="155">
        <f t="shared" si="83"/>
        <v>7</v>
      </c>
      <c r="O430" s="123">
        <f t="shared" si="90"/>
        <v>24</v>
      </c>
      <c r="P430" s="124">
        <f t="shared" si="84"/>
        <v>0</v>
      </c>
      <c r="Q430" s="125"/>
      <c r="R430" s="125"/>
      <c r="S430" s="125"/>
      <c r="T430" s="125"/>
      <c r="U430" s="125"/>
      <c r="V430" s="125"/>
      <c r="W430" s="125"/>
      <c r="X430" s="125"/>
      <c r="Y430" s="125"/>
      <c r="Z430" s="125"/>
    </row>
    <row r="431" spans="1:26">
      <c r="A431" s="161">
        <v>424</v>
      </c>
      <c r="B431" s="148" t="str">
        <f t="shared" si="85"/>
        <v>36-й год 4-й мес</v>
      </c>
      <c r="C431" s="149">
        <f t="shared" si="91"/>
        <v>54098</v>
      </c>
      <c r="D431" s="150">
        <f t="shared" si="81"/>
        <v>0</v>
      </c>
      <c r="E431" s="151">
        <f t="shared" si="86"/>
        <v>0</v>
      </c>
      <c r="F431" s="151">
        <f t="shared" si="92"/>
        <v>0</v>
      </c>
      <c r="G431" s="152">
        <f t="shared" si="87"/>
        <v>0</v>
      </c>
      <c r="H431" s="153">
        <f t="shared" si="82"/>
        <v>0</v>
      </c>
      <c r="I431" s="151">
        <f t="shared" si="93"/>
        <v>0</v>
      </c>
      <c r="J431" s="151">
        <f t="shared" si="88"/>
        <v>0</v>
      </c>
      <c r="K431" s="154">
        <f t="shared" si="89"/>
        <v>0</v>
      </c>
      <c r="L431" s="167"/>
      <c r="M431" s="171"/>
      <c r="N431" s="155">
        <f t="shared" si="83"/>
        <v>7</v>
      </c>
      <c r="O431" s="123">
        <f t="shared" si="90"/>
        <v>24</v>
      </c>
      <c r="P431" s="124">
        <f t="shared" si="84"/>
        <v>0</v>
      </c>
      <c r="Q431" s="125"/>
      <c r="R431" s="125"/>
      <c r="S431" s="125"/>
      <c r="T431" s="125"/>
      <c r="U431" s="125"/>
      <c r="V431" s="125"/>
      <c r="W431" s="125"/>
      <c r="X431" s="125"/>
      <c r="Y431" s="125"/>
      <c r="Z431" s="125"/>
    </row>
    <row r="432" spans="1:26">
      <c r="A432" s="161">
        <v>425</v>
      </c>
      <c r="B432" s="148" t="str">
        <f t="shared" si="85"/>
        <v>36-й год 5-й мес</v>
      </c>
      <c r="C432" s="149">
        <f t="shared" si="91"/>
        <v>54127</v>
      </c>
      <c r="D432" s="150">
        <f t="shared" si="81"/>
        <v>0</v>
      </c>
      <c r="E432" s="151">
        <f t="shared" si="86"/>
        <v>0</v>
      </c>
      <c r="F432" s="151">
        <f t="shared" si="92"/>
        <v>0</v>
      </c>
      <c r="G432" s="152">
        <f t="shared" si="87"/>
        <v>0</v>
      </c>
      <c r="H432" s="153">
        <f t="shared" si="82"/>
        <v>0</v>
      </c>
      <c r="I432" s="151">
        <f t="shared" si="93"/>
        <v>0</v>
      </c>
      <c r="J432" s="151">
        <f t="shared" si="88"/>
        <v>0</v>
      </c>
      <c r="K432" s="154">
        <f t="shared" si="89"/>
        <v>0</v>
      </c>
      <c r="L432" s="167"/>
      <c r="M432" s="171"/>
      <c r="N432" s="155">
        <f t="shared" si="83"/>
        <v>7</v>
      </c>
      <c r="O432" s="123">
        <f t="shared" si="90"/>
        <v>24</v>
      </c>
      <c r="P432" s="124">
        <f t="shared" si="84"/>
        <v>0</v>
      </c>
      <c r="Q432" s="125"/>
      <c r="R432" s="125"/>
      <c r="S432" s="125"/>
      <c r="T432" s="125"/>
      <c r="U432" s="125"/>
      <c r="V432" s="125"/>
      <c r="W432" s="125"/>
      <c r="X432" s="125"/>
      <c r="Y432" s="125"/>
      <c r="Z432" s="125"/>
    </row>
    <row r="433" spans="1:26">
      <c r="A433" s="161">
        <v>426</v>
      </c>
      <c r="B433" s="148" t="str">
        <f t="shared" si="85"/>
        <v>36-й год 6-й мес</v>
      </c>
      <c r="C433" s="149">
        <f t="shared" si="91"/>
        <v>54158</v>
      </c>
      <c r="D433" s="150">
        <f t="shared" si="81"/>
        <v>0</v>
      </c>
      <c r="E433" s="151">
        <f t="shared" si="86"/>
        <v>0</v>
      </c>
      <c r="F433" s="151">
        <f t="shared" si="92"/>
        <v>0</v>
      </c>
      <c r="G433" s="152">
        <f t="shared" si="87"/>
        <v>0</v>
      </c>
      <c r="H433" s="153">
        <f t="shared" si="82"/>
        <v>0</v>
      </c>
      <c r="I433" s="151">
        <f t="shared" si="93"/>
        <v>0</v>
      </c>
      <c r="J433" s="151">
        <f t="shared" si="88"/>
        <v>0</v>
      </c>
      <c r="K433" s="154">
        <f t="shared" si="89"/>
        <v>0</v>
      </c>
      <c r="L433" s="167"/>
      <c r="M433" s="171"/>
      <c r="N433" s="155">
        <f t="shared" si="83"/>
        <v>7</v>
      </c>
      <c r="O433" s="123">
        <f t="shared" si="90"/>
        <v>24</v>
      </c>
      <c r="P433" s="124">
        <f t="shared" si="84"/>
        <v>0</v>
      </c>
      <c r="Q433" s="125"/>
      <c r="R433" s="125"/>
      <c r="S433" s="125"/>
      <c r="T433" s="125"/>
      <c r="U433" s="125"/>
      <c r="V433" s="125"/>
      <c r="W433" s="125"/>
      <c r="X433" s="125"/>
      <c r="Y433" s="125"/>
      <c r="Z433" s="125"/>
    </row>
    <row r="434" spans="1:26">
      <c r="A434" s="161">
        <v>427</v>
      </c>
      <c r="B434" s="148" t="str">
        <f t="shared" si="85"/>
        <v>36-й год 7-й мес</v>
      </c>
      <c r="C434" s="149">
        <f t="shared" si="91"/>
        <v>54188</v>
      </c>
      <c r="D434" s="150">
        <f t="shared" si="81"/>
        <v>0</v>
      </c>
      <c r="E434" s="151">
        <f t="shared" si="86"/>
        <v>0</v>
      </c>
      <c r="F434" s="151">
        <f t="shared" si="92"/>
        <v>0</v>
      </c>
      <c r="G434" s="152">
        <f t="shared" si="87"/>
        <v>0</v>
      </c>
      <c r="H434" s="153">
        <f t="shared" si="82"/>
        <v>0</v>
      </c>
      <c r="I434" s="151">
        <f t="shared" si="93"/>
        <v>0</v>
      </c>
      <c r="J434" s="151">
        <f t="shared" si="88"/>
        <v>0</v>
      </c>
      <c r="K434" s="154">
        <f t="shared" si="89"/>
        <v>0</v>
      </c>
      <c r="L434" s="167"/>
      <c r="M434" s="171"/>
      <c r="N434" s="155">
        <f t="shared" si="83"/>
        <v>7</v>
      </c>
      <c r="O434" s="123">
        <f t="shared" si="90"/>
        <v>24</v>
      </c>
      <c r="P434" s="124">
        <f t="shared" si="84"/>
        <v>0</v>
      </c>
      <c r="Q434" s="125"/>
      <c r="R434" s="125"/>
      <c r="S434" s="125"/>
      <c r="T434" s="125"/>
      <c r="U434" s="125"/>
      <c r="V434" s="125"/>
      <c r="W434" s="125"/>
      <c r="X434" s="125"/>
      <c r="Y434" s="125"/>
      <c r="Z434" s="125"/>
    </row>
    <row r="435" spans="1:26">
      <c r="A435" s="161">
        <v>428</v>
      </c>
      <c r="B435" s="148" t="str">
        <f t="shared" si="85"/>
        <v>36-й год 8-й мес</v>
      </c>
      <c r="C435" s="149">
        <f t="shared" si="91"/>
        <v>54219</v>
      </c>
      <c r="D435" s="150">
        <f t="shared" si="81"/>
        <v>0</v>
      </c>
      <c r="E435" s="151">
        <f t="shared" si="86"/>
        <v>0</v>
      </c>
      <c r="F435" s="151">
        <f t="shared" si="92"/>
        <v>0</v>
      </c>
      <c r="G435" s="152">
        <f t="shared" si="87"/>
        <v>0</v>
      </c>
      <c r="H435" s="153">
        <f t="shared" si="82"/>
        <v>0</v>
      </c>
      <c r="I435" s="151">
        <f t="shared" si="93"/>
        <v>0</v>
      </c>
      <c r="J435" s="151">
        <f t="shared" si="88"/>
        <v>0</v>
      </c>
      <c r="K435" s="154">
        <f t="shared" si="89"/>
        <v>0</v>
      </c>
      <c r="L435" s="167"/>
      <c r="M435" s="171"/>
      <c r="N435" s="155">
        <f t="shared" si="83"/>
        <v>7</v>
      </c>
      <c r="O435" s="123">
        <f t="shared" si="90"/>
        <v>24</v>
      </c>
      <c r="P435" s="124">
        <f t="shared" si="84"/>
        <v>0</v>
      </c>
      <c r="Q435" s="125"/>
      <c r="R435" s="125"/>
      <c r="S435" s="125"/>
      <c r="T435" s="125"/>
      <c r="U435" s="125"/>
      <c r="V435" s="125"/>
      <c r="W435" s="125"/>
      <c r="X435" s="125"/>
      <c r="Y435" s="125"/>
      <c r="Z435" s="125"/>
    </row>
    <row r="436" spans="1:26">
      <c r="A436" s="161">
        <v>429</v>
      </c>
      <c r="B436" s="148" t="str">
        <f t="shared" si="85"/>
        <v>36-й год 9-й мес</v>
      </c>
      <c r="C436" s="149">
        <f t="shared" si="91"/>
        <v>54249</v>
      </c>
      <c r="D436" s="150">
        <f t="shared" si="81"/>
        <v>0</v>
      </c>
      <c r="E436" s="151">
        <f t="shared" si="86"/>
        <v>0</v>
      </c>
      <c r="F436" s="151">
        <f t="shared" si="92"/>
        <v>0</v>
      </c>
      <c r="G436" s="152">
        <f t="shared" si="87"/>
        <v>0</v>
      </c>
      <c r="H436" s="153">
        <f t="shared" si="82"/>
        <v>0</v>
      </c>
      <c r="I436" s="151">
        <f t="shared" si="93"/>
        <v>0</v>
      </c>
      <c r="J436" s="151">
        <f t="shared" si="88"/>
        <v>0</v>
      </c>
      <c r="K436" s="154">
        <f t="shared" si="89"/>
        <v>0</v>
      </c>
      <c r="L436" s="167"/>
      <c r="M436" s="171"/>
      <c r="N436" s="155">
        <f t="shared" si="83"/>
        <v>7</v>
      </c>
      <c r="O436" s="123">
        <f t="shared" si="90"/>
        <v>24</v>
      </c>
      <c r="P436" s="124">
        <f t="shared" si="84"/>
        <v>0</v>
      </c>
      <c r="Q436" s="125"/>
      <c r="R436" s="125"/>
      <c r="S436" s="125"/>
      <c r="T436" s="125"/>
      <c r="U436" s="125"/>
      <c r="V436" s="125"/>
      <c r="W436" s="125"/>
      <c r="X436" s="125"/>
      <c r="Y436" s="125"/>
      <c r="Z436" s="125"/>
    </row>
    <row r="437" spans="1:26">
      <c r="A437" s="161">
        <v>430</v>
      </c>
      <c r="B437" s="148" t="str">
        <f t="shared" si="85"/>
        <v>36-й год 10-й мес</v>
      </c>
      <c r="C437" s="149">
        <f t="shared" si="91"/>
        <v>54280</v>
      </c>
      <c r="D437" s="150">
        <f t="shared" si="81"/>
        <v>0</v>
      </c>
      <c r="E437" s="151">
        <f t="shared" si="86"/>
        <v>0</v>
      </c>
      <c r="F437" s="151">
        <f t="shared" si="92"/>
        <v>0</v>
      </c>
      <c r="G437" s="152">
        <f t="shared" si="87"/>
        <v>0</v>
      </c>
      <c r="H437" s="153">
        <f t="shared" si="82"/>
        <v>0</v>
      </c>
      <c r="I437" s="151">
        <f t="shared" si="93"/>
        <v>0</v>
      </c>
      <c r="J437" s="151">
        <f t="shared" si="88"/>
        <v>0</v>
      </c>
      <c r="K437" s="154">
        <f t="shared" si="89"/>
        <v>0</v>
      </c>
      <c r="L437" s="167"/>
      <c r="M437" s="171"/>
      <c r="N437" s="155">
        <f t="shared" si="83"/>
        <v>7</v>
      </c>
      <c r="O437" s="123">
        <f t="shared" si="90"/>
        <v>24</v>
      </c>
      <c r="P437" s="124">
        <f t="shared" si="84"/>
        <v>0</v>
      </c>
      <c r="Q437" s="125"/>
      <c r="R437" s="125"/>
      <c r="S437" s="125"/>
      <c r="T437" s="125"/>
      <c r="U437" s="125"/>
      <c r="V437" s="125"/>
      <c r="W437" s="125"/>
      <c r="X437" s="125"/>
      <c r="Y437" s="125"/>
      <c r="Z437" s="125"/>
    </row>
    <row r="438" spans="1:26">
      <c r="A438" s="161">
        <v>431</v>
      </c>
      <c r="B438" s="148" t="str">
        <f t="shared" si="85"/>
        <v>36-й год 11-й мес</v>
      </c>
      <c r="C438" s="149">
        <f t="shared" si="91"/>
        <v>54311</v>
      </c>
      <c r="D438" s="150">
        <f t="shared" si="81"/>
        <v>0</v>
      </c>
      <c r="E438" s="151">
        <f t="shared" si="86"/>
        <v>0</v>
      </c>
      <c r="F438" s="151">
        <f t="shared" si="92"/>
        <v>0</v>
      </c>
      <c r="G438" s="152">
        <f t="shared" si="87"/>
        <v>0</v>
      </c>
      <c r="H438" s="153">
        <f t="shared" si="82"/>
        <v>0</v>
      </c>
      <c r="I438" s="151">
        <f t="shared" si="93"/>
        <v>0</v>
      </c>
      <c r="J438" s="151">
        <f t="shared" si="88"/>
        <v>0</v>
      </c>
      <c r="K438" s="154">
        <f t="shared" si="89"/>
        <v>0</v>
      </c>
      <c r="L438" s="167"/>
      <c r="M438" s="171"/>
      <c r="N438" s="155">
        <f t="shared" si="83"/>
        <v>7</v>
      </c>
      <c r="O438" s="123">
        <f t="shared" si="90"/>
        <v>24</v>
      </c>
      <c r="P438" s="124">
        <f t="shared" si="84"/>
        <v>0</v>
      </c>
      <c r="Q438" s="125"/>
      <c r="R438" s="125"/>
      <c r="S438" s="125"/>
      <c r="T438" s="125"/>
      <c r="U438" s="125"/>
      <c r="V438" s="125"/>
      <c r="W438" s="125"/>
      <c r="X438" s="125"/>
      <c r="Y438" s="125"/>
      <c r="Z438" s="125"/>
    </row>
    <row r="439" spans="1:26">
      <c r="A439" s="162">
        <v>432</v>
      </c>
      <c r="B439" s="148" t="str">
        <f t="shared" si="85"/>
        <v>36-й год 12-й мес</v>
      </c>
      <c r="C439" s="149">
        <f t="shared" si="91"/>
        <v>54341</v>
      </c>
      <c r="D439" s="150">
        <f t="shared" si="81"/>
        <v>0</v>
      </c>
      <c r="E439" s="163">
        <f t="shared" si="86"/>
        <v>0</v>
      </c>
      <c r="F439" s="151">
        <f t="shared" si="92"/>
        <v>0</v>
      </c>
      <c r="G439" s="164">
        <f t="shared" si="87"/>
        <v>0</v>
      </c>
      <c r="H439" s="165">
        <f t="shared" si="82"/>
        <v>0</v>
      </c>
      <c r="I439" s="163">
        <f t="shared" si="93"/>
        <v>0</v>
      </c>
      <c r="J439" s="163">
        <f t="shared" si="88"/>
        <v>0</v>
      </c>
      <c r="K439" s="166">
        <f t="shared" si="89"/>
        <v>0</v>
      </c>
      <c r="L439" s="170"/>
      <c r="M439" s="172"/>
      <c r="N439" s="155">
        <f t="shared" si="83"/>
        <v>7</v>
      </c>
      <c r="O439" s="123">
        <f t="shared" si="90"/>
        <v>24</v>
      </c>
      <c r="P439" s="124">
        <f t="shared" si="84"/>
        <v>0</v>
      </c>
      <c r="Q439" s="125"/>
      <c r="R439" s="125"/>
      <c r="S439" s="125"/>
      <c r="T439" s="125"/>
      <c r="U439" s="125"/>
      <c r="V439" s="125"/>
      <c r="W439" s="125"/>
      <c r="X439" s="125"/>
      <c r="Y439" s="125"/>
      <c r="Z439" s="125"/>
    </row>
    <row r="440" spans="1:26">
      <c r="A440" s="147">
        <v>433</v>
      </c>
      <c r="B440" s="148" t="str">
        <f t="shared" si="85"/>
        <v>37-й год 1-й мес</v>
      </c>
      <c r="C440" s="149">
        <f t="shared" si="91"/>
        <v>54372</v>
      </c>
      <c r="D440" s="150">
        <f t="shared" si="81"/>
        <v>0</v>
      </c>
      <c r="E440" s="151">
        <f t="shared" si="86"/>
        <v>0</v>
      </c>
      <c r="F440" s="151">
        <f t="shared" si="92"/>
        <v>0</v>
      </c>
      <c r="G440" s="152">
        <f t="shared" si="87"/>
        <v>0</v>
      </c>
      <c r="H440" s="153">
        <f t="shared" si="82"/>
        <v>0</v>
      </c>
      <c r="I440" s="151">
        <f t="shared" si="93"/>
        <v>0</v>
      </c>
      <c r="J440" s="151">
        <f t="shared" si="88"/>
        <v>0</v>
      </c>
      <c r="K440" s="154">
        <f t="shared" si="89"/>
        <v>0</v>
      </c>
      <c r="L440" s="167"/>
      <c r="M440" s="171"/>
      <c r="N440" s="155">
        <f t="shared" si="83"/>
        <v>7</v>
      </c>
      <c r="O440" s="123">
        <f t="shared" si="90"/>
        <v>24</v>
      </c>
      <c r="P440" s="124">
        <f t="shared" si="84"/>
        <v>0</v>
      </c>
      <c r="Q440" s="125"/>
      <c r="R440" s="125"/>
      <c r="S440" s="125"/>
      <c r="T440" s="125"/>
      <c r="U440" s="125"/>
      <c r="V440" s="125"/>
      <c r="W440" s="125"/>
      <c r="X440" s="125"/>
      <c r="Y440" s="125"/>
      <c r="Z440" s="125"/>
    </row>
    <row r="441" spans="1:26">
      <c r="A441" s="147">
        <v>434</v>
      </c>
      <c r="B441" s="148" t="str">
        <f t="shared" si="85"/>
        <v>37-й год 2-й мес</v>
      </c>
      <c r="C441" s="149">
        <f t="shared" si="91"/>
        <v>54402</v>
      </c>
      <c r="D441" s="150">
        <f t="shared" si="81"/>
        <v>0</v>
      </c>
      <c r="E441" s="151">
        <f t="shared" si="86"/>
        <v>0</v>
      </c>
      <c r="F441" s="151">
        <f t="shared" si="92"/>
        <v>0</v>
      </c>
      <c r="G441" s="152">
        <f t="shared" si="87"/>
        <v>0</v>
      </c>
      <c r="H441" s="153">
        <f t="shared" si="82"/>
        <v>0</v>
      </c>
      <c r="I441" s="151">
        <f t="shared" si="93"/>
        <v>0</v>
      </c>
      <c r="J441" s="151">
        <f t="shared" si="88"/>
        <v>0</v>
      </c>
      <c r="K441" s="154">
        <f t="shared" si="89"/>
        <v>0</v>
      </c>
      <c r="L441" s="167"/>
      <c r="M441" s="171"/>
      <c r="N441" s="155">
        <f t="shared" si="83"/>
        <v>7</v>
      </c>
      <c r="O441" s="123">
        <f t="shared" si="90"/>
        <v>24</v>
      </c>
      <c r="P441" s="124">
        <f t="shared" si="84"/>
        <v>0</v>
      </c>
      <c r="Q441" s="125"/>
      <c r="R441" s="125"/>
      <c r="S441" s="125"/>
      <c r="T441" s="125"/>
      <c r="U441" s="125"/>
      <c r="V441" s="125"/>
      <c r="W441" s="125"/>
      <c r="X441" s="125"/>
      <c r="Y441" s="125"/>
      <c r="Z441" s="125"/>
    </row>
    <row r="442" spans="1:26">
      <c r="A442" s="147">
        <v>435</v>
      </c>
      <c r="B442" s="148" t="str">
        <f t="shared" si="85"/>
        <v>37-й год 3-й мес</v>
      </c>
      <c r="C442" s="149">
        <f t="shared" si="91"/>
        <v>54433</v>
      </c>
      <c r="D442" s="150">
        <f t="shared" si="81"/>
        <v>0</v>
      </c>
      <c r="E442" s="151">
        <f t="shared" si="86"/>
        <v>0</v>
      </c>
      <c r="F442" s="151">
        <f t="shared" si="92"/>
        <v>0</v>
      </c>
      <c r="G442" s="152">
        <f t="shared" si="87"/>
        <v>0</v>
      </c>
      <c r="H442" s="153">
        <f t="shared" si="82"/>
        <v>0</v>
      </c>
      <c r="I442" s="151">
        <f t="shared" si="93"/>
        <v>0</v>
      </c>
      <c r="J442" s="151">
        <f t="shared" si="88"/>
        <v>0</v>
      </c>
      <c r="K442" s="154">
        <f t="shared" si="89"/>
        <v>0</v>
      </c>
      <c r="L442" s="167"/>
      <c r="M442" s="171"/>
      <c r="N442" s="155">
        <f t="shared" si="83"/>
        <v>7</v>
      </c>
      <c r="O442" s="123">
        <f t="shared" si="90"/>
        <v>24</v>
      </c>
      <c r="P442" s="124">
        <f t="shared" si="84"/>
        <v>0</v>
      </c>
      <c r="Q442" s="125"/>
      <c r="R442" s="125"/>
      <c r="S442" s="125"/>
      <c r="T442" s="125"/>
      <c r="U442" s="125"/>
      <c r="V442" s="125"/>
      <c r="W442" s="125"/>
      <c r="X442" s="125"/>
      <c r="Y442" s="125"/>
      <c r="Z442" s="125"/>
    </row>
    <row r="443" spans="1:26">
      <c r="A443" s="147">
        <v>436</v>
      </c>
      <c r="B443" s="148" t="str">
        <f t="shared" si="85"/>
        <v>37-й год 4-й мес</v>
      </c>
      <c r="C443" s="149">
        <f t="shared" si="91"/>
        <v>54464</v>
      </c>
      <c r="D443" s="150">
        <f t="shared" si="81"/>
        <v>0</v>
      </c>
      <c r="E443" s="151">
        <f t="shared" si="86"/>
        <v>0</v>
      </c>
      <c r="F443" s="151">
        <f t="shared" si="92"/>
        <v>0</v>
      </c>
      <c r="G443" s="152">
        <f t="shared" si="87"/>
        <v>0</v>
      </c>
      <c r="H443" s="153">
        <f t="shared" si="82"/>
        <v>0</v>
      </c>
      <c r="I443" s="151">
        <f t="shared" si="93"/>
        <v>0</v>
      </c>
      <c r="J443" s="151">
        <f t="shared" si="88"/>
        <v>0</v>
      </c>
      <c r="K443" s="154">
        <f t="shared" si="89"/>
        <v>0</v>
      </c>
      <c r="L443" s="167"/>
      <c r="M443" s="171"/>
      <c r="N443" s="155">
        <f t="shared" si="83"/>
        <v>7</v>
      </c>
      <c r="O443" s="123">
        <f t="shared" si="90"/>
        <v>24</v>
      </c>
      <c r="P443" s="124">
        <f t="shared" si="84"/>
        <v>0</v>
      </c>
      <c r="Q443" s="125"/>
      <c r="R443" s="125"/>
      <c r="S443" s="125"/>
      <c r="T443" s="125"/>
      <c r="U443" s="125"/>
      <c r="V443" s="125"/>
      <c r="W443" s="125"/>
      <c r="X443" s="125"/>
      <c r="Y443" s="125"/>
      <c r="Z443" s="125"/>
    </row>
    <row r="444" spans="1:26">
      <c r="A444" s="147">
        <v>437</v>
      </c>
      <c r="B444" s="148" t="str">
        <f t="shared" si="85"/>
        <v>37-й год 5-й мес</v>
      </c>
      <c r="C444" s="149">
        <f t="shared" si="91"/>
        <v>54492</v>
      </c>
      <c r="D444" s="150">
        <f t="shared" si="81"/>
        <v>0</v>
      </c>
      <c r="E444" s="151">
        <f t="shared" si="86"/>
        <v>0</v>
      </c>
      <c r="F444" s="151">
        <f t="shared" si="92"/>
        <v>0</v>
      </c>
      <c r="G444" s="152">
        <f t="shared" si="87"/>
        <v>0</v>
      </c>
      <c r="H444" s="153">
        <f t="shared" si="82"/>
        <v>0</v>
      </c>
      <c r="I444" s="151">
        <f t="shared" si="93"/>
        <v>0</v>
      </c>
      <c r="J444" s="151">
        <f t="shared" si="88"/>
        <v>0</v>
      </c>
      <c r="K444" s="154">
        <f t="shared" si="89"/>
        <v>0</v>
      </c>
      <c r="L444" s="167"/>
      <c r="M444" s="171"/>
      <c r="N444" s="155">
        <f t="shared" si="83"/>
        <v>7</v>
      </c>
      <c r="O444" s="123">
        <f t="shared" si="90"/>
        <v>24</v>
      </c>
      <c r="P444" s="124">
        <f t="shared" si="84"/>
        <v>0</v>
      </c>
      <c r="Q444" s="125"/>
      <c r="R444" s="125"/>
      <c r="S444" s="125"/>
      <c r="T444" s="125"/>
      <c r="U444" s="125"/>
      <c r="V444" s="125"/>
      <c r="W444" s="125"/>
      <c r="X444" s="125"/>
      <c r="Y444" s="125"/>
      <c r="Z444" s="125"/>
    </row>
    <row r="445" spans="1:26">
      <c r="A445" s="147">
        <v>438</v>
      </c>
      <c r="B445" s="148" t="str">
        <f t="shared" si="85"/>
        <v>37-й год 6-й мес</v>
      </c>
      <c r="C445" s="149">
        <f t="shared" si="91"/>
        <v>54523</v>
      </c>
      <c r="D445" s="150">
        <f t="shared" si="81"/>
        <v>0</v>
      </c>
      <c r="E445" s="151">
        <f t="shared" si="86"/>
        <v>0</v>
      </c>
      <c r="F445" s="151">
        <f t="shared" si="92"/>
        <v>0</v>
      </c>
      <c r="G445" s="152">
        <f t="shared" si="87"/>
        <v>0</v>
      </c>
      <c r="H445" s="153">
        <f t="shared" si="82"/>
        <v>0</v>
      </c>
      <c r="I445" s="151">
        <f t="shared" si="93"/>
        <v>0</v>
      </c>
      <c r="J445" s="151">
        <f t="shared" si="88"/>
        <v>0</v>
      </c>
      <c r="K445" s="154">
        <f t="shared" si="89"/>
        <v>0</v>
      </c>
      <c r="L445" s="167"/>
      <c r="M445" s="171"/>
      <c r="N445" s="155">
        <f t="shared" si="83"/>
        <v>7</v>
      </c>
      <c r="O445" s="123">
        <f t="shared" si="90"/>
        <v>24</v>
      </c>
      <c r="P445" s="124">
        <f t="shared" si="84"/>
        <v>0</v>
      </c>
      <c r="Q445" s="125"/>
      <c r="R445" s="125"/>
      <c r="S445" s="125"/>
      <c r="T445" s="125"/>
      <c r="U445" s="125"/>
      <c r="V445" s="125"/>
      <c r="W445" s="125"/>
      <c r="X445" s="125"/>
      <c r="Y445" s="125"/>
      <c r="Z445" s="125"/>
    </row>
    <row r="446" spans="1:26">
      <c r="A446" s="147">
        <v>439</v>
      </c>
      <c r="B446" s="148" t="str">
        <f t="shared" si="85"/>
        <v>37-й год 7-й мес</v>
      </c>
      <c r="C446" s="149">
        <f t="shared" si="91"/>
        <v>54553</v>
      </c>
      <c r="D446" s="150">
        <f t="shared" si="81"/>
        <v>0</v>
      </c>
      <c r="E446" s="151">
        <f t="shared" si="86"/>
        <v>0</v>
      </c>
      <c r="F446" s="151">
        <f t="shared" si="92"/>
        <v>0</v>
      </c>
      <c r="G446" s="152">
        <f t="shared" si="87"/>
        <v>0</v>
      </c>
      <c r="H446" s="153">
        <f t="shared" si="82"/>
        <v>0</v>
      </c>
      <c r="I446" s="151">
        <f t="shared" si="93"/>
        <v>0</v>
      </c>
      <c r="J446" s="151">
        <f t="shared" si="88"/>
        <v>0</v>
      </c>
      <c r="K446" s="154">
        <f t="shared" si="89"/>
        <v>0</v>
      </c>
      <c r="L446" s="167"/>
      <c r="M446" s="171"/>
      <c r="N446" s="155">
        <f t="shared" si="83"/>
        <v>7</v>
      </c>
      <c r="O446" s="123">
        <f t="shared" si="90"/>
        <v>24</v>
      </c>
      <c r="P446" s="124">
        <f t="shared" si="84"/>
        <v>0</v>
      </c>
      <c r="Q446" s="125"/>
      <c r="R446" s="125"/>
      <c r="S446" s="125"/>
      <c r="T446" s="125"/>
      <c r="U446" s="125"/>
      <c r="V446" s="125"/>
      <c r="W446" s="125"/>
      <c r="X446" s="125"/>
      <c r="Y446" s="125"/>
      <c r="Z446" s="125"/>
    </row>
    <row r="447" spans="1:26">
      <c r="A447" s="147">
        <v>440</v>
      </c>
      <c r="B447" s="148" t="str">
        <f t="shared" si="85"/>
        <v>37-й год 8-й мес</v>
      </c>
      <c r="C447" s="149">
        <f t="shared" si="91"/>
        <v>54584</v>
      </c>
      <c r="D447" s="150">
        <f t="shared" si="81"/>
        <v>0</v>
      </c>
      <c r="E447" s="151">
        <f t="shared" si="86"/>
        <v>0</v>
      </c>
      <c r="F447" s="151">
        <f t="shared" si="92"/>
        <v>0</v>
      </c>
      <c r="G447" s="152">
        <f t="shared" si="87"/>
        <v>0</v>
      </c>
      <c r="H447" s="153">
        <f t="shared" si="82"/>
        <v>0</v>
      </c>
      <c r="I447" s="151">
        <f t="shared" si="93"/>
        <v>0</v>
      </c>
      <c r="J447" s="151">
        <f t="shared" si="88"/>
        <v>0</v>
      </c>
      <c r="K447" s="154">
        <f t="shared" si="89"/>
        <v>0</v>
      </c>
      <c r="L447" s="167"/>
      <c r="M447" s="171"/>
      <c r="N447" s="155">
        <f t="shared" si="83"/>
        <v>7</v>
      </c>
      <c r="O447" s="123">
        <f t="shared" si="90"/>
        <v>24</v>
      </c>
      <c r="P447" s="124">
        <f t="shared" si="84"/>
        <v>0</v>
      </c>
      <c r="Q447" s="125"/>
      <c r="R447" s="125"/>
      <c r="S447" s="125"/>
      <c r="T447" s="125"/>
      <c r="U447" s="125"/>
      <c r="V447" s="125"/>
      <c r="W447" s="125"/>
      <c r="X447" s="125"/>
      <c r="Y447" s="125"/>
      <c r="Z447" s="125"/>
    </row>
    <row r="448" spans="1:26">
      <c r="A448" s="147">
        <v>441</v>
      </c>
      <c r="B448" s="148" t="str">
        <f t="shared" si="85"/>
        <v>37-й год 9-й мес</v>
      </c>
      <c r="C448" s="149">
        <f t="shared" si="91"/>
        <v>54614</v>
      </c>
      <c r="D448" s="150">
        <f t="shared" si="81"/>
        <v>0</v>
      </c>
      <c r="E448" s="151">
        <f t="shared" si="86"/>
        <v>0</v>
      </c>
      <c r="F448" s="151">
        <f t="shared" si="92"/>
        <v>0</v>
      </c>
      <c r="G448" s="152">
        <f t="shared" si="87"/>
        <v>0</v>
      </c>
      <c r="H448" s="153">
        <f t="shared" si="82"/>
        <v>0</v>
      </c>
      <c r="I448" s="151">
        <f t="shared" si="93"/>
        <v>0</v>
      </c>
      <c r="J448" s="151">
        <f t="shared" si="88"/>
        <v>0</v>
      </c>
      <c r="K448" s="154">
        <f t="shared" si="89"/>
        <v>0</v>
      </c>
      <c r="L448" s="167"/>
      <c r="M448" s="171"/>
      <c r="N448" s="155">
        <f t="shared" si="83"/>
        <v>7</v>
      </c>
      <c r="O448" s="123">
        <f t="shared" si="90"/>
        <v>24</v>
      </c>
      <c r="P448" s="124">
        <f t="shared" si="84"/>
        <v>0</v>
      </c>
      <c r="Q448" s="125"/>
      <c r="R448" s="125"/>
      <c r="S448" s="125"/>
      <c r="T448" s="125"/>
      <c r="U448" s="125"/>
      <c r="V448" s="125"/>
      <c r="W448" s="125"/>
      <c r="X448" s="125"/>
      <c r="Y448" s="125"/>
      <c r="Z448" s="125"/>
    </row>
    <row r="449" spans="1:26">
      <c r="A449" s="147">
        <v>442</v>
      </c>
      <c r="B449" s="148" t="str">
        <f t="shared" si="85"/>
        <v>37-й год 10-й мес</v>
      </c>
      <c r="C449" s="149">
        <f t="shared" si="91"/>
        <v>54645</v>
      </c>
      <c r="D449" s="150">
        <f t="shared" si="81"/>
        <v>0</v>
      </c>
      <c r="E449" s="151">
        <f t="shared" si="86"/>
        <v>0</v>
      </c>
      <c r="F449" s="151">
        <f t="shared" si="92"/>
        <v>0</v>
      </c>
      <c r="G449" s="152">
        <f t="shared" si="87"/>
        <v>0</v>
      </c>
      <c r="H449" s="153">
        <f t="shared" si="82"/>
        <v>0</v>
      </c>
      <c r="I449" s="151">
        <f t="shared" si="93"/>
        <v>0</v>
      </c>
      <c r="J449" s="151">
        <f t="shared" si="88"/>
        <v>0</v>
      </c>
      <c r="K449" s="154">
        <f t="shared" si="89"/>
        <v>0</v>
      </c>
      <c r="L449" s="167"/>
      <c r="M449" s="171"/>
      <c r="N449" s="155">
        <f t="shared" si="83"/>
        <v>7</v>
      </c>
      <c r="O449" s="123">
        <f t="shared" si="90"/>
        <v>24</v>
      </c>
      <c r="P449" s="124">
        <f t="shared" si="84"/>
        <v>0</v>
      </c>
      <c r="Q449" s="125"/>
      <c r="R449" s="125"/>
      <c r="S449" s="125"/>
      <c r="T449" s="125"/>
      <c r="U449" s="125"/>
      <c r="V449" s="125"/>
      <c r="W449" s="125"/>
      <c r="X449" s="125"/>
      <c r="Y449" s="125"/>
      <c r="Z449" s="125"/>
    </row>
    <row r="450" spans="1:26">
      <c r="A450" s="147">
        <v>443</v>
      </c>
      <c r="B450" s="148" t="str">
        <f t="shared" si="85"/>
        <v>37-й год 11-й мес</v>
      </c>
      <c r="C450" s="149">
        <f t="shared" si="91"/>
        <v>54676</v>
      </c>
      <c r="D450" s="150">
        <f t="shared" si="81"/>
        <v>0</v>
      </c>
      <c r="E450" s="151">
        <f t="shared" si="86"/>
        <v>0</v>
      </c>
      <c r="F450" s="151">
        <f t="shared" si="92"/>
        <v>0</v>
      </c>
      <c r="G450" s="152">
        <f t="shared" si="87"/>
        <v>0</v>
      </c>
      <c r="H450" s="153">
        <f t="shared" si="82"/>
        <v>0</v>
      </c>
      <c r="I450" s="151">
        <f t="shared" si="93"/>
        <v>0</v>
      </c>
      <c r="J450" s="151">
        <f t="shared" si="88"/>
        <v>0</v>
      </c>
      <c r="K450" s="154">
        <f t="shared" si="89"/>
        <v>0</v>
      </c>
      <c r="L450" s="167"/>
      <c r="M450" s="171"/>
      <c r="N450" s="155">
        <f t="shared" si="83"/>
        <v>7</v>
      </c>
      <c r="O450" s="123">
        <f t="shared" si="90"/>
        <v>24</v>
      </c>
      <c r="P450" s="124">
        <f t="shared" si="84"/>
        <v>0</v>
      </c>
      <c r="Q450" s="125"/>
      <c r="R450" s="125"/>
      <c r="S450" s="125"/>
      <c r="T450" s="125"/>
      <c r="U450" s="125"/>
      <c r="V450" s="125"/>
      <c r="W450" s="125"/>
      <c r="X450" s="125"/>
      <c r="Y450" s="125"/>
      <c r="Z450" s="125"/>
    </row>
    <row r="451" spans="1:26">
      <c r="A451" s="147">
        <v>444</v>
      </c>
      <c r="B451" s="148" t="str">
        <f t="shared" si="85"/>
        <v>37-й год 12-й мес</v>
      </c>
      <c r="C451" s="149">
        <f t="shared" si="91"/>
        <v>54706</v>
      </c>
      <c r="D451" s="150">
        <f t="shared" si="81"/>
        <v>0</v>
      </c>
      <c r="E451" s="151">
        <f t="shared" si="86"/>
        <v>0</v>
      </c>
      <c r="F451" s="151">
        <f t="shared" si="92"/>
        <v>0</v>
      </c>
      <c r="G451" s="152">
        <f t="shared" si="87"/>
        <v>0</v>
      </c>
      <c r="H451" s="153">
        <f t="shared" si="82"/>
        <v>0</v>
      </c>
      <c r="I451" s="151">
        <f t="shared" si="93"/>
        <v>0</v>
      </c>
      <c r="J451" s="151">
        <f t="shared" si="88"/>
        <v>0</v>
      </c>
      <c r="K451" s="154">
        <f t="shared" si="89"/>
        <v>0</v>
      </c>
      <c r="L451" s="167"/>
      <c r="M451" s="171"/>
      <c r="N451" s="155">
        <f t="shared" si="83"/>
        <v>7</v>
      </c>
      <c r="O451" s="123">
        <f t="shared" si="90"/>
        <v>24</v>
      </c>
      <c r="P451" s="124">
        <f t="shared" si="84"/>
        <v>0</v>
      </c>
      <c r="Q451" s="125"/>
      <c r="R451" s="125"/>
      <c r="S451" s="125"/>
      <c r="T451" s="125"/>
      <c r="U451" s="125"/>
      <c r="V451" s="125"/>
      <c r="W451" s="125"/>
      <c r="X451" s="125"/>
      <c r="Y451" s="125"/>
      <c r="Z451" s="125"/>
    </row>
    <row r="452" spans="1:26">
      <c r="A452" s="156">
        <v>445</v>
      </c>
      <c r="B452" s="148" t="str">
        <f t="shared" si="85"/>
        <v>38-й год 1-й мес</v>
      </c>
      <c r="C452" s="149">
        <f t="shared" si="91"/>
        <v>54737</v>
      </c>
      <c r="D452" s="150">
        <f t="shared" si="81"/>
        <v>0</v>
      </c>
      <c r="E452" s="157">
        <f t="shared" si="86"/>
        <v>0</v>
      </c>
      <c r="F452" s="151">
        <f t="shared" si="92"/>
        <v>0</v>
      </c>
      <c r="G452" s="158">
        <f t="shared" si="87"/>
        <v>0</v>
      </c>
      <c r="H452" s="159">
        <f t="shared" si="82"/>
        <v>0</v>
      </c>
      <c r="I452" s="157">
        <f t="shared" si="93"/>
        <v>0</v>
      </c>
      <c r="J452" s="157">
        <f t="shared" si="88"/>
        <v>0</v>
      </c>
      <c r="K452" s="160">
        <f t="shared" si="89"/>
        <v>0</v>
      </c>
      <c r="L452" s="169"/>
      <c r="M452" s="168"/>
      <c r="N452" s="155">
        <f t="shared" si="83"/>
        <v>7</v>
      </c>
      <c r="O452" s="123">
        <f t="shared" si="90"/>
        <v>24</v>
      </c>
      <c r="P452" s="124">
        <f t="shared" si="84"/>
        <v>0</v>
      </c>
      <c r="Q452" s="125"/>
      <c r="R452" s="125"/>
      <c r="S452" s="125"/>
      <c r="T452" s="125"/>
      <c r="U452" s="125"/>
      <c r="V452" s="125"/>
      <c r="W452" s="125"/>
      <c r="X452" s="125"/>
      <c r="Y452" s="125"/>
      <c r="Z452" s="125"/>
    </row>
    <row r="453" spans="1:26">
      <c r="A453" s="161">
        <v>446</v>
      </c>
      <c r="B453" s="148" t="str">
        <f t="shared" si="85"/>
        <v>38-й год 2-й мес</v>
      </c>
      <c r="C453" s="149">
        <f t="shared" si="91"/>
        <v>54767</v>
      </c>
      <c r="D453" s="150">
        <f t="shared" si="81"/>
        <v>0</v>
      </c>
      <c r="E453" s="151">
        <f t="shared" si="86"/>
        <v>0</v>
      </c>
      <c r="F453" s="151">
        <f t="shared" si="92"/>
        <v>0</v>
      </c>
      <c r="G453" s="152">
        <f t="shared" si="87"/>
        <v>0</v>
      </c>
      <c r="H453" s="153">
        <f t="shared" si="82"/>
        <v>0</v>
      </c>
      <c r="I453" s="151">
        <f t="shared" si="93"/>
        <v>0</v>
      </c>
      <c r="J453" s="151">
        <f t="shared" si="88"/>
        <v>0</v>
      </c>
      <c r="K453" s="154">
        <f t="shared" si="89"/>
        <v>0</v>
      </c>
      <c r="L453" s="167"/>
      <c r="M453" s="171"/>
      <c r="N453" s="155">
        <f t="shared" si="83"/>
        <v>7</v>
      </c>
      <c r="O453" s="123">
        <f t="shared" si="90"/>
        <v>24</v>
      </c>
      <c r="P453" s="124">
        <f t="shared" si="84"/>
        <v>0</v>
      </c>
      <c r="Q453" s="125"/>
      <c r="R453" s="125"/>
      <c r="S453" s="125"/>
      <c r="T453" s="125"/>
      <c r="U453" s="125"/>
      <c r="V453" s="125"/>
      <c r="W453" s="125"/>
      <c r="X453" s="125"/>
      <c r="Y453" s="125"/>
      <c r="Z453" s="125"/>
    </row>
    <row r="454" spans="1:26">
      <c r="A454" s="161">
        <v>447</v>
      </c>
      <c r="B454" s="148" t="str">
        <f t="shared" si="85"/>
        <v>38-й год 3-й мес</v>
      </c>
      <c r="C454" s="149">
        <f t="shared" si="91"/>
        <v>54798</v>
      </c>
      <c r="D454" s="150">
        <f t="shared" si="81"/>
        <v>0</v>
      </c>
      <c r="E454" s="151">
        <f t="shared" si="86"/>
        <v>0</v>
      </c>
      <c r="F454" s="151">
        <f t="shared" si="92"/>
        <v>0</v>
      </c>
      <c r="G454" s="152">
        <f t="shared" si="87"/>
        <v>0</v>
      </c>
      <c r="H454" s="153">
        <f t="shared" si="82"/>
        <v>0</v>
      </c>
      <c r="I454" s="151">
        <f t="shared" si="93"/>
        <v>0</v>
      </c>
      <c r="J454" s="151">
        <f t="shared" si="88"/>
        <v>0</v>
      </c>
      <c r="K454" s="154">
        <f t="shared" si="89"/>
        <v>0</v>
      </c>
      <c r="L454" s="167"/>
      <c r="M454" s="171"/>
      <c r="N454" s="155">
        <f t="shared" si="83"/>
        <v>7</v>
      </c>
      <c r="O454" s="123">
        <f t="shared" si="90"/>
        <v>24</v>
      </c>
      <c r="P454" s="124">
        <f t="shared" si="84"/>
        <v>0</v>
      </c>
      <c r="Q454" s="125"/>
      <c r="R454" s="125"/>
      <c r="S454" s="125"/>
      <c r="T454" s="125"/>
      <c r="U454" s="125"/>
      <c r="V454" s="125"/>
      <c r="W454" s="125"/>
      <c r="X454" s="125"/>
      <c r="Y454" s="125"/>
      <c r="Z454" s="125"/>
    </row>
    <row r="455" spans="1:26">
      <c r="A455" s="161">
        <v>448</v>
      </c>
      <c r="B455" s="148" t="str">
        <f t="shared" si="85"/>
        <v>38-й год 4-й мес</v>
      </c>
      <c r="C455" s="149">
        <f t="shared" si="91"/>
        <v>54829</v>
      </c>
      <c r="D455" s="150">
        <f t="shared" si="81"/>
        <v>0</v>
      </c>
      <c r="E455" s="151">
        <f t="shared" si="86"/>
        <v>0</v>
      </c>
      <c r="F455" s="151">
        <f t="shared" si="92"/>
        <v>0</v>
      </c>
      <c r="G455" s="152">
        <f t="shared" si="87"/>
        <v>0</v>
      </c>
      <c r="H455" s="153">
        <f t="shared" si="82"/>
        <v>0</v>
      </c>
      <c r="I455" s="151">
        <f t="shared" si="93"/>
        <v>0</v>
      </c>
      <c r="J455" s="151">
        <f t="shared" si="88"/>
        <v>0</v>
      </c>
      <c r="K455" s="154">
        <f t="shared" si="89"/>
        <v>0</v>
      </c>
      <c r="L455" s="167"/>
      <c r="M455" s="171"/>
      <c r="N455" s="155">
        <f t="shared" si="83"/>
        <v>7</v>
      </c>
      <c r="O455" s="123">
        <f t="shared" si="90"/>
        <v>24</v>
      </c>
      <c r="P455" s="124">
        <f t="shared" si="84"/>
        <v>0</v>
      </c>
      <c r="Q455" s="125"/>
      <c r="R455" s="125"/>
      <c r="S455" s="125"/>
      <c r="T455" s="125"/>
      <c r="U455" s="125"/>
      <c r="V455" s="125"/>
      <c r="W455" s="125"/>
      <c r="X455" s="125"/>
      <c r="Y455" s="125"/>
      <c r="Z455" s="125"/>
    </row>
    <row r="456" spans="1:26">
      <c r="A456" s="161">
        <v>449</v>
      </c>
      <c r="B456" s="148" t="str">
        <f t="shared" si="85"/>
        <v>38-й год 5-й мес</v>
      </c>
      <c r="C456" s="149">
        <f t="shared" si="91"/>
        <v>54857</v>
      </c>
      <c r="D456" s="150">
        <f t="shared" ref="D456:D519" si="94">IF(P456*$D$2/100/12/(1-(1+$D$2/100/12)^(-O456))&lt;G455,ROUNDUP(P456*$D$2/100/12/(1-(1+$D$2/100/12)^(-O456)),0),G455+F456)</f>
        <v>0</v>
      </c>
      <c r="E456" s="151">
        <f t="shared" si="86"/>
        <v>0</v>
      </c>
      <c r="F456" s="151">
        <f t="shared" si="92"/>
        <v>0</v>
      </c>
      <c r="G456" s="152">
        <f t="shared" si="87"/>
        <v>0</v>
      </c>
      <c r="H456" s="153">
        <f t="shared" ref="H456:H519" si="95">I456+J456</f>
        <v>0</v>
      </c>
      <c r="I456" s="151">
        <f t="shared" si="93"/>
        <v>0</v>
      </c>
      <c r="J456" s="151">
        <f t="shared" si="88"/>
        <v>0</v>
      </c>
      <c r="K456" s="154">
        <f t="shared" si="89"/>
        <v>0</v>
      </c>
      <c r="L456" s="167"/>
      <c r="M456" s="171"/>
      <c r="N456" s="155">
        <f t="shared" ref="N456:N519" si="96">IF(ISBLANK(L455),VALUE(N455),ROW(L455))</f>
        <v>7</v>
      </c>
      <c r="O456" s="123">
        <f t="shared" si="90"/>
        <v>24</v>
      </c>
      <c r="P456" s="124">
        <f t="shared" ref="P456:P519" si="97">INDEX(G:G,N456,1)</f>
        <v>0</v>
      </c>
      <c r="Q456" s="125"/>
      <c r="R456" s="125"/>
      <c r="S456" s="125"/>
      <c r="T456" s="125"/>
      <c r="U456" s="125"/>
      <c r="V456" s="125"/>
      <c r="W456" s="125"/>
      <c r="X456" s="125"/>
      <c r="Y456" s="125"/>
      <c r="Z456" s="125"/>
    </row>
    <row r="457" spans="1:26">
      <c r="A457" s="161">
        <v>450</v>
      </c>
      <c r="B457" s="148" t="str">
        <f t="shared" ref="B457:B519" si="98">CONCATENATE(INT((A457-1)/12)+1,"-й год ",A457-1-INT((A457-1)/12)*12+1,"-й мес")</f>
        <v>38-й год 6-й мес</v>
      </c>
      <c r="C457" s="149">
        <f t="shared" si="91"/>
        <v>54888</v>
      </c>
      <c r="D457" s="150">
        <f t="shared" si="94"/>
        <v>0</v>
      </c>
      <c r="E457" s="151">
        <f t="shared" ref="E457:E520" si="99">D457-F457</f>
        <v>0</v>
      </c>
      <c r="F457" s="151">
        <f t="shared" si="92"/>
        <v>0</v>
      </c>
      <c r="G457" s="152">
        <f t="shared" ref="G457:G520" si="100">G456-E457-L457-M457</f>
        <v>0</v>
      </c>
      <c r="H457" s="153">
        <f t="shared" si="95"/>
        <v>0</v>
      </c>
      <c r="I457" s="151">
        <f t="shared" si="93"/>
        <v>0</v>
      </c>
      <c r="J457" s="151">
        <f t="shared" ref="J457:J520" si="101">K456*$D$2/12/100</f>
        <v>0</v>
      </c>
      <c r="K457" s="154">
        <f t="shared" ref="K457:K520" si="102">K456-I457-L457-M457</f>
        <v>0</v>
      </c>
      <c r="L457" s="167"/>
      <c r="M457" s="171"/>
      <c r="N457" s="155">
        <f t="shared" si="96"/>
        <v>7</v>
      </c>
      <c r="O457" s="123">
        <f t="shared" ref="O457:O520" si="103">O456+N456-N457</f>
        <v>24</v>
      </c>
      <c r="P457" s="124">
        <f t="shared" si="97"/>
        <v>0</v>
      </c>
      <c r="Q457" s="125"/>
      <c r="R457" s="125"/>
      <c r="S457" s="125"/>
      <c r="T457" s="125"/>
      <c r="U457" s="125"/>
      <c r="V457" s="125"/>
      <c r="W457" s="125"/>
      <c r="X457" s="125"/>
      <c r="Y457" s="125"/>
      <c r="Z457" s="125"/>
    </row>
    <row r="458" spans="1:26">
      <c r="A458" s="161">
        <v>451</v>
      </c>
      <c r="B458" s="148" t="str">
        <f t="shared" si="98"/>
        <v>38-й год 7-й мес</v>
      </c>
      <c r="C458" s="149">
        <f t="shared" ref="C458:C521" si="104">DATE(YEAR(C457),MONTH(C457)+1,DAY(C457))</f>
        <v>54918</v>
      </c>
      <c r="D458" s="150">
        <f t="shared" si="94"/>
        <v>0</v>
      </c>
      <c r="E458" s="151">
        <f t="shared" si="99"/>
        <v>0</v>
      </c>
      <c r="F458" s="151">
        <f t="shared" ref="F458:F521" si="105">G457*$D$2*(C458-C457)/(DATE(YEAR(C458)+1,1,1)-DATE(YEAR(C458),1,1))/100</f>
        <v>0</v>
      </c>
      <c r="G458" s="152">
        <f t="shared" si="100"/>
        <v>0</v>
      </c>
      <c r="H458" s="153">
        <f t="shared" si="95"/>
        <v>0</v>
      </c>
      <c r="I458" s="151">
        <f t="shared" ref="I458:I521" si="106">IF($D$1/$D$3&lt;K457,$D$1/$D$3,K457)</f>
        <v>0</v>
      </c>
      <c r="J458" s="151">
        <f t="shared" si="101"/>
        <v>0</v>
      </c>
      <c r="K458" s="154">
        <f t="shared" si="102"/>
        <v>0</v>
      </c>
      <c r="L458" s="167"/>
      <c r="M458" s="171"/>
      <c r="N458" s="155">
        <f t="shared" si="96"/>
        <v>7</v>
      </c>
      <c r="O458" s="123">
        <f t="shared" si="103"/>
        <v>24</v>
      </c>
      <c r="P458" s="124">
        <f t="shared" si="97"/>
        <v>0</v>
      </c>
      <c r="Q458" s="125"/>
      <c r="R458" s="125"/>
      <c r="S458" s="125"/>
      <c r="T458" s="125"/>
      <c r="U458" s="125"/>
      <c r="V458" s="125"/>
      <c r="W458" s="125"/>
      <c r="X458" s="125"/>
      <c r="Y458" s="125"/>
      <c r="Z458" s="125"/>
    </row>
    <row r="459" spans="1:26">
      <c r="A459" s="161">
        <v>452</v>
      </c>
      <c r="B459" s="148" t="str">
        <f t="shared" si="98"/>
        <v>38-й год 8-й мес</v>
      </c>
      <c r="C459" s="149">
        <f t="shared" si="104"/>
        <v>54949</v>
      </c>
      <c r="D459" s="150">
        <f t="shared" si="94"/>
        <v>0</v>
      </c>
      <c r="E459" s="151">
        <f t="shared" si="99"/>
        <v>0</v>
      </c>
      <c r="F459" s="151">
        <f t="shared" si="105"/>
        <v>0</v>
      </c>
      <c r="G459" s="152">
        <f t="shared" si="100"/>
        <v>0</v>
      </c>
      <c r="H459" s="153">
        <f t="shared" si="95"/>
        <v>0</v>
      </c>
      <c r="I459" s="151">
        <f t="shared" si="106"/>
        <v>0</v>
      </c>
      <c r="J459" s="151">
        <f t="shared" si="101"/>
        <v>0</v>
      </c>
      <c r="K459" s="154">
        <f t="shared" si="102"/>
        <v>0</v>
      </c>
      <c r="L459" s="167"/>
      <c r="M459" s="171"/>
      <c r="N459" s="155">
        <f t="shared" si="96"/>
        <v>7</v>
      </c>
      <c r="O459" s="123">
        <f t="shared" si="103"/>
        <v>24</v>
      </c>
      <c r="P459" s="124">
        <f t="shared" si="97"/>
        <v>0</v>
      </c>
      <c r="Q459" s="125"/>
      <c r="R459" s="125"/>
      <c r="S459" s="125"/>
      <c r="T459" s="125"/>
      <c r="U459" s="125"/>
      <c r="V459" s="125"/>
      <c r="W459" s="125"/>
      <c r="X459" s="125"/>
      <c r="Y459" s="125"/>
      <c r="Z459" s="125"/>
    </row>
    <row r="460" spans="1:26">
      <c r="A460" s="161">
        <v>453</v>
      </c>
      <c r="B460" s="148" t="str">
        <f t="shared" si="98"/>
        <v>38-й год 9-й мес</v>
      </c>
      <c r="C460" s="149">
        <f t="shared" si="104"/>
        <v>54979</v>
      </c>
      <c r="D460" s="150">
        <f t="shared" si="94"/>
        <v>0</v>
      </c>
      <c r="E460" s="151">
        <f t="shared" si="99"/>
        <v>0</v>
      </c>
      <c r="F460" s="151">
        <f t="shared" si="105"/>
        <v>0</v>
      </c>
      <c r="G460" s="152">
        <f t="shared" si="100"/>
        <v>0</v>
      </c>
      <c r="H460" s="153">
        <f t="shared" si="95"/>
        <v>0</v>
      </c>
      <c r="I460" s="151">
        <f t="shared" si="106"/>
        <v>0</v>
      </c>
      <c r="J460" s="151">
        <f t="shared" si="101"/>
        <v>0</v>
      </c>
      <c r="K460" s="154">
        <f t="shared" si="102"/>
        <v>0</v>
      </c>
      <c r="L460" s="167"/>
      <c r="M460" s="171"/>
      <c r="N460" s="155">
        <f t="shared" si="96"/>
        <v>7</v>
      </c>
      <c r="O460" s="123">
        <f t="shared" si="103"/>
        <v>24</v>
      </c>
      <c r="P460" s="124">
        <f t="shared" si="97"/>
        <v>0</v>
      </c>
      <c r="Q460" s="125"/>
      <c r="R460" s="125"/>
      <c r="S460" s="125"/>
      <c r="T460" s="125"/>
      <c r="U460" s="125"/>
      <c r="V460" s="125"/>
      <c r="W460" s="125"/>
      <c r="X460" s="125"/>
      <c r="Y460" s="125"/>
      <c r="Z460" s="125"/>
    </row>
    <row r="461" spans="1:26">
      <c r="A461" s="161">
        <v>454</v>
      </c>
      <c r="B461" s="148" t="str">
        <f t="shared" si="98"/>
        <v>38-й год 10-й мес</v>
      </c>
      <c r="C461" s="149">
        <f t="shared" si="104"/>
        <v>55010</v>
      </c>
      <c r="D461" s="150">
        <f t="shared" si="94"/>
        <v>0</v>
      </c>
      <c r="E461" s="151">
        <f t="shared" si="99"/>
        <v>0</v>
      </c>
      <c r="F461" s="151">
        <f t="shared" si="105"/>
        <v>0</v>
      </c>
      <c r="G461" s="152">
        <f t="shared" si="100"/>
        <v>0</v>
      </c>
      <c r="H461" s="153">
        <f t="shared" si="95"/>
        <v>0</v>
      </c>
      <c r="I461" s="151">
        <f t="shared" si="106"/>
        <v>0</v>
      </c>
      <c r="J461" s="151">
        <f t="shared" si="101"/>
        <v>0</v>
      </c>
      <c r="K461" s="154">
        <f t="shared" si="102"/>
        <v>0</v>
      </c>
      <c r="L461" s="167"/>
      <c r="M461" s="171"/>
      <c r="N461" s="155">
        <f t="shared" si="96"/>
        <v>7</v>
      </c>
      <c r="O461" s="123">
        <f t="shared" si="103"/>
        <v>24</v>
      </c>
      <c r="P461" s="124">
        <f t="shared" si="97"/>
        <v>0</v>
      </c>
      <c r="Q461" s="125"/>
      <c r="R461" s="125"/>
      <c r="S461" s="125"/>
      <c r="T461" s="125"/>
      <c r="U461" s="125"/>
      <c r="V461" s="125"/>
      <c r="W461" s="125"/>
      <c r="X461" s="125"/>
      <c r="Y461" s="125"/>
      <c r="Z461" s="125"/>
    </row>
    <row r="462" spans="1:26">
      <c r="A462" s="161">
        <v>455</v>
      </c>
      <c r="B462" s="148" t="str">
        <f t="shared" si="98"/>
        <v>38-й год 11-й мес</v>
      </c>
      <c r="C462" s="149">
        <f t="shared" si="104"/>
        <v>55041</v>
      </c>
      <c r="D462" s="150">
        <f t="shared" si="94"/>
        <v>0</v>
      </c>
      <c r="E462" s="151">
        <f t="shared" si="99"/>
        <v>0</v>
      </c>
      <c r="F462" s="151">
        <f t="shared" si="105"/>
        <v>0</v>
      </c>
      <c r="G462" s="152">
        <f t="shared" si="100"/>
        <v>0</v>
      </c>
      <c r="H462" s="153">
        <f t="shared" si="95"/>
        <v>0</v>
      </c>
      <c r="I462" s="151">
        <f t="shared" si="106"/>
        <v>0</v>
      </c>
      <c r="J462" s="151">
        <f t="shared" si="101"/>
        <v>0</v>
      </c>
      <c r="K462" s="154">
        <f t="shared" si="102"/>
        <v>0</v>
      </c>
      <c r="L462" s="167"/>
      <c r="M462" s="171"/>
      <c r="N462" s="155">
        <f t="shared" si="96"/>
        <v>7</v>
      </c>
      <c r="O462" s="123">
        <f t="shared" si="103"/>
        <v>24</v>
      </c>
      <c r="P462" s="124">
        <f t="shared" si="97"/>
        <v>0</v>
      </c>
      <c r="Q462" s="125"/>
      <c r="R462" s="125"/>
      <c r="S462" s="125"/>
      <c r="T462" s="125"/>
      <c r="U462" s="125"/>
      <c r="V462" s="125"/>
      <c r="W462" s="125"/>
      <c r="X462" s="125"/>
      <c r="Y462" s="125"/>
      <c r="Z462" s="125"/>
    </row>
    <row r="463" spans="1:26">
      <c r="A463" s="162">
        <v>456</v>
      </c>
      <c r="B463" s="148" t="str">
        <f t="shared" si="98"/>
        <v>38-й год 12-й мес</v>
      </c>
      <c r="C463" s="149">
        <f t="shared" si="104"/>
        <v>55071</v>
      </c>
      <c r="D463" s="150">
        <f t="shared" si="94"/>
        <v>0</v>
      </c>
      <c r="E463" s="163">
        <f t="shared" si="99"/>
        <v>0</v>
      </c>
      <c r="F463" s="151">
        <f t="shared" si="105"/>
        <v>0</v>
      </c>
      <c r="G463" s="164">
        <f t="shared" si="100"/>
        <v>0</v>
      </c>
      <c r="H463" s="165">
        <f t="shared" si="95"/>
        <v>0</v>
      </c>
      <c r="I463" s="163">
        <f t="shared" si="106"/>
        <v>0</v>
      </c>
      <c r="J463" s="163">
        <f t="shared" si="101"/>
        <v>0</v>
      </c>
      <c r="K463" s="166">
        <f t="shared" si="102"/>
        <v>0</v>
      </c>
      <c r="L463" s="170"/>
      <c r="M463" s="172"/>
      <c r="N463" s="155">
        <f t="shared" si="96"/>
        <v>7</v>
      </c>
      <c r="O463" s="123">
        <f t="shared" si="103"/>
        <v>24</v>
      </c>
      <c r="P463" s="124">
        <f t="shared" si="97"/>
        <v>0</v>
      </c>
      <c r="Q463" s="125"/>
      <c r="R463" s="125"/>
      <c r="S463" s="125"/>
      <c r="T463" s="125"/>
      <c r="U463" s="125"/>
      <c r="V463" s="125"/>
      <c r="W463" s="125"/>
      <c r="X463" s="125"/>
      <c r="Y463" s="125"/>
      <c r="Z463" s="125"/>
    </row>
    <row r="464" spans="1:26">
      <c r="A464" s="147">
        <v>457</v>
      </c>
      <c r="B464" s="148" t="str">
        <f t="shared" si="98"/>
        <v>39-й год 1-й мес</v>
      </c>
      <c r="C464" s="149">
        <f t="shared" si="104"/>
        <v>55102</v>
      </c>
      <c r="D464" s="150">
        <f t="shared" si="94"/>
        <v>0</v>
      </c>
      <c r="E464" s="151">
        <f t="shared" si="99"/>
        <v>0</v>
      </c>
      <c r="F464" s="151">
        <f t="shared" si="105"/>
        <v>0</v>
      </c>
      <c r="G464" s="152">
        <f t="shared" si="100"/>
        <v>0</v>
      </c>
      <c r="H464" s="153">
        <f t="shared" si="95"/>
        <v>0</v>
      </c>
      <c r="I464" s="151">
        <f t="shared" si="106"/>
        <v>0</v>
      </c>
      <c r="J464" s="151">
        <f t="shared" si="101"/>
        <v>0</v>
      </c>
      <c r="K464" s="154">
        <f t="shared" si="102"/>
        <v>0</v>
      </c>
      <c r="L464" s="167"/>
      <c r="M464" s="171"/>
      <c r="N464" s="155">
        <f t="shared" si="96"/>
        <v>7</v>
      </c>
      <c r="O464" s="123">
        <f t="shared" si="103"/>
        <v>24</v>
      </c>
      <c r="P464" s="124">
        <f t="shared" si="97"/>
        <v>0</v>
      </c>
      <c r="Q464" s="125"/>
      <c r="R464" s="125"/>
      <c r="S464" s="125"/>
      <c r="T464" s="125"/>
      <c r="U464" s="125"/>
      <c r="V464" s="125"/>
      <c r="W464" s="125"/>
      <c r="X464" s="125"/>
      <c r="Y464" s="125"/>
      <c r="Z464" s="125"/>
    </row>
    <row r="465" spans="1:26">
      <c r="A465" s="147">
        <v>458</v>
      </c>
      <c r="B465" s="148" t="str">
        <f t="shared" si="98"/>
        <v>39-й год 2-й мес</v>
      </c>
      <c r="C465" s="149">
        <f t="shared" si="104"/>
        <v>55132</v>
      </c>
      <c r="D465" s="150">
        <f t="shared" si="94"/>
        <v>0</v>
      </c>
      <c r="E465" s="151">
        <f t="shared" si="99"/>
        <v>0</v>
      </c>
      <c r="F465" s="151">
        <f t="shared" si="105"/>
        <v>0</v>
      </c>
      <c r="G465" s="152">
        <f t="shared" si="100"/>
        <v>0</v>
      </c>
      <c r="H465" s="153">
        <f t="shared" si="95"/>
        <v>0</v>
      </c>
      <c r="I465" s="151">
        <f t="shared" si="106"/>
        <v>0</v>
      </c>
      <c r="J465" s="151">
        <f t="shared" si="101"/>
        <v>0</v>
      </c>
      <c r="K465" s="154">
        <f t="shared" si="102"/>
        <v>0</v>
      </c>
      <c r="L465" s="167"/>
      <c r="M465" s="171"/>
      <c r="N465" s="155">
        <f t="shared" si="96"/>
        <v>7</v>
      </c>
      <c r="O465" s="123">
        <f t="shared" si="103"/>
        <v>24</v>
      </c>
      <c r="P465" s="124">
        <f t="shared" si="97"/>
        <v>0</v>
      </c>
      <c r="Q465" s="125"/>
      <c r="R465" s="125"/>
      <c r="S465" s="125"/>
      <c r="T465" s="125"/>
      <c r="U465" s="125"/>
      <c r="V465" s="125"/>
      <c r="W465" s="125"/>
      <c r="X465" s="125"/>
      <c r="Y465" s="125"/>
      <c r="Z465" s="125"/>
    </row>
    <row r="466" spans="1:26">
      <c r="A466" s="147">
        <v>459</v>
      </c>
      <c r="B466" s="148" t="str">
        <f t="shared" si="98"/>
        <v>39-й год 3-й мес</v>
      </c>
      <c r="C466" s="149">
        <f t="shared" si="104"/>
        <v>55163</v>
      </c>
      <c r="D466" s="150">
        <f t="shared" si="94"/>
        <v>0</v>
      </c>
      <c r="E466" s="151">
        <f t="shared" si="99"/>
        <v>0</v>
      </c>
      <c r="F466" s="151">
        <f t="shared" si="105"/>
        <v>0</v>
      </c>
      <c r="G466" s="152">
        <f t="shared" si="100"/>
        <v>0</v>
      </c>
      <c r="H466" s="153">
        <f t="shared" si="95"/>
        <v>0</v>
      </c>
      <c r="I466" s="151">
        <f t="shared" si="106"/>
        <v>0</v>
      </c>
      <c r="J466" s="151">
        <f t="shared" si="101"/>
        <v>0</v>
      </c>
      <c r="K466" s="154">
        <f t="shared" si="102"/>
        <v>0</v>
      </c>
      <c r="L466" s="167"/>
      <c r="M466" s="171"/>
      <c r="N466" s="155">
        <f t="shared" si="96"/>
        <v>7</v>
      </c>
      <c r="O466" s="123">
        <f t="shared" si="103"/>
        <v>24</v>
      </c>
      <c r="P466" s="124">
        <f t="shared" si="97"/>
        <v>0</v>
      </c>
      <c r="Q466" s="125"/>
      <c r="R466" s="125"/>
      <c r="S466" s="125"/>
      <c r="T466" s="125"/>
      <c r="U466" s="125"/>
      <c r="V466" s="125"/>
      <c r="W466" s="125"/>
      <c r="X466" s="125"/>
      <c r="Y466" s="125"/>
      <c r="Z466" s="125"/>
    </row>
    <row r="467" spans="1:26">
      <c r="A467" s="147">
        <v>460</v>
      </c>
      <c r="B467" s="148" t="str">
        <f t="shared" si="98"/>
        <v>39-й год 4-й мес</v>
      </c>
      <c r="C467" s="149">
        <f t="shared" si="104"/>
        <v>55194</v>
      </c>
      <c r="D467" s="150">
        <f t="shared" si="94"/>
        <v>0</v>
      </c>
      <c r="E467" s="151">
        <f t="shared" si="99"/>
        <v>0</v>
      </c>
      <c r="F467" s="151">
        <f t="shared" si="105"/>
        <v>0</v>
      </c>
      <c r="G467" s="152">
        <f t="shared" si="100"/>
        <v>0</v>
      </c>
      <c r="H467" s="153">
        <f t="shared" si="95"/>
        <v>0</v>
      </c>
      <c r="I467" s="151">
        <f t="shared" si="106"/>
        <v>0</v>
      </c>
      <c r="J467" s="151">
        <f t="shared" si="101"/>
        <v>0</v>
      </c>
      <c r="K467" s="154">
        <f t="shared" si="102"/>
        <v>0</v>
      </c>
      <c r="L467" s="167"/>
      <c r="M467" s="171"/>
      <c r="N467" s="155">
        <f t="shared" si="96"/>
        <v>7</v>
      </c>
      <c r="O467" s="123">
        <f t="shared" si="103"/>
        <v>24</v>
      </c>
      <c r="P467" s="124">
        <f t="shared" si="97"/>
        <v>0</v>
      </c>
      <c r="Q467" s="125"/>
      <c r="R467" s="125"/>
      <c r="S467" s="125"/>
      <c r="T467" s="125"/>
      <c r="U467" s="125"/>
      <c r="V467" s="125"/>
      <c r="W467" s="125"/>
      <c r="X467" s="125"/>
      <c r="Y467" s="125"/>
      <c r="Z467" s="125"/>
    </row>
    <row r="468" spans="1:26">
      <c r="A468" s="147">
        <v>461</v>
      </c>
      <c r="B468" s="148" t="str">
        <f t="shared" si="98"/>
        <v>39-й год 5-й мес</v>
      </c>
      <c r="C468" s="149">
        <f t="shared" si="104"/>
        <v>55222</v>
      </c>
      <c r="D468" s="150">
        <f t="shared" si="94"/>
        <v>0</v>
      </c>
      <c r="E468" s="151">
        <f t="shared" si="99"/>
        <v>0</v>
      </c>
      <c r="F468" s="151">
        <f t="shared" si="105"/>
        <v>0</v>
      </c>
      <c r="G468" s="152">
        <f t="shared" si="100"/>
        <v>0</v>
      </c>
      <c r="H468" s="153">
        <f t="shared" si="95"/>
        <v>0</v>
      </c>
      <c r="I468" s="151">
        <f t="shared" si="106"/>
        <v>0</v>
      </c>
      <c r="J468" s="151">
        <f t="shared" si="101"/>
        <v>0</v>
      </c>
      <c r="K468" s="154">
        <f t="shared" si="102"/>
        <v>0</v>
      </c>
      <c r="L468" s="167"/>
      <c r="M468" s="171"/>
      <c r="N468" s="155">
        <f t="shared" si="96"/>
        <v>7</v>
      </c>
      <c r="O468" s="123">
        <f t="shared" si="103"/>
        <v>24</v>
      </c>
      <c r="P468" s="124">
        <f t="shared" si="97"/>
        <v>0</v>
      </c>
      <c r="Q468" s="125"/>
      <c r="R468" s="125"/>
      <c r="S468" s="125"/>
      <c r="T468" s="125"/>
      <c r="U468" s="125"/>
      <c r="V468" s="125"/>
      <c r="W468" s="125"/>
      <c r="X468" s="125"/>
      <c r="Y468" s="125"/>
      <c r="Z468" s="125"/>
    </row>
    <row r="469" spans="1:26">
      <c r="A469" s="147">
        <v>462</v>
      </c>
      <c r="B469" s="148" t="str">
        <f t="shared" si="98"/>
        <v>39-й год 6-й мес</v>
      </c>
      <c r="C469" s="149">
        <f t="shared" si="104"/>
        <v>55253</v>
      </c>
      <c r="D469" s="150">
        <f t="shared" si="94"/>
        <v>0</v>
      </c>
      <c r="E469" s="151">
        <f t="shared" si="99"/>
        <v>0</v>
      </c>
      <c r="F469" s="151">
        <f t="shared" si="105"/>
        <v>0</v>
      </c>
      <c r="G469" s="152">
        <f t="shared" si="100"/>
        <v>0</v>
      </c>
      <c r="H469" s="153">
        <f t="shared" si="95"/>
        <v>0</v>
      </c>
      <c r="I469" s="151">
        <f t="shared" si="106"/>
        <v>0</v>
      </c>
      <c r="J469" s="151">
        <f t="shared" si="101"/>
        <v>0</v>
      </c>
      <c r="K469" s="154">
        <f t="shared" si="102"/>
        <v>0</v>
      </c>
      <c r="L469" s="167"/>
      <c r="M469" s="171"/>
      <c r="N469" s="155">
        <f t="shared" si="96"/>
        <v>7</v>
      </c>
      <c r="O469" s="123">
        <f t="shared" si="103"/>
        <v>24</v>
      </c>
      <c r="P469" s="124">
        <f t="shared" si="97"/>
        <v>0</v>
      </c>
      <c r="Q469" s="125"/>
      <c r="R469" s="125"/>
      <c r="S469" s="125"/>
      <c r="T469" s="125"/>
      <c r="U469" s="125"/>
      <c r="V469" s="125"/>
      <c r="W469" s="125"/>
      <c r="X469" s="125"/>
      <c r="Y469" s="125"/>
      <c r="Z469" s="125"/>
    </row>
    <row r="470" spans="1:26">
      <c r="A470" s="147">
        <v>463</v>
      </c>
      <c r="B470" s="148" t="str">
        <f t="shared" si="98"/>
        <v>39-й год 7-й мес</v>
      </c>
      <c r="C470" s="149">
        <f t="shared" si="104"/>
        <v>55283</v>
      </c>
      <c r="D470" s="150">
        <f t="shared" si="94"/>
        <v>0</v>
      </c>
      <c r="E470" s="151">
        <f t="shared" si="99"/>
        <v>0</v>
      </c>
      <c r="F470" s="151">
        <f t="shared" si="105"/>
        <v>0</v>
      </c>
      <c r="G470" s="152">
        <f t="shared" si="100"/>
        <v>0</v>
      </c>
      <c r="H470" s="153">
        <f t="shared" si="95"/>
        <v>0</v>
      </c>
      <c r="I470" s="151">
        <f t="shared" si="106"/>
        <v>0</v>
      </c>
      <c r="J470" s="151">
        <f t="shared" si="101"/>
        <v>0</v>
      </c>
      <c r="K470" s="154">
        <f t="shared" si="102"/>
        <v>0</v>
      </c>
      <c r="L470" s="167"/>
      <c r="M470" s="171"/>
      <c r="N470" s="155">
        <f t="shared" si="96"/>
        <v>7</v>
      </c>
      <c r="O470" s="123">
        <f t="shared" si="103"/>
        <v>24</v>
      </c>
      <c r="P470" s="124">
        <f t="shared" si="97"/>
        <v>0</v>
      </c>
      <c r="Q470" s="125"/>
      <c r="R470" s="125"/>
      <c r="S470" s="125"/>
      <c r="T470" s="125"/>
      <c r="U470" s="125"/>
      <c r="V470" s="125"/>
      <c r="W470" s="125"/>
      <c r="X470" s="125"/>
      <c r="Y470" s="125"/>
      <c r="Z470" s="125"/>
    </row>
    <row r="471" spans="1:26">
      <c r="A471" s="147">
        <v>464</v>
      </c>
      <c r="B471" s="148" t="str">
        <f t="shared" si="98"/>
        <v>39-й год 8-й мес</v>
      </c>
      <c r="C471" s="149">
        <f t="shared" si="104"/>
        <v>55314</v>
      </c>
      <c r="D471" s="150">
        <f t="shared" si="94"/>
        <v>0</v>
      </c>
      <c r="E471" s="151">
        <f t="shared" si="99"/>
        <v>0</v>
      </c>
      <c r="F471" s="151">
        <f t="shared" si="105"/>
        <v>0</v>
      </c>
      <c r="G471" s="152">
        <f t="shared" si="100"/>
        <v>0</v>
      </c>
      <c r="H471" s="153">
        <f t="shared" si="95"/>
        <v>0</v>
      </c>
      <c r="I471" s="151">
        <f t="shared" si="106"/>
        <v>0</v>
      </c>
      <c r="J471" s="151">
        <f t="shared" si="101"/>
        <v>0</v>
      </c>
      <c r="K471" s="154">
        <f t="shared" si="102"/>
        <v>0</v>
      </c>
      <c r="L471" s="167"/>
      <c r="M471" s="171"/>
      <c r="N471" s="155">
        <f t="shared" si="96"/>
        <v>7</v>
      </c>
      <c r="O471" s="123">
        <f t="shared" si="103"/>
        <v>24</v>
      </c>
      <c r="P471" s="124">
        <f t="shared" si="97"/>
        <v>0</v>
      </c>
      <c r="Q471" s="125"/>
      <c r="R471" s="125"/>
      <c r="S471" s="125"/>
      <c r="T471" s="125"/>
      <c r="U471" s="125"/>
      <c r="V471" s="125"/>
      <c r="W471" s="125"/>
      <c r="X471" s="125"/>
      <c r="Y471" s="125"/>
      <c r="Z471" s="125"/>
    </row>
    <row r="472" spans="1:26">
      <c r="A472" s="147">
        <v>465</v>
      </c>
      <c r="B472" s="148" t="str">
        <f t="shared" si="98"/>
        <v>39-й год 9-й мес</v>
      </c>
      <c r="C472" s="149">
        <f t="shared" si="104"/>
        <v>55344</v>
      </c>
      <c r="D472" s="150">
        <f t="shared" si="94"/>
        <v>0</v>
      </c>
      <c r="E472" s="151">
        <f t="shared" si="99"/>
        <v>0</v>
      </c>
      <c r="F472" s="151">
        <f t="shared" si="105"/>
        <v>0</v>
      </c>
      <c r="G472" s="152">
        <f t="shared" si="100"/>
        <v>0</v>
      </c>
      <c r="H472" s="153">
        <f t="shared" si="95"/>
        <v>0</v>
      </c>
      <c r="I472" s="151">
        <f t="shared" si="106"/>
        <v>0</v>
      </c>
      <c r="J472" s="151">
        <f t="shared" si="101"/>
        <v>0</v>
      </c>
      <c r="K472" s="154">
        <f t="shared" si="102"/>
        <v>0</v>
      </c>
      <c r="L472" s="167"/>
      <c r="M472" s="171"/>
      <c r="N472" s="155">
        <f t="shared" si="96"/>
        <v>7</v>
      </c>
      <c r="O472" s="123">
        <f t="shared" si="103"/>
        <v>24</v>
      </c>
      <c r="P472" s="124">
        <f t="shared" si="97"/>
        <v>0</v>
      </c>
      <c r="Q472" s="125"/>
      <c r="R472" s="125"/>
      <c r="S472" s="125"/>
      <c r="T472" s="125"/>
      <c r="U472" s="125"/>
      <c r="V472" s="125"/>
      <c r="W472" s="125"/>
      <c r="X472" s="125"/>
      <c r="Y472" s="125"/>
      <c r="Z472" s="125"/>
    </row>
    <row r="473" spans="1:26">
      <c r="A473" s="147">
        <v>466</v>
      </c>
      <c r="B473" s="148" t="str">
        <f t="shared" si="98"/>
        <v>39-й год 10-й мес</v>
      </c>
      <c r="C473" s="149">
        <f t="shared" si="104"/>
        <v>55375</v>
      </c>
      <c r="D473" s="150">
        <f t="shared" si="94"/>
        <v>0</v>
      </c>
      <c r="E473" s="151">
        <f t="shared" si="99"/>
        <v>0</v>
      </c>
      <c r="F473" s="151">
        <f t="shared" si="105"/>
        <v>0</v>
      </c>
      <c r="G473" s="152">
        <f t="shared" si="100"/>
        <v>0</v>
      </c>
      <c r="H473" s="153">
        <f t="shared" si="95"/>
        <v>0</v>
      </c>
      <c r="I473" s="151">
        <f t="shared" si="106"/>
        <v>0</v>
      </c>
      <c r="J473" s="151">
        <f t="shared" si="101"/>
        <v>0</v>
      </c>
      <c r="K473" s="154">
        <f t="shared" si="102"/>
        <v>0</v>
      </c>
      <c r="L473" s="167"/>
      <c r="M473" s="171"/>
      <c r="N473" s="155">
        <f t="shared" si="96"/>
        <v>7</v>
      </c>
      <c r="O473" s="123">
        <f t="shared" si="103"/>
        <v>24</v>
      </c>
      <c r="P473" s="124">
        <f t="shared" si="97"/>
        <v>0</v>
      </c>
      <c r="Q473" s="125"/>
      <c r="R473" s="125"/>
      <c r="S473" s="125"/>
      <c r="T473" s="125"/>
      <c r="U473" s="125"/>
      <c r="V473" s="125"/>
      <c r="W473" s="125"/>
      <c r="X473" s="125"/>
      <c r="Y473" s="125"/>
      <c r="Z473" s="125"/>
    </row>
    <row r="474" spans="1:26">
      <c r="A474" s="147">
        <v>467</v>
      </c>
      <c r="B474" s="148" t="str">
        <f t="shared" si="98"/>
        <v>39-й год 11-й мес</v>
      </c>
      <c r="C474" s="149">
        <f t="shared" si="104"/>
        <v>55406</v>
      </c>
      <c r="D474" s="150">
        <f t="shared" si="94"/>
        <v>0</v>
      </c>
      <c r="E474" s="151">
        <f t="shared" si="99"/>
        <v>0</v>
      </c>
      <c r="F474" s="151">
        <f t="shared" si="105"/>
        <v>0</v>
      </c>
      <c r="G474" s="152">
        <f t="shared" si="100"/>
        <v>0</v>
      </c>
      <c r="H474" s="153">
        <f t="shared" si="95"/>
        <v>0</v>
      </c>
      <c r="I474" s="151">
        <f t="shared" si="106"/>
        <v>0</v>
      </c>
      <c r="J474" s="151">
        <f t="shared" si="101"/>
        <v>0</v>
      </c>
      <c r="K474" s="154">
        <f t="shared" si="102"/>
        <v>0</v>
      </c>
      <c r="L474" s="167"/>
      <c r="M474" s="171"/>
      <c r="N474" s="155">
        <f t="shared" si="96"/>
        <v>7</v>
      </c>
      <c r="O474" s="123">
        <f t="shared" si="103"/>
        <v>24</v>
      </c>
      <c r="P474" s="124">
        <f t="shared" si="97"/>
        <v>0</v>
      </c>
      <c r="Q474" s="125"/>
      <c r="R474" s="125"/>
      <c r="S474" s="125"/>
      <c r="T474" s="125"/>
      <c r="U474" s="125"/>
      <c r="V474" s="125"/>
      <c r="W474" s="125"/>
      <c r="X474" s="125"/>
      <c r="Y474" s="125"/>
      <c r="Z474" s="125"/>
    </row>
    <row r="475" spans="1:26">
      <c r="A475" s="147">
        <v>468</v>
      </c>
      <c r="B475" s="148" t="str">
        <f t="shared" si="98"/>
        <v>39-й год 12-й мес</v>
      </c>
      <c r="C475" s="149">
        <f t="shared" si="104"/>
        <v>55436</v>
      </c>
      <c r="D475" s="150">
        <f t="shared" si="94"/>
        <v>0</v>
      </c>
      <c r="E475" s="151">
        <f t="shared" si="99"/>
        <v>0</v>
      </c>
      <c r="F475" s="151">
        <f t="shared" si="105"/>
        <v>0</v>
      </c>
      <c r="G475" s="152">
        <f t="shared" si="100"/>
        <v>0</v>
      </c>
      <c r="H475" s="153">
        <f t="shared" si="95"/>
        <v>0</v>
      </c>
      <c r="I475" s="151">
        <f t="shared" si="106"/>
        <v>0</v>
      </c>
      <c r="J475" s="151">
        <f t="shared" si="101"/>
        <v>0</v>
      </c>
      <c r="K475" s="154">
        <f t="shared" si="102"/>
        <v>0</v>
      </c>
      <c r="L475" s="167"/>
      <c r="M475" s="171"/>
      <c r="N475" s="155">
        <f t="shared" si="96"/>
        <v>7</v>
      </c>
      <c r="O475" s="123">
        <f t="shared" si="103"/>
        <v>24</v>
      </c>
      <c r="P475" s="124">
        <f t="shared" si="97"/>
        <v>0</v>
      </c>
      <c r="Q475" s="125"/>
      <c r="R475" s="125"/>
      <c r="S475" s="125"/>
      <c r="T475" s="125"/>
      <c r="U475" s="125"/>
      <c r="V475" s="125"/>
      <c r="W475" s="125"/>
      <c r="X475" s="125"/>
      <c r="Y475" s="125"/>
      <c r="Z475" s="125"/>
    </row>
    <row r="476" spans="1:26">
      <c r="A476" s="156">
        <v>469</v>
      </c>
      <c r="B476" s="148" t="str">
        <f t="shared" si="98"/>
        <v>40-й год 1-й мес</v>
      </c>
      <c r="C476" s="149">
        <f t="shared" si="104"/>
        <v>55467</v>
      </c>
      <c r="D476" s="150">
        <f t="shared" si="94"/>
        <v>0</v>
      </c>
      <c r="E476" s="157">
        <f t="shared" si="99"/>
        <v>0</v>
      </c>
      <c r="F476" s="151">
        <f t="shared" si="105"/>
        <v>0</v>
      </c>
      <c r="G476" s="158">
        <f t="shared" si="100"/>
        <v>0</v>
      </c>
      <c r="H476" s="159">
        <f t="shared" si="95"/>
        <v>0</v>
      </c>
      <c r="I476" s="157">
        <f t="shared" si="106"/>
        <v>0</v>
      </c>
      <c r="J476" s="157">
        <f t="shared" si="101"/>
        <v>0</v>
      </c>
      <c r="K476" s="160">
        <f t="shared" si="102"/>
        <v>0</v>
      </c>
      <c r="L476" s="169"/>
      <c r="M476" s="168"/>
      <c r="N476" s="155">
        <f t="shared" si="96"/>
        <v>7</v>
      </c>
      <c r="O476" s="123">
        <f t="shared" si="103"/>
        <v>24</v>
      </c>
      <c r="P476" s="124">
        <f t="shared" si="97"/>
        <v>0</v>
      </c>
      <c r="Q476" s="125"/>
      <c r="R476" s="125"/>
      <c r="S476" s="125"/>
      <c r="T476" s="125"/>
      <c r="U476" s="125"/>
      <c r="V476" s="125"/>
      <c r="W476" s="125"/>
      <c r="X476" s="125"/>
      <c r="Y476" s="125"/>
      <c r="Z476" s="125"/>
    </row>
    <row r="477" spans="1:26">
      <c r="A477" s="161">
        <v>470</v>
      </c>
      <c r="B477" s="148" t="str">
        <f t="shared" si="98"/>
        <v>40-й год 2-й мес</v>
      </c>
      <c r="C477" s="149">
        <f t="shared" si="104"/>
        <v>55497</v>
      </c>
      <c r="D477" s="150">
        <f t="shared" si="94"/>
        <v>0</v>
      </c>
      <c r="E477" s="151">
        <f t="shared" si="99"/>
        <v>0</v>
      </c>
      <c r="F477" s="151">
        <f t="shared" si="105"/>
        <v>0</v>
      </c>
      <c r="G477" s="152">
        <f t="shared" si="100"/>
        <v>0</v>
      </c>
      <c r="H477" s="153">
        <f t="shared" si="95"/>
        <v>0</v>
      </c>
      <c r="I477" s="151">
        <f t="shared" si="106"/>
        <v>0</v>
      </c>
      <c r="J477" s="151">
        <f t="shared" si="101"/>
        <v>0</v>
      </c>
      <c r="K477" s="154">
        <f t="shared" si="102"/>
        <v>0</v>
      </c>
      <c r="L477" s="167"/>
      <c r="M477" s="171"/>
      <c r="N477" s="155">
        <f t="shared" si="96"/>
        <v>7</v>
      </c>
      <c r="O477" s="123">
        <f t="shared" si="103"/>
        <v>24</v>
      </c>
      <c r="P477" s="124">
        <f t="shared" si="97"/>
        <v>0</v>
      </c>
      <c r="Q477" s="125"/>
      <c r="R477" s="125"/>
      <c r="S477" s="125"/>
      <c r="T477" s="125"/>
      <c r="U477" s="125"/>
      <c r="V477" s="125"/>
      <c r="W477" s="125"/>
      <c r="X477" s="125"/>
      <c r="Y477" s="125"/>
      <c r="Z477" s="125"/>
    </row>
    <row r="478" spans="1:26">
      <c r="A478" s="161">
        <v>471</v>
      </c>
      <c r="B478" s="148" t="str">
        <f t="shared" si="98"/>
        <v>40-й год 3-й мес</v>
      </c>
      <c r="C478" s="149">
        <f t="shared" si="104"/>
        <v>55528</v>
      </c>
      <c r="D478" s="150">
        <f t="shared" si="94"/>
        <v>0</v>
      </c>
      <c r="E478" s="151">
        <f t="shared" si="99"/>
        <v>0</v>
      </c>
      <c r="F478" s="151">
        <f t="shared" si="105"/>
        <v>0</v>
      </c>
      <c r="G478" s="152">
        <f t="shared" si="100"/>
        <v>0</v>
      </c>
      <c r="H478" s="153">
        <f t="shared" si="95"/>
        <v>0</v>
      </c>
      <c r="I478" s="151">
        <f t="shared" si="106"/>
        <v>0</v>
      </c>
      <c r="J478" s="151">
        <f t="shared" si="101"/>
        <v>0</v>
      </c>
      <c r="K478" s="154">
        <f t="shared" si="102"/>
        <v>0</v>
      </c>
      <c r="L478" s="167"/>
      <c r="M478" s="171"/>
      <c r="N478" s="155">
        <f t="shared" si="96"/>
        <v>7</v>
      </c>
      <c r="O478" s="123">
        <f t="shared" si="103"/>
        <v>24</v>
      </c>
      <c r="P478" s="124">
        <f t="shared" si="97"/>
        <v>0</v>
      </c>
      <c r="Q478" s="125"/>
      <c r="R478" s="125"/>
      <c r="S478" s="125"/>
      <c r="T478" s="125"/>
      <c r="U478" s="125"/>
      <c r="V478" s="125"/>
      <c r="W478" s="125"/>
      <c r="X478" s="125"/>
      <c r="Y478" s="125"/>
      <c r="Z478" s="125"/>
    </row>
    <row r="479" spans="1:26">
      <c r="A479" s="161">
        <v>472</v>
      </c>
      <c r="B479" s="148" t="str">
        <f t="shared" si="98"/>
        <v>40-й год 4-й мес</v>
      </c>
      <c r="C479" s="149">
        <f t="shared" si="104"/>
        <v>55559</v>
      </c>
      <c r="D479" s="150">
        <f t="shared" si="94"/>
        <v>0</v>
      </c>
      <c r="E479" s="151">
        <f t="shared" si="99"/>
        <v>0</v>
      </c>
      <c r="F479" s="151">
        <f t="shared" si="105"/>
        <v>0</v>
      </c>
      <c r="G479" s="152">
        <f t="shared" si="100"/>
        <v>0</v>
      </c>
      <c r="H479" s="153">
        <f t="shared" si="95"/>
        <v>0</v>
      </c>
      <c r="I479" s="151">
        <f t="shared" si="106"/>
        <v>0</v>
      </c>
      <c r="J479" s="151">
        <f t="shared" si="101"/>
        <v>0</v>
      </c>
      <c r="K479" s="154">
        <f t="shared" si="102"/>
        <v>0</v>
      </c>
      <c r="L479" s="167"/>
      <c r="M479" s="171"/>
      <c r="N479" s="155">
        <f t="shared" si="96"/>
        <v>7</v>
      </c>
      <c r="O479" s="123">
        <f t="shared" si="103"/>
        <v>24</v>
      </c>
      <c r="P479" s="124">
        <f t="shared" si="97"/>
        <v>0</v>
      </c>
      <c r="Q479" s="125"/>
      <c r="R479" s="125"/>
      <c r="S479" s="125"/>
      <c r="T479" s="125"/>
      <c r="U479" s="125"/>
      <c r="V479" s="125"/>
      <c r="W479" s="125"/>
      <c r="X479" s="125"/>
      <c r="Y479" s="125"/>
      <c r="Z479" s="125"/>
    </row>
    <row r="480" spans="1:26">
      <c r="A480" s="161">
        <v>473</v>
      </c>
      <c r="B480" s="148" t="str">
        <f t="shared" si="98"/>
        <v>40-й год 5-й мес</v>
      </c>
      <c r="C480" s="149">
        <f t="shared" si="104"/>
        <v>55588</v>
      </c>
      <c r="D480" s="150">
        <f t="shared" si="94"/>
        <v>0</v>
      </c>
      <c r="E480" s="151">
        <f t="shared" si="99"/>
        <v>0</v>
      </c>
      <c r="F480" s="151">
        <f t="shared" si="105"/>
        <v>0</v>
      </c>
      <c r="G480" s="152">
        <f t="shared" si="100"/>
        <v>0</v>
      </c>
      <c r="H480" s="153">
        <f t="shared" si="95"/>
        <v>0</v>
      </c>
      <c r="I480" s="151">
        <f t="shared" si="106"/>
        <v>0</v>
      </c>
      <c r="J480" s="151">
        <f t="shared" si="101"/>
        <v>0</v>
      </c>
      <c r="K480" s="154">
        <f t="shared" si="102"/>
        <v>0</v>
      </c>
      <c r="L480" s="167"/>
      <c r="M480" s="171"/>
      <c r="N480" s="155">
        <f t="shared" si="96"/>
        <v>7</v>
      </c>
      <c r="O480" s="123">
        <f t="shared" si="103"/>
        <v>24</v>
      </c>
      <c r="P480" s="124">
        <f t="shared" si="97"/>
        <v>0</v>
      </c>
      <c r="Q480" s="125"/>
      <c r="R480" s="125"/>
      <c r="S480" s="125"/>
      <c r="T480" s="125"/>
      <c r="U480" s="125"/>
      <c r="V480" s="125"/>
      <c r="W480" s="125"/>
      <c r="X480" s="125"/>
      <c r="Y480" s="125"/>
      <c r="Z480" s="125"/>
    </row>
    <row r="481" spans="1:26">
      <c r="A481" s="161">
        <v>474</v>
      </c>
      <c r="B481" s="148" t="str">
        <f t="shared" si="98"/>
        <v>40-й год 6-й мес</v>
      </c>
      <c r="C481" s="149">
        <f t="shared" si="104"/>
        <v>55619</v>
      </c>
      <c r="D481" s="150">
        <f t="shared" si="94"/>
        <v>0</v>
      </c>
      <c r="E481" s="151">
        <f t="shared" si="99"/>
        <v>0</v>
      </c>
      <c r="F481" s="151">
        <f t="shared" si="105"/>
        <v>0</v>
      </c>
      <c r="G481" s="152">
        <f t="shared" si="100"/>
        <v>0</v>
      </c>
      <c r="H481" s="153">
        <f t="shared" si="95"/>
        <v>0</v>
      </c>
      <c r="I481" s="151">
        <f t="shared" si="106"/>
        <v>0</v>
      </c>
      <c r="J481" s="151">
        <f t="shared" si="101"/>
        <v>0</v>
      </c>
      <c r="K481" s="154">
        <f t="shared" si="102"/>
        <v>0</v>
      </c>
      <c r="L481" s="167"/>
      <c r="M481" s="171"/>
      <c r="N481" s="155">
        <f t="shared" si="96"/>
        <v>7</v>
      </c>
      <c r="O481" s="123">
        <f t="shared" si="103"/>
        <v>24</v>
      </c>
      <c r="P481" s="124">
        <f t="shared" si="97"/>
        <v>0</v>
      </c>
      <c r="Q481" s="125"/>
      <c r="R481" s="125"/>
      <c r="S481" s="125"/>
      <c r="T481" s="125"/>
      <c r="U481" s="125"/>
      <c r="V481" s="125"/>
      <c r="W481" s="125"/>
      <c r="X481" s="125"/>
      <c r="Y481" s="125"/>
      <c r="Z481" s="125"/>
    </row>
    <row r="482" spans="1:26">
      <c r="A482" s="161">
        <v>475</v>
      </c>
      <c r="B482" s="148" t="str">
        <f t="shared" si="98"/>
        <v>40-й год 7-й мес</v>
      </c>
      <c r="C482" s="149">
        <f t="shared" si="104"/>
        <v>55649</v>
      </c>
      <c r="D482" s="150">
        <f t="shared" si="94"/>
        <v>0</v>
      </c>
      <c r="E482" s="151">
        <f t="shared" si="99"/>
        <v>0</v>
      </c>
      <c r="F482" s="151">
        <f t="shared" si="105"/>
        <v>0</v>
      </c>
      <c r="G482" s="152">
        <f t="shared" si="100"/>
        <v>0</v>
      </c>
      <c r="H482" s="153">
        <f t="shared" si="95"/>
        <v>0</v>
      </c>
      <c r="I482" s="151">
        <f t="shared" si="106"/>
        <v>0</v>
      </c>
      <c r="J482" s="151">
        <f t="shared" si="101"/>
        <v>0</v>
      </c>
      <c r="K482" s="154">
        <f t="shared" si="102"/>
        <v>0</v>
      </c>
      <c r="L482" s="167"/>
      <c r="M482" s="171"/>
      <c r="N482" s="155">
        <f t="shared" si="96"/>
        <v>7</v>
      </c>
      <c r="O482" s="123">
        <f t="shared" si="103"/>
        <v>24</v>
      </c>
      <c r="P482" s="124">
        <f t="shared" si="97"/>
        <v>0</v>
      </c>
      <c r="Q482" s="125"/>
      <c r="R482" s="125"/>
      <c r="S482" s="125"/>
      <c r="T482" s="125"/>
      <c r="U482" s="125"/>
      <c r="V482" s="125"/>
      <c r="W482" s="125"/>
      <c r="X482" s="125"/>
      <c r="Y482" s="125"/>
      <c r="Z482" s="125"/>
    </row>
    <row r="483" spans="1:26">
      <c r="A483" s="161">
        <v>476</v>
      </c>
      <c r="B483" s="148" t="str">
        <f t="shared" si="98"/>
        <v>40-й год 8-й мес</v>
      </c>
      <c r="C483" s="149">
        <f t="shared" si="104"/>
        <v>55680</v>
      </c>
      <c r="D483" s="150">
        <f t="shared" si="94"/>
        <v>0</v>
      </c>
      <c r="E483" s="151">
        <f t="shared" si="99"/>
        <v>0</v>
      </c>
      <c r="F483" s="151">
        <f t="shared" si="105"/>
        <v>0</v>
      </c>
      <c r="G483" s="152">
        <f t="shared" si="100"/>
        <v>0</v>
      </c>
      <c r="H483" s="153">
        <f t="shared" si="95"/>
        <v>0</v>
      </c>
      <c r="I483" s="151">
        <f t="shared" si="106"/>
        <v>0</v>
      </c>
      <c r="J483" s="151">
        <f t="shared" si="101"/>
        <v>0</v>
      </c>
      <c r="K483" s="154">
        <f t="shared" si="102"/>
        <v>0</v>
      </c>
      <c r="L483" s="167"/>
      <c r="M483" s="171"/>
      <c r="N483" s="155">
        <f t="shared" si="96"/>
        <v>7</v>
      </c>
      <c r="O483" s="123">
        <f t="shared" si="103"/>
        <v>24</v>
      </c>
      <c r="P483" s="124">
        <f t="shared" si="97"/>
        <v>0</v>
      </c>
      <c r="Q483" s="125"/>
      <c r="R483" s="125"/>
      <c r="S483" s="125"/>
      <c r="T483" s="125"/>
      <c r="U483" s="125"/>
      <c r="V483" s="125"/>
      <c r="W483" s="125"/>
      <c r="X483" s="125"/>
      <c r="Y483" s="125"/>
      <c r="Z483" s="125"/>
    </row>
    <row r="484" spans="1:26">
      <c r="A484" s="161">
        <v>477</v>
      </c>
      <c r="B484" s="148" t="str">
        <f t="shared" si="98"/>
        <v>40-й год 9-й мес</v>
      </c>
      <c r="C484" s="149">
        <f t="shared" si="104"/>
        <v>55710</v>
      </c>
      <c r="D484" s="150">
        <f t="shared" si="94"/>
        <v>0</v>
      </c>
      <c r="E484" s="151">
        <f t="shared" si="99"/>
        <v>0</v>
      </c>
      <c r="F484" s="151">
        <f t="shared" si="105"/>
        <v>0</v>
      </c>
      <c r="G484" s="152">
        <f t="shared" si="100"/>
        <v>0</v>
      </c>
      <c r="H484" s="153">
        <f t="shared" si="95"/>
        <v>0</v>
      </c>
      <c r="I484" s="151">
        <f t="shared" si="106"/>
        <v>0</v>
      </c>
      <c r="J484" s="151">
        <f t="shared" si="101"/>
        <v>0</v>
      </c>
      <c r="K484" s="154">
        <f t="shared" si="102"/>
        <v>0</v>
      </c>
      <c r="L484" s="167"/>
      <c r="M484" s="171"/>
      <c r="N484" s="155">
        <f t="shared" si="96"/>
        <v>7</v>
      </c>
      <c r="O484" s="123">
        <f t="shared" si="103"/>
        <v>24</v>
      </c>
      <c r="P484" s="124">
        <f t="shared" si="97"/>
        <v>0</v>
      </c>
      <c r="Q484" s="125"/>
      <c r="R484" s="125"/>
      <c r="S484" s="125"/>
      <c r="T484" s="125"/>
      <c r="U484" s="125"/>
      <c r="V484" s="125"/>
      <c r="W484" s="125"/>
      <c r="X484" s="125"/>
      <c r="Y484" s="125"/>
      <c r="Z484" s="125"/>
    </row>
    <row r="485" spans="1:26">
      <c r="A485" s="161">
        <v>478</v>
      </c>
      <c r="B485" s="148" t="str">
        <f t="shared" si="98"/>
        <v>40-й год 10-й мес</v>
      </c>
      <c r="C485" s="149">
        <f t="shared" si="104"/>
        <v>55741</v>
      </c>
      <c r="D485" s="150">
        <f t="shared" si="94"/>
        <v>0</v>
      </c>
      <c r="E485" s="151">
        <f t="shared" si="99"/>
        <v>0</v>
      </c>
      <c r="F485" s="151">
        <f t="shared" si="105"/>
        <v>0</v>
      </c>
      <c r="G485" s="152">
        <f t="shared" si="100"/>
        <v>0</v>
      </c>
      <c r="H485" s="153">
        <f t="shared" si="95"/>
        <v>0</v>
      </c>
      <c r="I485" s="151">
        <f t="shared" si="106"/>
        <v>0</v>
      </c>
      <c r="J485" s="151">
        <f t="shared" si="101"/>
        <v>0</v>
      </c>
      <c r="K485" s="154">
        <f t="shared" si="102"/>
        <v>0</v>
      </c>
      <c r="L485" s="167"/>
      <c r="M485" s="171"/>
      <c r="N485" s="155">
        <f t="shared" si="96"/>
        <v>7</v>
      </c>
      <c r="O485" s="123">
        <f t="shared" si="103"/>
        <v>24</v>
      </c>
      <c r="P485" s="124">
        <f t="shared" si="97"/>
        <v>0</v>
      </c>
      <c r="Q485" s="125"/>
      <c r="R485" s="125"/>
      <c r="S485" s="125"/>
      <c r="T485" s="125"/>
      <c r="U485" s="125"/>
      <c r="V485" s="125"/>
      <c r="W485" s="125"/>
      <c r="X485" s="125"/>
      <c r="Y485" s="125"/>
      <c r="Z485" s="125"/>
    </row>
    <row r="486" spans="1:26">
      <c r="A486" s="161">
        <v>479</v>
      </c>
      <c r="B486" s="148" t="str">
        <f t="shared" si="98"/>
        <v>40-й год 11-й мес</v>
      </c>
      <c r="C486" s="149">
        <f t="shared" si="104"/>
        <v>55772</v>
      </c>
      <c r="D486" s="150">
        <f t="shared" si="94"/>
        <v>0</v>
      </c>
      <c r="E486" s="151">
        <f t="shared" si="99"/>
        <v>0</v>
      </c>
      <c r="F486" s="151">
        <f t="shared" si="105"/>
        <v>0</v>
      </c>
      <c r="G486" s="152">
        <f t="shared" si="100"/>
        <v>0</v>
      </c>
      <c r="H486" s="153">
        <f t="shared" si="95"/>
        <v>0</v>
      </c>
      <c r="I486" s="151">
        <f t="shared" si="106"/>
        <v>0</v>
      </c>
      <c r="J486" s="151">
        <f t="shared" si="101"/>
        <v>0</v>
      </c>
      <c r="K486" s="154">
        <f t="shared" si="102"/>
        <v>0</v>
      </c>
      <c r="L486" s="167"/>
      <c r="M486" s="171"/>
      <c r="N486" s="155">
        <f t="shared" si="96"/>
        <v>7</v>
      </c>
      <c r="O486" s="123">
        <f t="shared" si="103"/>
        <v>24</v>
      </c>
      <c r="P486" s="124">
        <f t="shared" si="97"/>
        <v>0</v>
      </c>
      <c r="Q486" s="125"/>
      <c r="R486" s="125"/>
      <c r="S486" s="125"/>
      <c r="T486" s="125"/>
      <c r="U486" s="125"/>
      <c r="V486" s="125"/>
      <c r="W486" s="125"/>
      <c r="X486" s="125"/>
      <c r="Y486" s="125"/>
      <c r="Z486" s="125"/>
    </row>
    <row r="487" spans="1:26">
      <c r="A487" s="162">
        <v>480</v>
      </c>
      <c r="B487" s="148" t="str">
        <f t="shared" si="98"/>
        <v>40-й год 12-й мес</v>
      </c>
      <c r="C487" s="149">
        <f t="shared" si="104"/>
        <v>55802</v>
      </c>
      <c r="D487" s="150">
        <f t="shared" si="94"/>
        <v>0</v>
      </c>
      <c r="E487" s="163">
        <f t="shared" si="99"/>
        <v>0</v>
      </c>
      <c r="F487" s="151">
        <f t="shared" si="105"/>
        <v>0</v>
      </c>
      <c r="G487" s="164">
        <f t="shared" si="100"/>
        <v>0</v>
      </c>
      <c r="H487" s="165">
        <f t="shared" si="95"/>
        <v>0</v>
      </c>
      <c r="I487" s="163">
        <f t="shared" si="106"/>
        <v>0</v>
      </c>
      <c r="J487" s="163">
        <f t="shared" si="101"/>
        <v>0</v>
      </c>
      <c r="K487" s="166">
        <f t="shared" si="102"/>
        <v>0</v>
      </c>
      <c r="L487" s="170"/>
      <c r="M487" s="172"/>
      <c r="N487" s="155">
        <f t="shared" si="96"/>
        <v>7</v>
      </c>
      <c r="O487" s="123">
        <f t="shared" si="103"/>
        <v>24</v>
      </c>
      <c r="P487" s="124">
        <f t="shared" si="97"/>
        <v>0</v>
      </c>
      <c r="Q487" s="125"/>
      <c r="R487" s="125"/>
      <c r="S487" s="125"/>
      <c r="T487" s="125"/>
      <c r="U487" s="125"/>
      <c r="V487" s="125"/>
      <c r="W487" s="125"/>
      <c r="X487" s="125"/>
      <c r="Y487" s="125"/>
      <c r="Z487" s="125"/>
    </row>
    <row r="488" spans="1:26">
      <c r="A488" s="147">
        <v>481</v>
      </c>
      <c r="B488" s="148" t="str">
        <f t="shared" si="98"/>
        <v>41-й год 1-й мес</v>
      </c>
      <c r="C488" s="149">
        <f t="shared" si="104"/>
        <v>55833</v>
      </c>
      <c r="D488" s="150">
        <f t="shared" si="94"/>
        <v>0</v>
      </c>
      <c r="E488" s="151">
        <f t="shared" si="99"/>
        <v>0</v>
      </c>
      <c r="F488" s="151">
        <f t="shared" si="105"/>
        <v>0</v>
      </c>
      <c r="G488" s="152">
        <f t="shared" si="100"/>
        <v>0</v>
      </c>
      <c r="H488" s="153">
        <f t="shared" si="95"/>
        <v>0</v>
      </c>
      <c r="I488" s="151">
        <f t="shared" si="106"/>
        <v>0</v>
      </c>
      <c r="J488" s="151">
        <f t="shared" si="101"/>
        <v>0</v>
      </c>
      <c r="K488" s="154">
        <f t="shared" si="102"/>
        <v>0</v>
      </c>
      <c r="L488" s="167"/>
      <c r="M488" s="171"/>
      <c r="N488" s="155">
        <f t="shared" si="96"/>
        <v>7</v>
      </c>
      <c r="O488" s="123">
        <f t="shared" si="103"/>
        <v>24</v>
      </c>
      <c r="P488" s="124">
        <f t="shared" si="97"/>
        <v>0</v>
      </c>
      <c r="Q488" s="125"/>
      <c r="R488" s="125"/>
      <c r="S488" s="125"/>
      <c r="T488" s="125"/>
      <c r="U488" s="125"/>
      <c r="V488" s="125"/>
      <c r="W488" s="125"/>
      <c r="X488" s="125"/>
      <c r="Y488" s="125"/>
      <c r="Z488" s="125"/>
    </row>
    <row r="489" spans="1:26">
      <c r="A489" s="147">
        <v>482</v>
      </c>
      <c r="B489" s="148" t="str">
        <f t="shared" si="98"/>
        <v>41-й год 2-й мес</v>
      </c>
      <c r="C489" s="149">
        <f t="shared" si="104"/>
        <v>55863</v>
      </c>
      <c r="D489" s="150">
        <f t="shared" si="94"/>
        <v>0</v>
      </c>
      <c r="E489" s="151">
        <f t="shared" si="99"/>
        <v>0</v>
      </c>
      <c r="F489" s="151">
        <f t="shared" si="105"/>
        <v>0</v>
      </c>
      <c r="G489" s="152">
        <f t="shared" si="100"/>
        <v>0</v>
      </c>
      <c r="H489" s="153">
        <f t="shared" si="95"/>
        <v>0</v>
      </c>
      <c r="I489" s="151">
        <f t="shared" si="106"/>
        <v>0</v>
      </c>
      <c r="J489" s="151">
        <f t="shared" si="101"/>
        <v>0</v>
      </c>
      <c r="K489" s="154">
        <f t="shared" si="102"/>
        <v>0</v>
      </c>
      <c r="L489" s="167"/>
      <c r="M489" s="171"/>
      <c r="N489" s="155">
        <f t="shared" si="96"/>
        <v>7</v>
      </c>
      <c r="O489" s="123">
        <f t="shared" si="103"/>
        <v>24</v>
      </c>
      <c r="P489" s="124">
        <f t="shared" si="97"/>
        <v>0</v>
      </c>
      <c r="Q489" s="125"/>
      <c r="R489" s="125"/>
      <c r="S489" s="125"/>
      <c r="T489" s="125"/>
      <c r="U489" s="125"/>
      <c r="V489" s="125"/>
      <c r="W489" s="125"/>
      <c r="X489" s="125"/>
      <c r="Y489" s="125"/>
      <c r="Z489" s="125"/>
    </row>
    <row r="490" spans="1:26">
      <c r="A490" s="147">
        <v>483</v>
      </c>
      <c r="B490" s="148" t="str">
        <f t="shared" si="98"/>
        <v>41-й год 3-й мес</v>
      </c>
      <c r="C490" s="149">
        <f t="shared" si="104"/>
        <v>55894</v>
      </c>
      <c r="D490" s="150">
        <f t="shared" si="94"/>
        <v>0</v>
      </c>
      <c r="E490" s="151">
        <f t="shared" si="99"/>
        <v>0</v>
      </c>
      <c r="F490" s="151">
        <f t="shared" si="105"/>
        <v>0</v>
      </c>
      <c r="G490" s="152">
        <f t="shared" si="100"/>
        <v>0</v>
      </c>
      <c r="H490" s="153">
        <f t="shared" si="95"/>
        <v>0</v>
      </c>
      <c r="I490" s="151">
        <f t="shared" si="106"/>
        <v>0</v>
      </c>
      <c r="J490" s="151">
        <f t="shared" si="101"/>
        <v>0</v>
      </c>
      <c r="K490" s="154">
        <f t="shared" si="102"/>
        <v>0</v>
      </c>
      <c r="L490" s="167"/>
      <c r="M490" s="171"/>
      <c r="N490" s="155">
        <f t="shared" si="96"/>
        <v>7</v>
      </c>
      <c r="O490" s="123">
        <f t="shared" si="103"/>
        <v>24</v>
      </c>
      <c r="P490" s="124">
        <f t="shared" si="97"/>
        <v>0</v>
      </c>
      <c r="Q490" s="125"/>
      <c r="R490" s="125"/>
      <c r="S490" s="125"/>
      <c r="T490" s="125"/>
      <c r="U490" s="125"/>
      <c r="V490" s="125"/>
      <c r="W490" s="125"/>
      <c r="X490" s="125"/>
      <c r="Y490" s="125"/>
      <c r="Z490" s="125"/>
    </row>
    <row r="491" spans="1:26">
      <c r="A491" s="147">
        <v>484</v>
      </c>
      <c r="B491" s="148" t="str">
        <f t="shared" si="98"/>
        <v>41-й год 4-й мес</v>
      </c>
      <c r="C491" s="149">
        <f t="shared" si="104"/>
        <v>55925</v>
      </c>
      <c r="D491" s="150">
        <f t="shared" si="94"/>
        <v>0</v>
      </c>
      <c r="E491" s="151">
        <f t="shared" si="99"/>
        <v>0</v>
      </c>
      <c r="F491" s="151">
        <f t="shared" si="105"/>
        <v>0</v>
      </c>
      <c r="G491" s="152">
        <f t="shared" si="100"/>
        <v>0</v>
      </c>
      <c r="H491" s="153">
        <f t="shared" si="95"/>
        <v>0</v>
      </c>
      <c r="I491" s="151">
        <f t="shared" si="106"/>
        <v>0</v>
      </c>
      <c r="J491" s="151">
        <f t="shared" si="101"/>
        <v>0</v>
      </c>
      <c r="K491" s="154">
        <f t="shared" si="102"/>
        <v>0</v>
      </c>
      <c r="L491" s="167"/>
      <c r="M491" s="171"/>
      <c r="N491" s="155">
        <f t="shared" si="96"/>
        <v>7</v>
      </c>
      <c r="O491" s="123">
        <f t="shared" si="103"/>
        <v>24</v>
      </c>
      <c r="P491" s="124">
        <f t="shared" si="97"/>
        <v>0</v>
      </c>
      <c r="Q491" s="125"/>
      <c r="R491" s="125"/>
      <c r="S491" s="125"/>
      <c r="T491" s="125"/>
      <c r="U491" s="125"/>
      <c r="V491" s="125"/>
      <c r="W491" s="125"/>
      <c r="X491" s="125"/>
      <c r="Y491" s="125"/>
      <c r="Z491" s="125"/>
    </row>
    <row r="492" spans="1:26">
      <c r="A492" s="147">
        <v>485</v>
      </c>
      <c r="B492" s="148" t="str">
        <f t="shared" si="98"/>
        <v>41-й год 5-й мес</v>
      </c>
      <c r="C492" s="149">
        <f t="shared" si="104"/>
        <v>55953</v>
      </c>
      <c r="D492" s="150">
        <f t="shared" si="94"/>
        <v>0</v>
      </c>
      <c r="E492" s="151">
        <f t="shared" si="99"/>
        <v>0</v>
      </c>
      <c r="F492" s="151">
        <f t="shared" si="105"/>
        <v>0</v>
      </c>
      <c r="G492" s="152">
        <f t="shared" si="100"/>
        <v>0</v>
      </c>
      <c r="H492" s="153">
        <f t="shared" si="95"/>
        <v>0</v>
      </c>
      <c r="I492" s="151">
        <f t="shared" si="106"/>
        <v>0</v>
      </c>
      <c r="J492" s="151">
        <f t="shared" si="101"/>
        <v>0</v>
      </c>
      <c r="K492" s="154">
        <f t="shared" si="102"/>
        <v>0</v>
      </c>
      <c r="L492" s="167"/>
      <c r="M492" s="171"/>
      <c r="N492" s="155">
        <f t="shared" si="96"/>
        <v>7</v>
      </c>
      <c r="O492" s="123">
        <f t="shared" si="103"/>
        <v>24</v>
      </c>
      <c r="P492" s="124">
        <f t="shared" si="97"/>
        <v>0</v>
      </c>
      <c r="Q492" s="125"/>
      <c r="R492" s="125"/>
      <c r="S492" s="125"/>
      <c r="T492" s="125"/>
      <c r="U492" s="125"/>
      <c r="V492" s="125"/>
      <c r="W492" s="125"/>
      <c r="X492" s="125"/>
      <c r="Y492" s="125"/>
      <c r="Z492" s="125"/>
    </row>
    <row r="493" spans="1:26">
      <c r="A493" s="147">
        <v>486</v>
      </c>
      <c r="B493" s="148" t="str">
        <f t="shared" si="98"/>
        <v>41-й год 6-й мес</v>
      </c>
      <c r="C493" s="149">
        <f t="shared" si="104"/>
        <v>55984</v>
      </c>
      <c r="D493" s="150">
        <f t="shared" si="94"/>
        <v>0</v>
      </c>
      <c r="E493" s="151">
        <f t="shared" si="99"/>
        <v>0</v>
      </c>
      <c r="F493" s="151">
        <f t="shared" si="105"/>
        <v>0</v>
      </c>
      <c r="G493" s="152">
        <f t="shared" si="100"/>
        <v>0</v>
      </c>
      <c r="H493" s="153">
        <f t="shared" si="95"/>
        <v>0</v>
      </c>
      <c r="I493" s="151">
        <f t="shared" si="106"/>
        <v>0</v>
      </c>
      <c r="J493" s="151">
        <f t="shared" si="101"/>
        <v>0</v>
      </c>
      <c r="K493" s="154">
        <f t="shared" si="102"/>
        <v>0</v>
      </c>
      <c r="L493" s="167"/>
      <c r="M493" s="171"/>
      <c r="N493" s="155">
        <f t="shared" si="96"/>
        <v>7</v>
      </c>
      <c r="O493" s="123">
        <f t="shared" si="103"/>
        <v>24</v>
      </c>
      <c r="P493" s="124">
        <f t="shared" si="97"/>
        <v>0</v>
      </c>
      <c r="Q493" s="125"/>
      <c r="R493" s="125"/>
      <c r="S493" s="125"/>
      <c r="T493" s="125"/>
      <c r="U493" s="125"/>
      <c r="V493" s="125"/>
      <c r="W493" s="125"/>
      <c r="X493" s="125"/>
      <c r="Y493" s="125"/>
      <c r="Z493" s="125"/>
    </row>
    <row r="494" spans="1:26">
      <c r="A494" s="147">
        <v>487</v>
      </c>
      <c r="B494" s="148" t="str">
        <f t="shared" si="98"/>
        <v>41-й год 7-й мес</v>
      </c>
      <c r="C494" s="149">
        <f t="shared" si="104"/>
        <v>56014</v>
      </c>
      <c r="D494" s="150">
        <f t="shared" si="94"/>
        <v>0</v>
      </c>
      <c r="E494" s="151">
        <f t="shared" si="99"/>
        <v>0</v>
      </c>
      <c r="F494" s="151">
        <f t="shared" si="105"/>
        <v>0</v>
      </c>
      <c r="G494" s="152">
        <f t="shared" si="100"/>
        <v>0</v>
      </c>
      <c r="H494" s="153">
        <f t="shared" si="95"/>
        <v>0</v>
      </c>
      <c r="I494" s="151">
        <f t="shared" si="106"/>
        <v>0</v>
      </c>
      <c r="J494" s="151">
        <f t="shared" si="101"/>
        <v>0</v>
      </c>
      <c r="K494" s="154">
        <f t="shared" si="102"/>
        <v>0</v>
      </c>
      <c r="L494" s="167"/>
      <c r="M494" s="171"/>
      <c r="N494" s="155">
        <f t="shared" si="96"/>
        <v>7</v>
      </c>
      <c r="O494" s="123">
        <f t="shared" si="103"/>
        <v>24</v>
      </c>
      <c r="P494" s="124">
        <f t="shared" si="97"/>
        <v>0</v>
      </c>
      <c r="Q494" s="125"/>
      <c r="R494" s="125"/>
      <c r="S494" s="125"/>
      <c r="T494" s="125"/>
      <c r="U494" s="125"/>
      <c r="V494" s="125"/>
      <c r="W494" s="125"/>
      <c r="X494" s="125"/>
      <c r="Y494" s="125"/>
      <c r="Z494" s="125"/>
    </row>
    <row r="495" spans="1:26">
      <c r="A495" s="147">
        <v>488</v>
      </c>
      <c r="B495" s="148" t="str">
        <f t="shared" si="98"/>
        <v>41-й год 8-й мес</v>
      </c>
      <c r="C495" s="149">
        <f t="shared" si="104"/>
        <v>56045</v>
      </c>
      <c r="D495" s="150">
        <f t="shared" si="94"/>
        <v>0</v>
      </c>
      <c r="E495" s="151">
        <f t="shared" si="99"/>
        <v>0</v>
      </c>
      <c r="F495" s="151">
        <f t="shared" si="105"/>
        <v>0</v>
      </c>
      <c r="G495" s="152">
        <f t="shared" si="100"/>
        <v>0</v>
      </c>
      <c r="H495" s="153">
        <f t="shared" si="95"/>
        <v>0</v>
      </c>
      <c r="I495" s="151">
        <f t="shared" si="106"/>
        <v>0</v>
      </c>
      <c r="J495" s="151">
        <f t="shared" si="101"/>
        <v>0</v>
      </c>
      <c r="K495" s="154">
        <f t="shared" si="102"/>
        <v>0</v>
      </c>
      <c r="L495" s="167"/>
      <c r="M495" s="171"/>
      <c r="N495" s="155">
        <f t="shared" si="96"/>
        <v>7</v>
      </c>
      <c r="O495" s="123">
        <f t="shared" si="103"/>
        <v>24</v>
      </c>
      <c r="P495" s="124">
        <f t="shared" si="97"/>
        <v>0</v>
      </c>
      <c r="Q495" s="125"/>
      <c r="R495" s="125"/>
      <c r="S495" s="125"/>
      <c r="T495" s="125"/>
      <c r="U495" s="125"/>
      <c r="V495" s="125"/>
      <c r="W495" s="125"/>
      <c r="X495" s="125"/>
      <c r="Y495" s="125"/>
      <c r="Z495" s="125"/>
    </row>
    <row r="496" spans="1:26">
      <c r="A496" s="147">
        <v>489</v>
      </c>
      <c r="B496" s="148" t="str">
        <f t="shared" si="98"/>
        <v>41-й год 9-й мес</v>
      </c>
      <c r="C496" s="149">
        <f t="shared" si="104"/>
        <v>56075</v>
      </c>
      <c r="D496" s="150">
        <f t="shared" si="94"/>
        <v>0</v>
      </c>
      <c r="E496" s="151">
        <f t="shared" si="99"/>
        <v>0</v>
      </c>
      <c r="F496" s="151">
        <f t="shared" si="105"/>
        <v>0</v>
      </c>
      <c r="G496" s="152">
        <f t="shared" si="100"/>
        <v>0</v>
      </c>
      <c r="H496" s="153">
        <f t="shared" si="95"/>
        <v>0</v>
      </c>
      <c r="I496" s="151">
        <f t="shared" si="106"/>
        <v>0</v>
      </c>
      <c r="J496" s="151">
        <f t="shared" si="101"/>
        <v>0</v>
      </c>
      <c r="K496" s="154">
        <f t="shared" si="102"/>
        <v>0</v>
      </c>
      <c r="L496" s="167"/>
      <c r="M496" s="171"/>
      <c r="N496" s="155">
        <f t="shared" si="96"/>
        <v>7</v>
      </c>
      <c r="O496" s="123">
        <f t="shared" si="103"/>
        <v>24</v>
      </c>
      <c r="P496" s="124">
        <f t="shared" si="97"/>
        <v>0</v>
      </c>
      <c r="Q496" s="125"/>
      <c r="R496" s="125"/>
      <c r="S496" s="125"/>
      <c r="T496" s="125"/>
      <c r="U496" s="125"/>
      <c r="V496" s="125"/>
      <c r="W496" s="125"/>
      <c r="X496" s="125"/>
      <c r="Y496" s="125"/>
      <c r="Z496" s="125"/>
    </row>
    <row r="497" spans="1:26">
      <c r="A497" s="147">
        <v>490</v>
      </c>
      <c r="B497" s="148" t="str">
        <f t="shared" si="98"/>
        <v>41-й год 10-й мес</v>
      </c>
      <c r="C497" s="149">
        <f t="shared" si="104"/>
        <v>56106</v>
      </c>
      <c r="D497" s="150">
        <f t="shared" si="94"/>
        <v>0</v>
      </c>
      <c r="E497" s="151">
        <f t="shared" si="99"/>
        <v>0</v>
      </c>
      <c r="F497" s="151">
        <f t="shared" si="105"/>
        <v>0</v>
      </c>
      <c r="G497" s="152">
        <f t="shared" si="100"/>
        <v>0</v>
      </c>
      <c r="H497" s="153">
        <f t="shared" si="95"/>
        <v>0</v>
      </c>
      <c r="I497" s="151">
        <f t="shared" si="106"/>
        <v>0</v>
      </c>
      <c r="J497" s="151">
        <f t="shared" si="101"/>
        <v>0</v>
      </c>
      <c r="K497" s="154">
        <f t="shared" si="102"/>
        <v>0</v>
      </c>
      <c r="L497" s="167"/>
      <c r="M497" s="171"/>
      <c r="N497" s="155">
        <f t="shared" si="96"/>
        <v>7</v>
      </c>
      <c r="O497" s="123">
        <f t="shared" si="103"/>
        <v>24</v>
      </c>
      <c r="P497" s="124">
        <f t="shared" si="97"/>
        <v>0</v>
      </c>
      <c r="Q497" s="125"/>
      <c r="R497" s="125"/>
      <c r="S497" s="125"/>
      <c r="T497" s="125"/>
      <c r="U497" s="125"/>
      <c r="V497" s="125"/>
      <c r="W497" s="125"/>
      <c r="X497" s="125"/>
      <c r="Y497" s="125"/>
      <c r="Z497" s="125"/>
    </row>
    <row r="498" spans="1:26">
      <c r="A498" s="147">
        <v>491</v>
      </c>
      <c r="B498" s="148" t="str">
        <f t="shared" si="98"/>
        <v>41-й год 11-й мес</v>
      </c>
      <c r="C498" s="149">
        <f t="shared" si="104"/>
        <v>56137</v>
      </c>
      <c r="D498" s="150">
        <f t="shared" si="94"/>
        <v>0</v>
      </c>
      <c r="E498" s="151">
        <f t="shared" si="99"/>
        <v>0</v>
      </c>
      <c r="F498" s="151">
        <f t="shared" si="105"/>
        <v>0</v>
      </c>
      <c r="G498" s="152">
        <f t="shared" si="100"/>
        <v>0</v>
      </c>
      <c r="H498" s="153">
        <f t="shared" si="95"/>
        <v>0</v>
      </c>
      <c r="I498" s="151">
        <f t="shared" si="106"/>
        <v>0</v>
      </c>
      <c r="J498" s="151">
        <f t="shared" si="101"/>
        <v>0</v>
      </c>
      <c r="K498" s="154">
        <f t="shared" si="102"/>
        <v>0</v>
      </c>
      <c r="L498" s="167"/>
      <c r="M498" s="171"/>
      <c r="N498" s="155">
        <f t="shared" si="96"/>
        <v>7</v>
      </c>
      <c r="O498" s="123">
        <f t="shared" si="103"/>
        <v>24</v>
      </c>
      <c r="P498" s="124">
        <f t="shared" si="97"/>
        <v>0</v>
      </c>
      <c r="Q498" s="125"/>
      <c r="R498" s="125"/>
      <c r="S498" s="125"/>
      <c r="T498" s="125"/>
      <c r="U498" s="125"/>
      <c r="V498" s="125"/>
      <c r="W498" s="125"/>
      <c r="X498" s="125"/>
      <c r="Y498" s="125"/>
      <c r="Z498" s="125"/>
    </row>
    <row r="499" spans="1:26">
      <c r="A499" s="147">
        <v>492</v>
      </c>
      <c r="B499" s="148" t="str">
        <f t="shared" si="98"/>
        <v>41-й год 12-й мес</v>
      </c>
      <c r="C499" s="149">
        <f t="shared" si="104"/>
        <v>56167</v>
      </c>
      <c r="D499" s="150">
        <f t="shared" si="94"/>
        <v>0</v>
      </c>
      <c r="E499" s="151">
        <f t="shared" si="99"/>
        <v>0</v>
      </c>
      <c r="F499" s="151">
        <f t="shared" si="105"/>
        <v>0</v>
      </c>
      <c r="G499" s="152">
        <f t="shared" si="100"/>
        <v>0</v>
      </c>
      <c r="H499" s="153">
        <f t="shared" si="95"/>
        <v>0</v>
      </c>
      <c r="I499" s="151">
        <f t="shared" si="106"/>
        <v>0</v>
      </c>
      <c r="J499" s="151">
        <f t="shared" si="101"/>
        <v>0</v>
      </c>
      <c r="K499" s="154">
        <f t="shared" si="102"/>
        <v>0</v>
      </c>
      <c r="L499" s="167"/>
      <c r="M499" s="171"/>
      <c r="N499" s="155">
        <f t="shared" si="96"/>
        <v>7</v>
      </c>
      <c r="O499" s="123">
        <f t="shared" si="103"/>
        <v>24</v>
      </c>
      <c r="P499" s="124">
        <f t="shared" si="97"/>
        <v>0</v>
      </c>
      <c r="Q499" s="125"/>
      <c r="R499" s="125"/>
      <c r="S499" s="125"/>
      <c r="T499" s="125"/>
      <c r="U499" s="125"/>
      <c r="V499" s="125"/>
      <c r="W499" s="125"/>
      <c r="X499" s="125"/>
      <c r="Y499" s="125"/>
      <c r="Z499" s="125"/>
    </row>
    <row r="500" spans="1:26">
      <c r="A500" s="156">
        <v>493</v>
      </c>
      <c r="B500" s="148" t="str">
        <f t="shared" si="98"/>
        <v>42-й год 1-й мес</v>
      </c>
      <c r="C500" s="149">
        <f t="shared" si="104"/>
        <v>56198</v>
      </c>
      <c r="D500" s="150">
        <f t="shared" si="94"/>
        <v>0</v>
      </c>
      <c r="E500" s="157">
        <f t="shared" si="99"/>
        <v>0</v>
      </c>
      <c r="F500" s="151">
        <f t="shared" si="105"/>
        <v>0</v>
      </c>
      <c r="G500" s="158">
        <f t="shared" si="100"/>
        <v>0</v>
      </c>
      <c r="H500" s="159">
        <f t="shared" si="95"/>
        <v>0</v>
      </c>
      <c r="I500" s="157">
        <f t="shared" si="106"/>
        <v>0</v>
      </c>
      <c r="J500" s="157">
        <f t="shared" si="101"/>
        <v>0</v>
      </c>
      <c r="K500" s="160">
        <f t="shared" si="102"/>
        <v>0</v>
      </c>
      <c r="L500" s="169"/>
      <c r="M500" s="168"/>
      <c r="N500" s="155">
        <f t="shared" si="96"/>
        <v>7</v>
      </c>
      <c r="O500" s="123">
        <f t="shared" si="103"/>
        <v>24</v>
      </c>
      <c r="P500" s="124">
        <f t="shared" si="97"/>
        <v>0</v>
      </c>
      <c r="Q500" s="125"/>
      <c r="R500" s="125"/>
      <c r="S500" s="125"/>
      <c r="T500" s="125"/>
      <c r="U500" s="125"/>
      <c r="V500" s="125"/>
      <c r="W500" s="125"/>
      <c r="X500" s="125"/>
      <c r="Y500" s="125"/>
      <c r="Z500" s="125"/>
    </row>
    <row r="501" spans="1:26">
      <c r="A501" s="161">
        <v>494</v>
      </c>
      <c r="B501" s="148" t="str">
        <f t="shared" si="98"/>
        <v>42-й год 2-й мес</v>
      </c>
      <c r="C501" s="149">
        <f t="shared" si="104"/>
        <v>56228</v>
      </c>
      <c r="D501" s="150">
        <f t="shared" si="94"/>
        <v>0</v>
      </c>
      <c r="E501" s="151">
        <f t="shared" si="99"/>
        <v>0</v>
      </c>
      <c r="F501" s="151">
        <f t="shared" si="105"/>
        <v>0</v>
      </c>
      <c r="G501" s="152">
        <f t="shared" si="100"/>
        <v>0</v>
      </c>
      <c r="H501" s="153">
        <f t="shared" si="95"/>
        <v>0</v>
      </c>
      <c r="I501" s="151">
        <f t="shared" si="106"/>
        <v>0</v>
      </c>
      <c r="J501" s="151">
        <f t="shared" si="101"/>
        <v>0</v>
      </c>
      <c r="K501" s="154">
        <f t="shared" si="102"/>
        <v>0</v>
      </c>
      <c r="L501" s="167"/>
      <c r="M501" s="171"/>
      <c r="N501" s="155">
        <f t="shared" si="96"/>
        <v>7</v>
      </c>
      <c r="O501" s="123">
        <f t="shared" si="103"/>
        <v>24</v>
      </c>
      <c r="P501" s="124">
        <f t="shared" si="97"/>
        <v>0</v>
      </c>
      <c r="Q501" s="125"/>
      <c r="R501" s="125"/>
      <c r="S501" s="125"/>
      <c r="T501" s="125"/>
      <c r="U501" s="125"/>
      <c r="V501" s="125"/>
      <c r="W501" s="125"/>
      <c r="X501" s="125"/>
      <c r="Y501" s="125"/>
      <c r="Z501" s="125"/>
    </row>
    <row r="502" spans="1:26">
      <c r="A502" s="161">
        <v>495</v>
      </c>
      <c r="B502" s="148" t="str">
        <f t="shared" si="98"/>
        <v>42-й год 3-й мес</v>
      </c>
      <c r="C502" s="149">
        <f t="shared" si="104"/>
        <v>56259</v>
      </c>
      <c r="D502" s="150">
        <f t="shared" si="94"/>
        <v>0</v>
      </c>
      <c r="E502" s="151">
        <f t="shared" si="99"/>
        <v>0</v>
      </c>
      <c r="F502" s="151">
        <f t="shared" si="105"/>
        <v>0</v>
      </c>
      <c r="G502" s="152">
        <f t="shared" si="100"/>
        <v>0</v>
      </c>
      <c r="H502" s="153">
        <f t="shared" si="95"/>
        <v>0</v>
      </c>
      <c r="I502" s="151">
        <f t="shared" si="106"/>
        <v>0</v>
      </c>
      <c r="J502" s="151">
        <f t="shared" si="101"/>
        <v>0</v>
      </c>
      <c r="K502" s="154">
        <f t="shared" si="102"/>
        <v>0</v>
      </c>
      <c r="L502" s="167"/>
      <c r="M502" s="171"/>
      <c r="N502" s="155">
        <f t="shared" si="96"/>
        <v>7</v>
      </c>
      <c r="O502" s="123">
        <f t="shared" si="103"/>
        <v>24</v>
      </c>
      <c r="P502" s="124">
        <f t="shared" si="97"/>
        <v>0</v>
      </c>
      <c r="Q502" s="125"/>
      <c r="R502" s="125"/>
      <c r="S502" s="125"/>
      <c r="T502" s="125"/>
      <c r="U502" s="125"/>
      <c r="V502" s="125"/>
      <c r="W502" s="125"/>
      <c r="X502" s="125"/>
      <c r="Y502" s="125"/>
      <c r="Z502" s="125"/>
    </row>
    <row r="503" spans="1:26">
      <c r="A503" s="161">
        <v>496</v>
      </c>
      <c r="B503" s="148" t="str">
        <f t="shared" si="98"/>
        <v>42-й год 4-й мес</v>
      </c>
      <c r="C503" s="149">
        <f t="shared" si="104"/>
        <v>56290</v>
      </c>
      <c r="D503" s="150">
        <f t="shared" si="94"/>
        <v>0</v>
      </c>
      <c r="E503" s="151">
        <f t="shared" si="99"/>
        <v>0</v>
      </c>
      <c r="F503" s="151">
        <f t="shared" si="105"/>
        <v>0</v>
      </c>
      <c r="G503" s="152">
        <f t="shared" si="100"/>
        <v>0</v>
      </c>
      <c r="H503" s="153">
        <f t="shared" si="95"/>
        <v>0</v>
      </c>
      <c r="I503" s="151">
        <f t="shared" si="106"/>
        <v>0</v>
      </c>
      <c r="J503" s="151">
        <f t="shared" si="101"/>
        <v>0</v>
      </c>
      <c r="K503" s="154">
        <f t="shared" si="102"/>
        <v>0</v>
      </c>
      <c r="L503" s="167"/>
      <c r="M503" s="171"/>
      <c r="N503" s="155">
        <f t="shared" si="96"/>
        <v>7</v>
      </c>
      <c r="O503" s="123">
        <f t="shared" si="103"/>
        <v>24</v>
      </c>
      <c r="P503" s="124">
        <f t="shared" si="97"/>
        <v>0</v>
      </c>
      <c r="Q503" s="125"/>
      <c r="R503" s="125"/>
      <c r="S503" s="125"/>
      <c r="T503" s="125"/>
      <c r="U503" s="125"/>
      <c r="V503" s="125"/>
      <c r="W503" s="125"/>
      <c r="X503" s="125"/>
      <c r="Y503" s="125"/>
      <c r="Z503" s="125"/>
    </row>
    <row r="504" spans="1:26">
      <c r="A504" s="161">
        <v>497</v>
      </c>
      <c r="B504" s="148" t="str">
        <f t="shared" si="98"/>
        <v>42-й год 5-й мес</v>
      </c>
      <c r="C504" s="149">
        <f t="shared" si="104"/>
        <v>56318</v>
      </c>
      <c r="D504" s="150">
        <f t="shared" si="94"/>
        <v>0</v>
      </c>
      <c r="E504" s="151">
        <f t="shared" si="99"/>
        <v>0</v>
      </c>
      <c r="F504" s="151">
        <f t="shared" si="105"/>
        <v>0</v>
      </c>
      <c r="G504" s="152">
        <f t="shared" si="100"/>
        <v>0</v>
      </c>
      <c r="H504" s="153">
        <f t="shared" si="95"/>
        <v>0</v>
      </c>
      <c r="I504" s="151">
        <f t="shared" si="106"/>
        <v>0</v>
      </c>
      <c r="J504" s="151">
        <f t="shared" si="101"/>
        <v>0</v>
      </c>
      <c r="K504" s="154">
        <f t="shared" si="102"/>
        <v>0</v>
      </c>
      <c r="L504" s="167"/>
      <c r="M504" s="171"/>
      <c r="N504" s="155">
        <f t="shared" si="96"/>
        <v>7</v>
      </c>
      <c r="O504" s="123">
        <f t="shared" si="103"/>
        <v>24</v>
      </c>
      <c r="P504" s="124">
        <f t="shared" si="97"/>
        <v>0</v>
      </c>
      <c r="Q504" s="125"/>
      <c r="R504" s="125"/>
      <c r="S504" s="125"/>
      <c r="T504" s="125"/>
      <c r="U504" s="125"/>
      <c r="V504" s="125"/>
      <c r="W504" s="125"/>
      <c r="X504" s="125"/>
      <c r="Y504" s="125"/>
      <c r="Z504" s="125"/>
    </row>
    <row r="505" spans="1:26">
      <c r="A505" s="161">
        <v>498</v>
      </c>
      <c r="B505" s="148" t="str">
        <f t="shared" si="98"/>
        <v>42-й год 6-й мес</v>
      </c>
      <c r="C505" s="149">
        <f t="shared" si="104"/>
        <v>56349</v>
      </c>
      <c r="D505" s="150">
        <f t="shared" si="94"/>
        <v>0</v>
      </c>
      <c r="E505" s="151">
        <f t="shared" si="99"/>
        <v>0</v>
      </c>
      <c r="F505" s="151">
        <f t="shared" si="105"/>
        <v>0</v>
      </c>
      <c r="G505" s="152">
        <f t="shared" si="100"/>
        <v>0</v>
      </c>
      <c r="H505" s="153">
        <f t="shared" si="95"/>
        <v>0</v>
      </c>
      <c r="I505" s="151">
        <f t="shared" si="106"/>
        <v>0</v>
      </c>
      <c r="J505" s="151">
        <f t="shared" si="101"/>
        <v>0</v>
      </c>
      <c r="K505" s="154">
        <f t="shared" si="102"/>
        <v>0</v>
      </c>
      <c r="L505" s="167"/>
      <c r="M505" s="171"/>
      <c r="N505" s="155">
        <f t="shared" si="96"/>
        <v>7</v>
      </c>
      <c r="O505" s="123">
        <f t="shared" si="103"/>
        <v>24</v>
      </c>
      <c r="P505" s="124">
        <f t="shared" si="97"/>
        <v>0</v>
      </c>
      <c r="Q505" s="125"/>
      <c r="R505" s="125"/>
      <c r="S505" s="125"/>
      <c r="T505" s="125"/>
      <c r="U505" s="125"/>
      <c r="V505" s="125"/>
      <c r="W505" s="125"/>
      <c r="X505" s="125"/>
      <c r="Y505" s="125"/>
      <c r="Z505" s="125"/>
    </row>
    <row r="506" spans="1:26">
      <c r="A506" s="161">
        <v>499</v>
      </c>
      <c r="B506" s="148" t="str">
        <f t="shared" si="98"/>
        <v>42-й год 7-й мес</v>
      </c>
      <c r="C506" s="149">
        <f t="shared" si="104"/>
        <v>56379</v>
      </c>
      <c r="D506" s="150">
        <f t="shared" si="94"/>
        <v>0</v>
      </c>
      <c r="E506" s="151">
        <f t="shared" si="99"/>
        <v>0</v>
      </c>
      <c r="F506" s="151">
        <f t="shared" si="105"/>
        <v>0</v>
      </c>
      <c r="G506" s="152">
        <f t="shared" si="100"/>
        <v>0</v>
      </c>
      <c r="H506" s="153">
        <f t="shared" si="95"/>
        <v>0</v>
      </c>
      <c r="I506" s="151">
        <f t="shared" si="106"/>
        <v>0</v>
      </c>
      <c r="J506" s="151">
        <f t="shared" si="101"/>
        <v>0</v>
      </c>
      <c r="K506" s="154">
        <f t="shared" si="102"/>
        <v>0</v>
      </c>
      <c r="L506" s="167"/>
      <c r="M506" s="171"/>
      <c r="N506" s="155">
        <f t="shared" si="96"/>
        <v>7</v>
      </c>
      <c r="O506" s="123">
        <f t="shared" si="103"/>
        <v>24</v>
      </c>
      <c r="P506" s="124">
        <f t="shared" si="97"/>
        <v>0</v>
      </c>
      <c r="Q506" s="125"/>
      <c r="R506" s="125"/>
      <c r="S506" s="125"/>
      <c r="T506" s="125"/>
      <c r="U506" s="125"/>
      <c r="V506" s="125"/>
      <c r="W506" s="125"/>
      <c r="X506" s="125"/>
      <c r="Y506" s="125"/>
      <c r="Z506" s="125"/>
    </row>
    <row r="507" spans="1:26">
      <c r="A507" s="161">
        <v>500</v>
      </c>
      <c r="B507" s="148" t="str">
        <f t="shared" si="98"/>
        <v>42-й год 8-й мес</v>
      </c>
      <c r="C507" s="149">
        <f t="shared" si="104"/>
        <v>56410</v>
      </c>
      <c r="D507" s="150">
        <f t="shared" si="94"/>
        <v>0</v>
      </c>
      <c r="E507" s="151">
        <f t="shared" si="99"/>
        <v>0</v>
      </c>
      <c r="F507" s="151">
        <f t="shared" si="105"/>
        <v>0</v>
      </c>
      <c r="G507" s="152">
        <f t="shared" si="100"/>
        <v>0</v>
      </c>
      <c r="H507" s="153">
        <f t="shared" si="95"/>
        <v>0</v>
      </c>
      <c r="I507" s="151">
        <f t="shared" si="106"/>
        <v>0</v>
      </c>
      <c r="J507" s="151">
        <f t="shared" si="101"/>
        <v>0</v>
      </c>
      <c r="K507" s="154">
        <f t="shared" si="102"/>
        <v>0</v>
      </c>
      <c r="L507" s="167"/>
      <c r="M507" s="171"/>
      <c r="N507" s="155">
        <f t="shared" si="96"/>
        <v>7</v>
      </c>
      <c r="O507" s="123">
        <f t="shared" si="103"/>
        <v>24</v>
      </c>
      <c r="P507" s="124">
        <f t="shared" si="97"/>
        <v>0</v>
      </c>
      <c r="Q507" s="125"/>
      <c r="R507" s="125"/>
      <c r="S507" s="125"/>
      <c r="T507" s="125"/>
      <c r="U507" s="125"/>
      <c r="V507" s="125"/>
      <c r="W507" s="125"/>
      <c r="X507" s="125"/>
      <c r="Y507" s="125"/>
      <c r="Z507" s="125"/>
    </row>
    <row r="508" spans="1:26">
      <c r="A508" s="161">
        <v>501</v>
      </c>
      <c r="B508" s="148" t="str">
        <f t="shared" si="98"/>
        <v>42-й год 9-й мес</v>
      </c>
      <c r="C508" s="149">
        <f t="shared" si="104"/>
        <v>56440</v>
      </c>
      <c r="D508" s="150">
        <f t="shared" si="94"/>
        <v>0</v>
      </c>
      <c r="E508" s="151">
        <f t="shared" si="99"/>
        <v>0</v>
      </c>
      <c r="F508" s="151">
        <f t="shared" si="105"/>
        <v>0</v>
      </c>
      <c r="G508" s="152">
        <f t="shared" si="100"/>
        <v>0</v>
      </c>
      <c r="H508" s="153">
        <f t="shared" si="95"/>
        <v>0</v>
      </c>
      <c r="I508" s="151">
        <f t="shared" si="106"/>
        <v>0</v>
      </c>
      <c r="J508" s="151">
        <f t="shared" si="101"/>
        <v>0</v>
      </c>
      <c r="K508" s="154">
        <f t="shared" si="102"/>
        <v>0</v>
      </c>
      <c r="L508" s="167"/>
      <c r="M508" s="171"/>
      <c r="N508" s="155">
        <f t="shared" si="96"/>
        <v>7</v>
      </c>
      <c r="O508" s="123">
        <f t="shared" si="103"/>
        <v>24</v>
      </c>
      <c r="P508" s="124">
        <f t="shared" si="97"/>
        <v>0</v>
      </c>
      <c r="Q508" s="125"/>
      <c r="R508" s="125"/>
      <c r="S508" s="125"/>
      <c r="T508" s="125"/>
      <c r="U508" s="125"/>
      <c r="V508" s="125"/>
      <c r="W508" s="125"/>
      <c r="X508" s="125"/>
      <c r="Y508" s="125"/>
      <c r="Z508" s="125"/>
    </row>
    <row r="509" spans="1:26">
      <c r="A509" s="161">
        <v>502</v>
      </c>
      <c r="B509" s="148" t="str">
        <f t="shared" si="98"/>
        <v>42-й год 10-й мес</v>
      </c>
      <c r="C509" s="149">
        <f t="shared" si="104"/>
        <v>56471</v>
      </c>
      <c r="D509" s="150">
        <f t="shared" si="94"/>
        <v>0</v>
      </c>
      <c r="E509" s="151">
        <f t="shared" si="99"/>
        <v>0</v>
      </c>
      <c r="F509" s="151">
        <f t="shared" si="105"/>
        <v>0</v>
      </c>
      <c r="G509" s="152">
        <f t="shared" si="100"/>
        <v>0</v>
      </c>
      <c r="H509" s="153">
        <f t="shared" si="95"/>
        <v>0</v>
      </c>
      <c r="I509" s="151">
        <f t="shared" si="106"/>
        <v>0</v>
      </c>
      <c r="J509" s="151">
        <f t="shared" si="101"/>
        <v>0</v>
      </c>
      <c r="K509" s="154">
        <f t="shared" si="102"/>
        <v>0</v>
      </c>
      <c r="L509" s="167"/>
      <c r="M509" s="171"/>
      <c r="N509" s="155">
        <f t="shared" si="96"/>
        <v>7</v>
      </c>
      <c r="O509" s="123">
        <f t="shared" si="103"/>
        <v>24</v>
      </c>
      <c r="P509" s="124">
        <f t="shared" si="97"/>
        <v>0</v>
      </c>
      <c r="Q509" s="125"/>
      <c r="R509" s="125"/>
      <c r="S509" s="125"/>
      <c r="T509" s="125"/>
      <c r="U509" s="125"/>
      <c r="V509" s="125"/>
      <c r="W509" s="125"/>
      <c r="X509" s="125"/>
      <c r="Y509" s="125"/>
      <c r="Z509" s="125"/>
    </row>
    <row r="510" spans="1:26">
      <c r="A510" s="161">
        <v>503</v>
      </c>
      <c r="B510" s="148" t="str">
        <f t="shared" si="98"/>
        <v>42-й год 11-й мес</v>
      </c>
      <c r="C510" s="149">
        <f t="shared" si="104"/>
        <v>56502</v>
      </c>
      <c r="D510" s="150">
        <f t="shared" si="94"/>
        <v>0</v>
      </c>
      <c r="E510" s="151">
        <f t="shared" si="99"/>
        <v>0</v>
      </c>
      <c r="F510" s="151">
        <f t="shared" si="105"/>
        <v>0</v>
      </c>
      <c r="G510" s="152">
        <f t="shared" si="100"/>
        <v>0</v>
      </c>
      <c r="H510" s="153">
        <f t="shared" si="95"/>
        <v>0</v>
      </c>
      <c r="I510" s="151">
        <f t="shared" si="106"/>
        <v>0</v>
      </c>
      <c r="J510" s="151">
        <f t="shared" si="101"/>
        <v>0</v>
      </c>
      <c r="K510" s="154">
        <f t="shared" si="102"/>
        <v>0</v>
      </c>
      <c r="L510" s="167"/>
      <c r="M510" s="171"/>
      <c r="N510" s="155">
        <f t="shared" si="96"/>
        <v>7</v>
      </c>
      <c r="O510" s="123">
        <f t="shared" si="103"/>
        <v>24</v>
      </c>
      <c r="P510" s="124">
        <f t="shared" si="97"/>
        <v>0</v>
      </c>
      <c r="Q510" s="125"/>
      <c r="R510" s="125"/>
      <c r="S510" s="125"/>
      <c r="T510" s="125"/>
      <c r="U510" s="125"/>
      <c r="V510" s="125"/>
      <c r="W510" s="125"/>
      <c r="X510" s="125"/>
      <c r="Y510" s="125"/>
      <c r="Z510" s="125"/>
    </row>
    <row r="511" spans="1:26">
      <c r="A511" s="162">
        <v>504</v>
      </c>
      <c r="B511" s="148" t="str">
        <f t="shared" si="98"/>
        <v>42-й год 12-й мес</v>
      </c>
      <c r="C511" s="149">
        <f t="shared" si="104"/>
        <v>56532</v>
      </c>
      <c r="D511" s="150">
        <f t="shared" si="94"/>
        <v>0</v>
      </c>
      <c r="E511" s="163">
        <f t="shared" si="99"/>
        <v>0</v>
      </c>
      <c r="F511" s="151">
        <f t="shared" si="105"/>
        <v>0</v>
      </c>
      <c r="G511" s="164">
        <f t="shared" si="100"/>
        <v>0</v>
      </c>
      <c r="H511" s="165">
        <f t="shared" si="95"/>
        <v>0</v>
      </c>
      <c r="I511" s="163">
        <f t="shared" si="106"/>
        <v>0</v>
      </c>
      <c r="J511" s="163">
        <f t="shared" si="101"/>
        <v>0</v>
      </c>
      <c r="K511" s="166">
        <f t="shared" si="102"/>
        <v>0</v>
      </c>
      <c r="L511" s="170"/>
      <c r="M511" s="172"/>
      <c r="N511" s="155">
        <f t="shared" si="96"/>
        <v>7</v>
      </c>
      <c r="O511" s="123">
        <f t="shared" si="103"/>
        <v>24</v>
      </c>
      <c r="P511" s="124">
        <f t="shared" si="97"/>
        <v>0</v>
      </c>
      <c r="Q511" s="125"/>
      <c r="R511" s="125"/>
      <c r="S511" s="125"/>
      <c r="T511" s="125"/>
      <c r="U511" s="125"/>
      <c r="V511" s="125"/>
      <c r="W511" s="125"/>
      <c r="X511" s="125"/>
      <c r="Y511" s="125"/>
      <c r="Z511" s="125"/>
    </row>
    <row r="512" spans="1:26">
      <c r="A512" s="147">
        <v>505</v>
      </c>
      <c r="B512" s="148" t="str">
        <f t="shared" si="98"/>
        <v>43-й год 1-й мес</v>
      </c>
      <c r="C512" s="149">
        <f t="shared" si="104"/>
        <v>56563</v>
      </c>
      <c r="D512" s="150">
        <f t="shared" si="94"/>
        <v>0</v>
      </c>
      <c r="E512" s="151">
        <f t="shared" si="99"/>
        <v>0</v>
      </c>
      <c r="F512" s="151">
        <f t="shared" si="105"/>
        <v>0</v>
      </c>
      <c r="G512" s="152">
        <f t="shared" si="100"/>
        <v>0</v>
      </c>
      <c r="H512" s="153">
        <f t="shared" si="95"/>
        <v>0</v>
      </c>
      <c r="I512" s="151">
        <f t="shared" si="106"/>
        <v>0</v>
      </c>
      <c r="J512" s="151">
        <f t="shared" si="101"/>
        <v>0</v>
      </c>
      <c r="K512" s="154">
        <f t="shared" si="102"/>
        <v>0</v>
      </c>
      <c r="L512" s="167"/>
      <c r="M512" s="171"/>
      <c r="N512" s="155">
        <f t="shared" si="96"/>
        <v>7</v>
      </c>
      <c r="O512" s="123">
        <f t="shared" si="103"/>
        <v>24</v>
      </c>
      <c r="P512" s="124">
        <f t="shared" si="97"/>
        <v>0</v>
      </c>
      <c r="Q512" s="125"/>
      <c r="R512" s="125"/>
      <c r="S512" s="125"/>
      <c r="T512" s="125"/>
      <c r="U512" s="125"/>
      <c r="V512" s="125"/>
      <c r="W512" s="125"/>
      <c r="X512" s="125"/>
      <c r="Y512" s="125"/>
      <c r="Z512" s="125"/>
    </row>
    <row r="513" spans="1:26">
      <c r="A513" s="147">
        <v>506</v>
      </c>
      <c r="B513" s="148" t="str">
        <f t="shared" si="98"/>
        <v>43-й год 2-й мес</v>
      </c>
      <c r="C513" s="149">
        <f t="shared" si="104"/>
        <v>56593</v>
      </c>
      <c r="D513" s="150">
        <f t="shared" si="94"/>
        <v>0</v>
      </c>
      <c r="E513" s="151">
        <f t="shared" si="99"/>
        <v>0</v>
      </c>
      <c r="F513" s="151">
        <f t="shared" si="105"/>
        <v>0</v>
      </c>
      <c r="G513" s="152">
        <f t="shared" si="100"/>
        <v>0</v>
      </c>
      <c r="H513" s="153">
        <f t="shared" si="95"/>
        <v>0</v>
      </c>
      <c r="I513" s="151">
        <f t="shared" si="106"/>
        <v>0</v>
      </c>
      <c r="J513" s="151">
        <f t="shared" si="101"/>
        <v>0</v>
      </c>
      <c r="K513" s="154">
        <f t="shared" si="102"/>
        <v>0</v>
      </c>
      <c r="L513" s="167"/>
      <c r="M513" s="171"/>
      <c r="N513" s="155">
        <f t="shared" si="96"/>
        <v>7</v>
      </c>
      <c r="O513" s="123">
        <f t="shared" si="103"/>
        <v>24</v>
      </c>
      <c r="P513" s="124">
        <f t="shared" si="97"/>
        <v>0</v>
      </c>
      <c r="Q513" s="125"/>
      <c r="R513" s="125"/>
      <c r="S513" s="125"/>
      <c r="T513" s="125"/>
      <c r="U513" s="125"/>
      <c r="V513" s="125"/>
      <c r="W513" s="125"/>
      <c r="X513" s="125"/>
      <c r="Y513" s="125"/>
      <c r="Z513" s="125"/>
    </row>
    <row r="514" spans="1:26">
      <c r="A514" s="147">
        <v>507</v>
      </c>
      <c r="B514" s="148" t="str">
        <f t="shared" si="98"/>
        <v>43-й год 3-й мес</v>
      </c>
      <c r="C514" s="149">
        <f t="shared" si="104"/>
        <v>56624</v>
      </c>
      <c r="D514" s="150">
        <f t="shared" si="94"/>
        <v>0</v>
      </c>
      <c r="E514" s="151">
        <f t="shared" si="99"/>
        <v>0</v>
      </c>
      <c r="F514" s="151">
        <f t="shared" si="105"/>
        <v>0</v>
      </c>
      <c r="G514" s="152">
        <f t="shared" si="100"/>
        <v>0</v>
      </c>
      <c r="H514" s="153">
        <f t="shared" si="95"/>
        <v>0</v>
      </c>
      <c r="I514" s="151">
        <f t="shared" si="106"/>
        <v>0</v>
      </c>
      <c r="J514" s="151">
        <f t="shared" si="101"/>
        <v>0</v>
      </c>
      <c r="K514" s="154">
        <f t="shared" si="102"/>
        <v>0</v>
      </c>
      <c r="L514" s="167"/>
      <c r="M514" s="171"/>
      <c r="N514" s="155">
        <f t="shared" si="96"/>
        <v>7</v>
      </c>
      <c r="O514" s="123">
        <f t="shared" si="103"/>
        <v>24</v>
      </c>
      <c r="P514" s="124">
        <f t="shared" si="97"/>
        <v>0</v>
      </c>
      <c r="Q514" s="125"/>
      <c r="R514" s="125"/>
      <c r="S514" s="125"/>
      <c r="T514" s="125"/>
      <c r="U514" s="125"/>
      <c r="V514" s="125"/>
      <c r="W514" s="125"/>
      <c r="X514" s="125"/>
      <c r="Y514" s="125"/>
      <c r="Z514" s="125"/>
    </row>
    <row r="515" spans="1:26">
      <c r="A515" s="147">
        <v>508</v>
      </c>
      <c r="B515" s="148" t="str">
        <f t="shared" si="98"/>
        <v>43-й год 4-й мес</v>
      </c>
      <c r="C515" s="149">
        <f t="shared" si="104"/>
        <v>56655</v>
      </c>
      <c r="D515" s="150">
        <f t="shared" si="94"/>
        <v>0</v>
      </c>
      <c r="E515" s="151">
        <f t="shared" si="99"/>
        <v>0</v>
      </c>
      <c r="F515" s="151">
        <f t="shared" si="105"/>
        <v>0</v>
      </c>
      <c r="G515" s="152">
        <f t="shared" si="100"/>
        <v>0</v>
      </c>
      <c r="H515" s="153">
        <f t="shared" si="95"/>
        <v>0</v>
      </c>
      <c r="I515" s="151">
        <f t="shared" si="106"/>
        <v>0</v>
      </c>
      <c r="J515" s="151">
        <f t="shared" si="101"/>
        <v>0</v>
      </c>
      <c r="K515" s="154">
        <f t="shared" si="102"/>
        <v>0</v>
      </c>
      <c r="L515" s="167"/>
      <c r="M515" s="171"/>
      <c r="N515" s="155">
        <f t="shared" si="96"/>
        <v>7</v>
      </c>
      <c r="O515" s="123">
        <f t="shared" si="103"/>
        <v>24</v>
      </c>
      <c r="P515" s="124">
        <f t="shared" si="97"/>
        <v>0</v>
      </c>
      <c r="Q515" s="125"/>
      <c r="R515" s="125"/>
      <c r="S515" s="125"/>
      <c r="T515" s="125"/>
      <c r="U515" s="125"/>
      <c r="V515" s="125"/>
      <c r="W515" s="125"/>
      <c r="X515" s="125"/>
      <c r="Y515" s="125"/>
      <c r="Z515" s="125"/>
    </row>
    <row r="516" spans="1:26">
      <c r="A516" s="147">
        <v>509</v>
      </c>
      <c r="B516" s="148" t="str">
        <f t="shared" si="98"/>
        <v>43-й год 5-й мес</v>
      </c>
      <c r="C516" s="149">
        <f t="shared" si="104"/>
        <v>56683</v>
      </c>
      <c r="D516" s="150">
        <f t="shared" si="94"/>
        <v>0</v>
      </c>
      <c r="E516" s="151">
        <f t="shared" si="99"/>
        <v>0</v>
      </c>
      <c r="F516" s="151">
        <f t="shared" si="105"/>
        <v>0</v>
      </c>
      <c r="G516" s="152">
        <f t="shared" si="100"/>
        <v>0</v>
      </c>
      <c r="H516" s="153">
        <f t="shared" si="95"/>
        <v>0</v>
      </c>
      <c r="I516" s="151">
        <f t="shared" si="106"/>
        <v>0</v>
      </c>
      <c r="J516" s="151">
        <f t="shared" si="101"/>
        <v>0</v>
      </c>
      <c r="K516" s="154">
        <f t="shared" si="102"/>
        <v>0</v>
      </c>
      <c r="L516" s="167"/>
      <c r="M516" s="171"/>
      <c r="N516" s="155">
        <f t="shared" si="96"/>
        <v>7</v>
      </c>
      <c r="O516" s="123">
        <f t="shared" si="103"/>
        <v>24</v>
      </c>
      <c r="P516" s="124">
        <f t="shared" si="97"/>
        <v>0</v>
      </c>
      <c r="Q516" s="125"/>
      <c r="R516" s="125"/>
      <c r="S516" s="125"/>
      <c r="T516" s="125"/>
      <c r="U516" s="125"/>
      <c r="V516" s="125"/>
      <c r="W516" s="125"/>
      <c r="X516" s="125"/>
      <c r="Y516" s="125"/>
      <c r="Z516" s="125"/>
    </row>
    <row r="517" spans="1:26">
      <c r="A517" s="147">
        <v>510</v>
      </c>
      <c r="B517" s="148" t="str">
        <f t="shared" si="98"/>
        <v>43-й год 6-й мес</v>
      </c>
      <c r="C517" s="149">
        <f t="shared" si="104"/>
        <v>56714</v>
      </c>
      <c r="D517" s="150">
        <f t="shared" si="94"/>
        <v>0</v>
      </c>
      <c r="E517" s="151">
        <f t="shared" si="99"/>
        <v>0</v>
      </c>
      <c r="F517" s="151">
        <f t="shared" si="105"/>
        <v>0</v>
      </c>
      <c r="G517" s="152">
        <f t="shared" si="100"/>
        <v>0</v>
      </c>
      <c r="H517" s="153">
        <f t="shared" si="95"/>
        <v>0</v>
      </c>
      <c r="I517" s="151">
        <f t="shared" si="106"/>
        <v>0</v>
      </c>
      <c r="J517" s="151">
        <f t="shared" si="101"/>
        <v>0</v>
      </c>
      <c r="K517" s="154">
        <f t="shared" si="102"/>
        <v>0</v>
      </c>
      <c r="L517" s="167"/>
      <c r="M517" s="171"/>
      <c r="N517" s="155">
        <f t="shared" si="96"/>
        <v>7</v>
      </c>
      <c r="O517" s="123">
        <f t="shared" si="103"/>
        <v>24</v>
      </c>
      <c r="P517" s="124">
        <f t="shared" si="97"/>
        <v>0</v>
      </c>
      <c r="Q517" s="125"/>
      <c r="R517" s="125"/>
      <c r="S517" s="125"/>
      <c r="T517" s="125"/>
      <c r="U517" s="125"/>
      <c r="V517" s="125"/>
      <c r="W517" s="125"/>
      <c r="X517" s="125"/>
      <c r="Y517" s="125"/>
      <c r="Z517" s="125"/>
    </row>
    <row r="518" spans="1:26">
      <c r="A518" s="147">
        <v>511</v>
      </c>
      <c r="B518" s="148" t="str">
        <f t="shared" si="98"/>
        <v>43-й год 7-й мес</v>
      </c>
      <c r="C518" s="149">
        <f t="shared" si="104"/>
        <v>56744</v>
      </c>
      <c r="D518" s="150">
        <f t="shared" si="94"/>
        <v>0</v>
      </c>
      <c r="E518" s="151">
        <f t="shared" si="99"/>
        <v>0</v>
      </c>
      <c r="F518" s="151">
        <f t="shared" si="105"/>
        <v>0</v>
      </c>
      <c r="G518" s="152">
        <f t="shared" si="100"/>
        <v>0</v>
      </c>
      <c r="H518" s="153">
        <f t="shared" si="95"/>
        <v>0</v>
      </c>
      <c r="I518" s="151">
        <f t="shared" si="106"/>
        <v>0</v>
      </c>
      <c r="J518" s="151">
        <f t="shared" si="101"/>
        <v>0</v>
      </c>
      <c r="K518" s="154">
        <f t="shared" si="102"/>
        <v>0</v>
      </c>
      <c r="L518" s="167"/>
      <c r="M518" s="171"/>
      <c r="N518" s="155">
        <f t="shared" si="96"/>
        <v>7</v>
      </c>
      <c r="O518" s="123">
        <f t="shared" si="103"/>
        <v>24</v>
      </c>
      <c r="P518" s="124">
        <f t="shared" si="97"/>
        <v>0</v>
      </c>
      <c r="Q518" s="125"/>
      <c r="R518" s="125"/>
      <c r="S518" s="125"/>
      <c r="T518" s="125"/>
      <c r="U518" s="125"/>
      <c r="V518" s="125"/>
      <c r="W518" s="125"/>
      <c r="X518" s="125"/>
      <c r="Y518" s="125"/>
      <c r="Z518" s="125"/>
    </row>
    <row r="519" spans="1:26">
      <c r="A519" s="147">
        <v>512</v>
      </c>
      <c r="B519" s="148" t="str">
        <f t="shared" si="98"/>
        <v>43-й год 8-й мес</v>
      </c>
      <c r="C519" s="149">
        <f t="shared" si="104"/>
        <v>56775</v>
      </c>
      <c r="D519" s="150">
        <f t="shared" si="94"/>
        <v>0</v>
      </c>
      <c r="E519" s="151">
        <f t="shared" si="99"/>
        <v>0</v>
      </c>
      <c r="F519" s="151">
        <f t="shared" si="105"/>
        <v>0</v>
      </c>
      <c r="G519" s="152">
        <f t="shared" si="100"/>
        <v>0</v>
      </c>
      <c r="H519" s="153">
        <f t="shared" si="95"/>
        <v>0</v>
      </c>
      <c r="I519" s="151">
        <f t="shared" si="106"/>
        <v>0</v>
      </c>
      <c r="J519" s="151">
        <f t="shared" si="101"/>
        <v>0</v>
      </c>
      <c r="K519" s="154">
        <f t="shared" si="102"/>
        <v>0</v>
      </c>
      <c r="L519" s="167"/>
      <c r="M519" s="171"/>
      <c r="N519" s="155">
        <f t="shared" si="96"/>
        <v>7</v>
      </c>
      <c r="O519" s="123">
        <f t="shared" si="103"/>
        <v>24</v>
      </c>
      <c r="P519" s="124">
        <f t="shared" si="97"/>
        <v>0</v>
      </c>
      <c r="Q519" s="125"/>
      <c r="R519" s="125"/>
      <c r="S519" s="125"/>
      <c r="T519" s="125"/>
      <c r="U519" s="125"/>
      <c r="V519" s="125"/>
      <c r="W519" s="125"/>
      <c r="X519" s="125"/>
      <c r="Y519" s="125"/>
      <c r="Z519" s="125"/>
    </row>
    <row r="520" spans="1:26">
      <c r="A520" s="147">
        <v>513</v>
      </c>
      <c r="B520" s="173"/>
      <c r="C520" s="149">
        <f t="shared" si="104"/>
        <v>56805</v>
      </c>
      <c r="D520" s="150">
        <f t="shared" ref="D520:D583" si="107">IF(P520*$D$2/100/12/(1-(1+$D$2/100/12)^(-O520))&lt;G519,ROUNDUP(P520*$D$2/100/12/(1-(1+$D$2/100/12)^(-O520)),0),G519+F520)</f>
        <v>0</v>
      </c>
      <c r="E520" s="151">
        <f t="shared" si="99"/>
        <v>0</v>
      </c>
      <c r="F520" s="151">
        <f t="shared" si="105"/>
        <v>0</v>
      </c>
      <c r="G520" s="152">
        <f t="shared" si="100"/>
        <v>0</v>
      </c>
      <c r="H520" s="153">
        <f t="shared" ref="H520:H583" si="108">I520+J520</f>
        <v>0</v>
      </c>
      <c r="I520" s="151">
        <f t="shared" si="106"/>
        <v>0</v>
      </c>
      <c r="J520" s="151">
        <f t="shared" si="101"/>
        <v>0</v>
      </c>
      <c r="K520" s="154">
        <f t="shared" si="102"/>
        <v>0</v>
      </c>
      <c r="L520" s="167"/>
      <c r="M520" s="171"/>
      <c r="N520" s="155">
        <f t="shared" ref="N520:N583" si="109">IF(ISBLANK(L519),VALUE(N519),ROW(L519))</f>
        <v>7</v>
      </c>
      <c r="O520" s="123">
        <f t="shared" si="103"/>
        <v>24</v>
      </c>
      <c r="P520" s="124">
        <f t="shared" ref="P520:P583" si="110">INDEX(G:G,N520,1)</f>
        <v>0</v>
      </c>
      <c r="Q520" s="125"/>
      <c r="R520" s="125"/>
      <c r="S520" s="125"/>
      <c r="T520" s="125"/>
      <c r="U520" s="125"/>
      <c r="V520" s="125"/>
      <c r="W520" s="125"/>
      <c r="X520" s="125"/>
      <c r="Y520" s="125"/>
      <c r="Z520" s="125"/>
    </row>
    <row r="521" spans="1:26">
      <c r="A521" s="147">
        <v>514</v>
      </c>
      <c r="B521" s="173"/>
      <c r="C521" s="149">
        <f t="shared" si="104"/>
        <v>56836</v>
      </c>
      <c r="D521" s="150">
        <f t="shared" si="107"/>
        <v>0</v>
      </c>
      <c r="E521" s="151">
        <f t="shared" ref="E521:E584" si="111">D521-F521</f>
        <v>0</v>
      </c>
      <c r="F521" s="151">
        <f t="shared" si="105"/>
        <v>0</v>
      </c>
      <c r="G521" s="152">
        <f t="shared" ref="G521:G584" si="112">G520-E521-L521-M521</f>
        <v>0</v>
      </c>
      <c r="H521" s="153">
        <f t="shared" si="108"/>
        <v>0</v>
      </c>
      <c r="I521" s="151">
        <f t="shared" si="106"/>
        <v>0</v>
      </c>
      <c r="J521" s="151">
        <f t="shared" ref="J521:J584" si="113">K520*$D$2/12/100</f>
        <v>0</v>
      </c>
      <c r="K521" s="154">
        <f t="shared" ref="K521:K584" si="114">K520-I521-L521-M521</f>
        <v>0</v>
      </c>
      <c r="L521" s="167"/>
      <c r="M521" s="171"/>
      <c r="N521" s="155">
        <f t="shared" si="109"/>
        <v>7</v>
      </c>
      <c r="O521" s="123">
        <f t="shared" ref="O521:O584" si="115">O520+N520-N521</f>
        <v>24</v>
      </c>
      <c r="P521" s="124">
        <f t="shared" si="110"/>
        <v>0</v>
      </c>
      <c r="Q521" s="125"/>
      <c r="R521" s="125"/>
      <c r="S521" s="125"/>
      <c r="T521" s="125"/>
      <c r="U521" s="125"/>
      <c r="V521" s="125"/>
      <c r="W521" s="125"/>
      <c r="X521" s="125"/>
      <c r="Y521" s="125"/>
      <c r="Z521" s="125"/>
    </row>
    <row r="522" spans="1:26">
      <c r="A522" s="147">
        <v>515</v>
      </c>
      <c r="B522" s="173"/>
      <c r="C522" s="149">
        <f t="shared" ref="C522:C585" si="116">DATE(YEAR(C521),MONTH(C521)+1,DAY(C521))</f>
        <v>56867</v>
      </c>
      <c r="D522" s="150">
        <f t="shared" si="107"/>
        <v>0</v>
      </c>
      <c r="E522" s="151">
        <f t="shared" si="111"/>
        <v>0</v>
      </c>
      <c r="F522" s="151">
        <f t="shared" ref="F522:F585" si="117">G521*$D$2*(C522-C521)/(DATE(YEAR(C522)+1,1,1)-DATE(YEAR(C522),1,1))/100</f>
        <v>0</v>
      </c>
      <c r="G522" s="152">
        <f t="shared" si="112"/>
        <v>0</v>
      </c>
      <c r="H522" s="153">
        <f t="shared" si="108"/>
        <v>0</v>
      </c>
      <c r="I522" s="151">
        <f t="shared" ref="I522:I585" si="118">IF($D$1/$D$3&lt;K521,$D$1/$D$3,K521)</f>
        <v>0</v>
      </c>
      <c r="J522" s="151">
        <f t="shared" si="113"/>
        <v>0</v>
      </c>
      <c r="K522" s="154">
        <f t="shared" si="114"/>
        <v>0</v>
      </c>
      <c r="L522" s="167"/>
      <c r="M522" s="171"/>
      <c r="N522" s="155">
        <f t="shared" si="109"/>
        <v>7</v>
      </c>
      <c r="O522" s="123">
        <f t="shared" si="115"/>
        <v>24</v>
      </c>
      <c r="P522" s="124">
        <f t="shared" si="110"/>
        <v>0</v>
      </c>
      <c r="Q522" s="125"/>
      <c r="R522" s="125"/>
      <c r="S522" s="125"/>
      <c r="T522" s="125"/>
      <c r="U522" s="125"/>
      <c r="V522" s="125"/>
      <c r="W522" s="125"/>
      <c r="X522" s="125"/>
      <c r="Y522" s="125"/>
      <c r="Z522" s="125"/>
    </row>
    <row r="523" spans="1:26">
      <c r="A523" s="147">
        <v>516</v>
      </c>
      <c r="B523" s="173"/>
      <c r="C523" s="149">
        <f t="shared" si="116"/>
        <v>56897</v>
      </c>
      <c r="D523" s="150">
        <f t="shared" si="107"/>
        <v>0</v>
      </c>
      <c r="E523" s="151">
        <f t="shared" si="111"/>
        <v>0</v>
      </c>
      <c r="F523" s="151">
        <f t="shared" si="117"/>
        <v>0</v>
      </c>
      <c r="G523" s="152">
        <f t="shared" si="112"/>
        <v>0</v>
      </c>
      <c r="H523" s="153">
        <f t="shared" si="108"/>
        <v>0</v>
      </c>
      <c r="I523" s="151">
        <f t="shared" si="118"/>
        <v>0</v>
      </c>
      <c r="J523" s="151">
        <f t="shared" si="113"/>
        <v>0</v>
      </c>
      <c r="K523" s="154">
        <f t="shared" si="114"/>
        <v>0</v>
      </c>
      <c r="L523" s="167"/>
      <c r="M523" s="171"/>
      <c r="N523" s="155">
        <f t="shared" si="109"/>
        <v>7</v>
      </c>
      <c r="O523" s="123">
        <f t="shared" si="115"/>
        <v>24</v>
      </c>
      <c r="P523" s="124">
        <f t="shared" si="110"/>
        <v>0</v>
      </c>
      <c r="Q523" s="125"/>
      <c r="R523" s="125"/>
      <c r="S523" s="125"/>
      <c r="T523" s="125"/>
      <c r="U523" s="125"/>
      <c r="V523" s="125"/>
      <c r="W523" s="125"/>
      <c r="X523" s="125"/>
      <c r="Y523" s="125"/>
      <c r="Z523" s="125"/>
    </row>
    <row r="524" spans="1:26">
      <c r="A524" s="156">
        <v>517</v>
      </c>
      <c r="B524" s="174"/>
      <c r="C524" s="149">
        <f t="shared" si="116"/>
        <v>56928</v>
      </c>
      <c r="D524" s="150">
        <f t="shared" si="107"/>
        <v>0</v>
      </c>
      <c r="E524" s="157">
        <f t="shared" si="111"/>
        <v>0</v>
      </c>
      <c r="F524" s="151">
        <f t="shared" si="117"/>
        <v>0</v>
      </c>
      <c r="G524" s="158">
        <f t="shared" si="112"/>
        <v>0</v>
      </c>
      <c r="H524" s="159">
        <f t="shared" si="108"/>
        <v>0</v>
      </c>
      <c r="I524" s="157">
        <f t="shared" si="118"/>
        <v>0</v>
      </c>
      <c r="J524" s="157">
        <f t="shared" si="113"/>
        <v>0</v>
      </c>
      <c r="K524" s="160">
        <f t="shared" si="114"/>
        <v>0</v>
      </c>
      <c r="L524" s="169"/>
      <c r="M524" s="168"/>
      <c r="N524" s="155">
        <f t="shared" si="109"/>
        <v>7</v>
      </c>
      <c r="O524" s="123">
        <f t="shared" si="115"/>
        <v>24</v>
      </c>
      <c r="P524" s="124">
        <f t="shared" si="110"/>
        <v>0</v>
      </c>
      <c r="Q524" s="125"/>
      <c r="R524" s="125"/>
      <c r="S524" s="125"/>
      <c r="T524" s="125"/>
      <c r="U524" s="125"/>
      <c r="V524" s="125"/>
      <c r="W524" s="125"/>
      <c r="X524" s="125"/>
      <c r="Y524" s="125"/>
      <c r="Z524" s="125"/>
    </row>
    <row r="525" spans="1:26">
      <c r="A525" s="161">
        <v>518</v>
      </c>
      <c r="B525" s="174"/>
      <c r="C525" s="149">
        <f t="shared" si="116"/>
        <v>56958</v>
      </c>
      <c r="D525" s="150">
        <f t="shared" si="107"/>
        <v>0</v>
      </c>
      <c r="E525" s="151">
        <f t="shared" si="111"/>
        <v>0</v>
      </c>
      <c r="F525" s="151">
        <f t="shared" si="117"/>
        <v>0</v>
      </c>
      <c r="G525" s="152">
        <f t="shared" si="112"/>
        <v>0</v>
      </c>
      <c r="H525" s="153">
        <f t="shared" si="108"/>
        <v>0</v>
      </c>
      <c r="I525" s="151">
        <f t="shared" si="118"/>
        <v>0</v>
      </c>
      <c r="J525" s="151">
        <f t="shared" si="113"/>
        <v>0</v>
      </c>
      <c r="K525" s="154">
        <f t="shared" si="114"/>
        <v>0</v>
      </c>
      <c r="L525" s="167"/>
      <c r="M525" s="171"/>
      <c r="N525" s="155">
        <f t="shared" si="109"/>
        <v>7</v>
      </c>
      <c r="O525" s="123">
        <f t="shared" si="115"/>
        <v>24</v>
      </c>
      <c r="P525" s="124">
        <f t="shared" si="110"/>
        <v>0</v>
      </c>
      <c r="Q525" s="125"/>
      <c r="R525" s="125"/>
      <c r="S525" s="125"/>
      <c r="T525" s="125"/>
      <c r="U525" s="125"/>
      <c r="V525" s="125"/>
      <c r="W525" s="125"/>
      <c r="X525" s="125"/>
      <c r="Y525" s="125"/>
      <c r="Z525" s="125"/>
    </row>
    <row r="526" spans="1:26">
      <c r="A526" s="161">
        <v>519</v>
      </c>
      <c r="B526" s="174"/>
      <c r="C526" s="149">
        <f t="shared" si="116"/>
        <v>56989</v>
      </c>
      <c r="D526" s="150">
        <f t="shared" si="107"/>
        <v>0</v>
      </c>
      <c r="E526" s="151">
        <f t="shared" si="111"/>
        <v>0</v>
      </c>
      <c r="F526" s="151">
        <f t="shared" si="117"/>
        <v>0</v>
      </c>
      <c r="G526" s="152">
        <f t="shared" si="112"/>
        <v>0</v>
      </c>
      <c r="H526" s="153">
        <f t="shared" si="108"/>
        <v>0</v>
      </c>
      <c r="I526" s="151">
        <f t="shared" si="118"/>
        <v>0</v>
      </c>
      <c r="J526" s="151">
        <f t="shared" si="113"/>
        <v>0</v>
      </c>
      <c r="K526" s="154">
        <f t="shared" si="114"/>
        <v>0</v>
      </c>
      <c r="L526" s="167"/>
      <c r="M526" s="171"/>
      <c r="N526" s="155">
        <f t="shared" si="109"/>
        <v>7</v>
      </c>
      <c r="O526" s="123">
        <f t="shared" si="115"/>
        <v>24</v>
      </c>
      <c r="P526" s="124">
        <f t="shared" si="110"/>
        <v>0</v>
      </c>
      <c r="Q526" s="125"/>
      <c r="R526" s="125"/>
      <c r="S526" s="125"/>
      <c r="T526" s="125"/>
      <c r="U526" s="125"/>
      <c r="V526" s="125"/>
      <c r="W526" s="125"/>
      <c r="X526" s="125"/>
      <c r="Y526" s="125"/>
      <c r="Z526" s="125"/>
    </row>
    <row r="527" spans="1:26">
      <c r="A527" s="161">
        <v>520</v>
      </c>
      <c r="B527" s="174"/>
      <c r="C527" s="149">
        <f t="shared" si="116"/>
        <v>57020</v>
      </c>
      <c r="D527" s="150">
        <f t="shared" si="107"/>
        <v>0</v>
      </c>
      <c r="E527" s="151">
        <f t="shared" si="111"/>
        <v>0</v>
      </c>
      <c r="F527" s="151">
        <f t="shared" si="117"/>
        <v>0</v>
      </c>
      <c r="G527" s="152">
        <f t="shared" si="112"/>
        <v>0</v>
      </c>
      <c r="H527" s="153">
        <f t="shared" si="108"/>
        <v>0</v>
      </c>
      <c r="I527" s="151">
        <f t="shared" si="118"/>
        <v>0</v>
      </c>
      <c r="J527" s="151">
        <f t="shared" si="113"/>
        <v>0</v>
      </c>
      <c r="K527" s="154">
        <f t="shared" si="114"/>
        <v>0</v>
      </c>
      <c r="L527" s="167"/>
      <c r="M527" s="171"/>
      <c r="N527" s="155">
        <f t="shared" si="109"/>
        <v>7</v>
      </c>
      <c r="O527" s="123">
        <f t="shared" si="115"/>
        <v>24</v>
      </c>
      <c r="P527" s="124">
        <f t="shared" si="110"/>
        <v>0</v>
      </c>
      <c r="Q527" s="125"/>
      <c r="R527" s="125"/>
      <c r="S527" s="125"/>
      <c r="T527" s="125"/>
      <c r="U527" s="125"/>
      <c r="V527" s="125"/>
      <c r="W527" s="125"/>
      <c r="X527" s="125"/>
      <c r="Y527" s="125"/>
      <c r="Z527" s="125"/>
    </row>
    <row r="528" spans="1:26">
      <c r="A528" s="161">
        <v>521</v>
      </c>
      <c r="B528" s="174"/>
      <c r="C528" s="149">
        <f t="shared" si="116"/>
        <v>57049</v>
      </c>
      <c r="D528" s="150">
        <f t="shared" si="107"/>
        <v>0</v>
      </c>
      <c r="E528" s="151">
        <f t="shared" si="111"/>
        <v>0</v>
      </c>
      <c r="F528" s="151">
        <f t="shared" si="117"/>
        <v>0</v>
      </c>
      <c r="G528" s="152">
        <f t="shared" si="112"/>
        <v>0</v>
      </c>
      <c r="H528" s="153">
        <f t="shared" si="108"/>
        <v>0</v>
      </c>
      <c r="I528" s="151">
        <f t="shared" si="118"/>
        <v>0</v>
      </c>
      <c r="J528" s="151">
        <f t="shared" si="113"/>
        <v>0</v>
      </c>
      <c r="K528" s="154">
        <f t="shared" si="114"/>
        <v>0</v>
      </c>
      <c r="L528" s="167"/>
      <c r="M528" s="171"/>
      <c r="N528" s="155">
        <f t="shared" si="109"/>
        <v>7</v>
      </c>
      <c r="O528" s="123">
        <f t="shared" si="115"/>
        <v>24</v>
      </c>
      <c r="P528" s="124">
        <f t="shared" si="110"/>
        <v>0</v>
      </c>
      <c r="Q528" s="125"/>
      <c r="R528" s="125"/>
      <c r="S528" s="125"/>
      <c r="T528" s="125"/>
      <c r="U528" s="125"/>
      <c r="V528" s="125"/>
      <c r="W528" s="125"/>
      <c r="X528" s="125"/>
      <c r="Y528" s="125"/>
      <c r="Z528" s="125"/>
    </row>
    <row r="529" spans="1:26">
      <c r="A529" s="161">
        <v>522</v>
      </c>
      <c r="B529" s="174"/>
      <c r="C529" s="149">
        <f t="shared" si="116"/>
        <v>57080</v>
      </c>
      <c r="D529" s="150">
        <f t="shared" si="107"/>
        <v>0</v>
      </c>
      <c r="E529" s="151">
        <f t="shared" si="111"/>
        <v>0</v>
      </c>
      <c r="F529" s="151">
        <f t="shared" si="117"/>
        <v>0</v>
      </c>
      <c r="G529" s="152">
        <f t="shared" si="112"/>
        <v>0</v>
      </c>
      <c r="H529" s="153">
        <f t="shared" si="108"/>
        <v>0</v>
      </c>
      <c r="I529" s="151">
        <f t="shared" si="118"/>
        <v>0</v>
      </c>
      <c r="J529" s="151">
        <f t="shared" si="113"/>
        <v>0</v>
      </c>
      <c r="K529" s="154">
        <f t="shared" si="114"/>
        <v>0</v>
      </c>
      <c r="L529" s="167"/>
      <c r="M529" s="171"/>
      <c r="N529" s="155">
        <f t="shared" si="109"/>
        <v>7</v>
      </c>
      <c r="O529" s="123">
        <f t="shared" si="115"/>
        <v>24</v>
      </c>
      <c r="P529" s="124">
        <f t="shared" si="110"/>
        <v>0</v>
      </c>
      <c r="Q529" s="125"/>
      <c r="R529" s="125"/>
      <c r="S529" s="125"/>
      <c r="T529" s="125"/>
      <c r="U529" s="125"/>
      <c r="V529" s="125"/>
      <c r="W529" s="125"/>
      <c r="X529" s="125"/>
      <c r="Y529" s="125"/>
      <c r="Z529" s="125"/>
    </row>
    <row r="530" spans="1:26">
      <c r="A530" s="161">
        <v>523</v>
      </c>
      <c r="B530" s="174"/>
      <c r="C530" s="149">
        <f t="shared" si="116"/>
        <v>57110</v>
      </c>
      <c r="D530" s="150">
        <f t="shared" si="107"/>
        <v>0</v>
      </c>
      <c r="E530" s="151">
        <f t="shared" si="111"/>
        <v>0</v>
      </c>
      <c r="F530" s="151">
        <f t="shared" si="117"/>
        <v>0</v>
      </c>
      <c r="G530" s="152">
        <f t="shared" si="112"/>
        <v>0</v>
      </c>
      <c r="H530" s="153">
        <f t="shared" si="108"/>
        <v>0</v>
      </c>
      <c r="I530" s="151">
        <f t="shared" si="118"/>
        <v>0</v>
      </c>
      <c r="J530" s="151">
        <f t="shared" si="113"/>
        <v>0</v>
      </c>
      <c r="K530" s="154">
        <f t="shared" si="114"/>
        <v>0</v>
      </c>
      <c r="L530" s="167"/>
      <c r="M530" s="171"/>
      <c r="N530" s="155">
        <f t="shared" si="109"/>
        <v>7</v>
      </c>
      <c r="O530" s="123">
        <f t="shared" si="115"/>
        <v>24</v>
      </c>
      <c r="P530" s="124">
        <f t="shared" si="110"/>
        <v>0</v>
      </c>
      <c r="Q530" s="125"/>
      <c r="R530" s="125"/>
      <c r="S530" s="125"/>
      <c r="T530" s="125"/>
      <c r="U530" s="125"/>
      <c r="V530" s="125"/>
      <c r="W530" s="125"/>
      <c r="X530" s="125"/>
      <c r="Y530" s="125"/>
      <c r="Z530" s="125"/>
    </row>
    <row r="531" spans="1:26">
      <c r="A531" s="161">
        <v>524</v>
      </c>
      <c r="B531" s="174"/>
      <c r="C531" s="149">
        <f t="shared" si="116"/>
        <v>57141</v>
      </c>
      <c r="D531" s="150">
        <f t="shared" si="107"/>
        <v>0</v>
      </c>
      <c r="E531" s="151">
        <f t="shared" si="111"/>
        <v>0</v>
      </c>
      <c r="F531" s="151">
        <f t="shared" si="117"/>
        <v>0</v>
      </c>
      <c r="G531" s="152">
        <f t="shared" si="112"/>
        <v>0</v>
      </c>
      <c r="H531" s="153">
        <f t="shared" si="108"/>
        <v>0</v>
      </c>
      <c r="I531" s="151">
        <f t="shared" si="118"/>
        <v>0</v>
      </c>
      <c r="J531" s="151">
        <f t="shared" si="113"/>
        <v>0</v>
      </c>
      <c r="K531" s="154">
        <f t="shared" si="114"/>
        <v>0</v>
      </c>
      <c r="L531" s="167"/>
      <c r="M531" s="171"/>
      <c r="N531" s="155">
        <f t="shared" si="109"/>
        <v>7</v>
      </c>
      <c r="O531" s="123">
        <f t="shared" si="115"/>
        <v>24</v>
      </c>
      <c r="P531" s="124">
        <f t="shared" si="110"/>
        <v>0</v>
      </c>
      <c r="Q531" s="125"/>
      <c r="R531" s="125"/>
      <c r="S531" s="125"/>
      <c r="T531" s="125"/>
      <c r="U531" s="125"/>
      <c r="V531" s="125"/>
      <c r="W531" s="125"/>
      <c r="X531" s="125"/>
      <c r="Y531" s="125"/>
      <c r="Z531" s="125"/>
    </row>
    <row r="532" spans="1:26">
      <c r="A532" s="161">
        <v>525</v>
      </c>
      <c r="B532" s="174"/>
      <c r="C532" s="149">
        <f t="shared" si="116"/>
        <v>57171</v>
      </c>
      <c r="D532" s="150">
        <f t="shared" si="107"/>
        <v>0</v>
      </c>
      <c r="E532" s="151">
        <f t="shared" si="111"/>
        <v>0</v>
      </c>
      <c r="F532" s="151">
        <f t="shared" si="117"/>
        <v>0</v>
      </c>
      <c r="G532" s="152">
        <f t="shared" si="112"/>
        <v>0</v>
      </c>
      <c r="H532" s="153">
        <f t="shared" si="108"/>
        <v>0</v>
      </c>
      <c r="I532" s="151">
        <f t="shared" si="118"/>
        <v>0</v>
      </c>
      <c r="J532" s="151">
        <f t="shared" si="113"/>
        <v>0</v>
      </c>
      <c r="K532" s="154">
        <f t="shared" si="114"/>
        <v>0</v>
      </c>
      <c r="L532" s="167"/>
      <c r="M532" s="171"/>
      <c r="N532" s="155">
        <f t="shared" si="109"/>
        <v>7</v>
      </c>
      <c r="O532" s="123">
        <f t="shared" si="115"/>
        <v>24</v>
      </c>
      <c r="P532" s="124">
        <f t="shared" si="110"/>
        <v>0</v>
      </c>
      <c r="Q532" s="125"/>
      <c r="R532" s="125"/>
      <c r="S532" s="125"/>
      <c r="T532" s="125"/>
      <c r="U532" s="125"/>
      <c r="V532" s="125"/>
      <c r="W532" s="125"/>
      <c r="X532" s="125"/>
      <c r="Y532" s="125"/>
      <c r="Z532" s="125"/>
    </row>
    <row r="533" spans="1:26">
      <c r="A533" s="161">
        <v>526</v>
      </c>
      <c r="B533" s="174"/>
      <c r="C533" s="149">
        <f t="shared" si="116"/>
        <v>57202</v>
      </c>
      <c r="D533" s="150">
        <f t="shared" si="107"/>
        <v>0</v>
      </c>
      <c r="E533" s="151">
        <f t="shared" si="111"/>
        <v>0</v>
      </c>
      <c r="F533" s="151">
        <f t="shared" si="117"/>
        <v>0</v>
      </c>
      <c r="G533" s="152">
        <f t="shared" si="112"/>
        <v>0</v>
      </c>
      <c r="H533" s="153">
        <f t="shared" si="108"/>
        <v>0</v>
      </c>
      <c r="I533" s="151">
        <f t="shared" si="118"/>
        <v>0</v>
      </c>
      <c r="J533" s="151">
        <f t="shared" si="113"/>
        <v>0</v>
      </c>
      <c r="K533" s="154">
        <f t="shared" si="114"/>
        <v>0</v>
      </c>
      <c r="L533" s="167"/>
      <c r="M533" s="171"/>
      <c r="N533" s="155">
        <f t="shared" si="109"/>
        <v>7</v>
      </c>
      <c r="O533" s="123">
        <f t="shared" si="115"/>
        <v>24</v>
      </c>
      <c r="P533" s="124">
        <f t="shared" si="110"/>
        <v>0</v>
      </c>
      <c r="Q533" s="125"/>
      <c r="R533" s="125"/>
      <c r="S533" s="125"/>
      <c r="T533" s="125"/>
      <c r="U533" s="125"/>
      <c r="V533" s="125"/>
      <c r="W533" s="125"/>
      <c r="X533" s="125"/>
      <c r="Y533" s="125"/>
      <c r="Z533" s="125"/>
    </row>
    <row r="534" spans="1:26">
      <c r="A534" s="161">
        <v>527</v>
      </c>
      <c r="B534" s="174"/>
      <c r="C534" s="149">
        <f t="shared" si="116"/>
        <v>57233</v>
      </c>
      <c r="D534" s="150">
        <f t="shared" si="107"/>
        <v>0</v>
      </c>
      <c r="E534" s="151">
        <f t="shared" si="111"/>
        <v>0</v>
      </c>
      <c r="F534" s="151">
        <f t="shared" si="117"/>
        <v>0</v>
      </c>
      <c r="G534" s="152">
        <f t="shared" si="112"/>
        <v>0</v>
      </c>
      <c r="H534" s="153">
        <f t="shared" si="108"/>
        <v>0</v>
      </c>
      <c r="I534" s="151">
        <f t="shared" si="118"/>
        <v>0</v>
      </c>
      <c r="J534" s="151">
        <f t="shared" si="113"/>
        <v>0</v>
      </c>
      <c r="K534" s="154">
        <f t="shared" si="114"/>
        <v>0</v>
      </c>
      <c r="L534" s="167"/>
      <c r="M534" s="171"/>
      <c r="N534" s="155">
        <f t="shared" si="109"/>
        <v>7</v>
      </c>
      <c r="O534" s="123">
        <f t="shared" si="115"/>
        <v>24</v>
      </c>
      <c r="P534" s="124">
        <f t="shared" si="110"/>
        <v>0</v>
      </c>
      <c r="Q534" s="125"/>
      <c r="R534" s="125"/>
      <c r="S534" s="125"/>
      <c r="T534" s="125"/>
      <c r="U534" s="125"/>
      <c r="V534" s="125"/>
      <c r="W534" s="125"/>
      <c r="X534" s="125"/>
      <c r="Y534" s="125"/>
      <c r="Z534" s="125"/>
    </row>
    <row r="535" spans="1:26">
      <c r="A535" s="162">
        <v>528</v>
      </c>
      <c r="B535" s="174"/>
      <c r="C535" s="149">
        <f t="shared" si="116"/>
        <v>57263</v>
      </c>
      <c r="D535" s="150">
        <f t="shared" si="107"/>
        <v>0</v>
      </c>
      <c r="E535" s="163">
        <f t="shared" si="111"/>
        <v>0</v>
      </c>
      <c r="F535" s="151">
        <f t="shared" si="117"/>
        <v>0</v>
      </c>
      <c r="G535" s="164">
        <f t="shared" si="112"/>
        <v>0</v>
      </c>
      <c r="H535" s="165">
        <f t="shared" si="108"/>
        <v>0</v>
      </c>
      <c r="I535" s="163">
        <f t="shared" si="118"/>
        <v>0</v>
      </c>
      <c r="J535" s="163">
        <f t="shared" si="113"/>
        <v>0</v>
      </c>
      <c r="K535" s="166">
        <f t="shared" si="114"/>
        <v>0</v>
      </c>
      <c r="L535" s="170"/>
      <c r="M535" s="172"/>
      <c r="N535" s="155">
        <f t="shared" si="109"/>
        <v>7</v>
      </c>
      <c r="O535" s="123">
        <f t="shared" si="115"/>
        <v>24</v>
      </c>
      <c r="P535" s="124">
        <f t="shared" si="110"/>
        <v>0</v>
      </c>
      <c r="Q535" s="125"/>
      <c r="R535" s="125"/>
      <c r="S535" s="125"/>
      <c r="T535" s="125"/>
      <c r="U535" s="125"/>
      <c r="V535" s="125"/>
      <c r="W535" s="125"/>
      <c r="X535" s="125"/>
      <c r="Y535" s="125"/>
      <c r="Z535" s="125"/>
    </row>
    <row r="536" spans="1:26">
      <c r="A536" s="147">
        <v>529</v>
      </c>
      <c r="B536" s="173"/>
      <c r="C536" s="149">
        <f t="shared" si="116"/>
        <v>57294</v>
      </c>
      <c r="D536" s="150">
        <f t="shared" si="107"/>
        <v>0</v>
      </c>
      <c r="E536" s="151">
        <f t="shared" si="111"/>
        <v>0</v>
      </c>
      <c r="F536" s="151">
        <f t="shared" si="117"/>
        <v>0</v>
      </c>
      <c r="G536" s="152">
        <f t="shared" si="112"/>
        <v>0</v>
      </c>
      <c r="H536" s="153">
        <f t="shared" si="108"/>
        <v>0</v>
      </c>
      <c r="I536" s="151">
        <f t="shared" si="118"/>
        <v>0</v>
      </c>
      <c r="J536" s="151">
        <f t="shared" si="113"/>
        <v>0</v>
      </c>
      <c r="K536" s="154">
        <f t="shared" si="114"/>
        <v>0</v>
      </c>
      <c r="L536" s="167"/>
      <c r="M536" s="171"/>
      <c r="N536" s="155">
        <f t="shared" si="109"/>
        <v>7</v>
      </c>
      <c r="O536" s="123">
        <f t="shared" si="115"/>
        <v>24</v>
      </c>
      <c r="P536" s="124">
        <f t="shared" si="110"/>
        <v>0</v>
      </c>
      <c r="Q536" s="125"/>
      <c r="R536" s="125"/>
      <c r="S536" s="125"/>
      <c r="T536" s="125"/>
      <c r="U536" s="125"/>
      <c r="V536" s="125"/>
      <c r="W536" s="125"/>
      <c r="X536" s="125"/>
      <c r="Y536" s="125"/>
      <c r="Z536" s="125"/>
    </row>
    <row r="537" spans="1:26">
      <c r="A537" s="147">
        <v>530</v>
      </c>
      <c r="B537" s="173"/>
      <c r="C537" s="149">
        <f t="shared" si="116"/>
        <v>57324</v>
      </c>
      <c r="D537" s="150">
        <f t="shared" si="107"/>
        <v>0</v>
      </c>
      <c r="E537" s="151">
        <f t="shared" si="111"/>
        <v>0</v>
      </c>
      <c r="F537" s="151">
        <f t="shared" si="117"/>
        <v>0</v>
      </c>
      <c r="G537" s="152">
        <f t="shared" si="112"/>
        <v>0</v>
      </c>
      <c r="H537" s="153">
        <f t="shared" si="108"/>
        <v>0</v>
      </c>
      <c r="I537" s="151">
        <f t="shared" si="118"/>
        <v>0</v>
      </c>
      <c r="J537" s="151">
        <f t="shared" si="113"/>
        <v>0</v>
      </c>
      <c r="K537" s="154">
        <f t="shared" si="114"/>
        <v>0</v>
      </c>
      <c r="L537" s="167"/>
      <c r="M537" s="171"/>
      <c r="N537" s="155">
        <f t="shared" si="109"/>
        <v>7</v>
      </c>
      <c r="O537" s="123">
        <f t="shared" si="115"/>
        <v>24</v>
      </c>
      <c r="P537" s="124">
        <f t="shared" si="110"/>
        <v>0</v>
      </c>
      <c r="Q537" s="125"/>
      <c r="R537" s="125"/>
      <c r="S537" s="125"/>
      <c r="T537" s="125"/>
      <c r="U537" s="125"/>
      <c r="V537" s="125"/>
      <c r="W537" s="125"/>
      <c r="X537" s="125"/>
      <c r="Y537" s="125"/>
      <c r="Z537" s="125"/>
    </row>
    <row r="538" spans="1:26">
      <c r="A538" s="147">
        <v>531</v>
      </c>
      <c r="B538" s="173"/>
      <c r="C538" s="149">
        <f t="shared" si="116"/>
        <v>57355</v>
      </c>
      <c r="D538" s="150">
        <f t="shared" si="107"/>
        <v>0</v>
      </c>
      <c r="E538" s="151">
        <f t="shared" si="111"/>
        <v>0</v>
      </c>
      <c r="F538" s="151">
        <f t="shared" si="117"/>
        <v>0</v>
      </c>
      <c r="G538" s="152">
        <f t="shared" si="112"/>
        <v>0</v>
      </c>
      <c r="H538" s="153">
        <f t="shared" si="108"/>
        <v>0</v>
      </c>
      <c r="I538" s="151">
        <f t="shared" si="118"/>
        <v>0</v>
      </c>
      <c r="J538" s="151">
        <f t="shared" si="113"/>
        <v>0</v>
      </c>
      <c r="K538" s="154">
        <f t="shared" si="114"/>
        <v>0</v>
      </c>
      <c r="L538" s="167"/>
      <c r="M538" s="171"/>
      <c r="N538" s="155">
        <f t="shared" si="109"/>
        <v>7</v>
      </c>
      <c r="O538" s="123">
        <f t="shared" si="115"/>
        <v>24</v>
      </c>
      <c r="P538" s="124">
        <f t="shared" si="110"/>
        <v>0</v>
      </c>
      <c r="Q538" s="125"/>
      <c r="R538" s="125"/>
      <c r="S538" s="125"/>
      <c r="T538" s="125"/>
      <c r="U538" s="125"/>
      <c r="V538" s="125"/>
      <c r="W538" s="125"/>
      <c r="X538" s="125"/>
      <c r="Y538" s="125"/>
      <c r="Z538" s="125"/>
    </row>
    <row r="539" spans="1:26">
      <c r="A539" s="147">
        <v>532</v>
      </c>
      <c r="B539" s="173"/>
      <c r="C539" s="149">
        <f t="shared" si="116"/>
        <v>57386</v>
      </c>
      <c r="D539" s="150">
        <f t="shared" si="107"/>
        <v>0</v>
      </c>
      <c r="E539" s="151">
        <f t="shared" si="111"/>
        <v>0</v>
      </c>
      <c r="F539" s="151">
        <f t="shared" si="117"/>
        <v>0</v>
      </c>
      <c r="G539" s="152">
        <f t="shared" si="112"/>
        <v>0</v>
      </c>
      <c r="H539" s="153">
        <f t="shared" si="108"/>
        <v>0</v>
      </c>
      <c r="I539" s="151">
        <f t="shared" si="118"/>
        <v>0</v>
      </c>
      <c r="J539" s="151">
        <f t="shared" si="113"/>
        <v>0</v>
      </c>
      <c r="K539" s="154">
        <f t="shared" si="114"/>
        <v>0</v>
      </c>
      <c r="L539" s="167"/>
      <c r="M539" s="171"/>
      <c r="N539" s="155">
        <f t="shared" si="109"/>
        <v>7</v>
      </c>
      <c r="O539" s="123">
        <f t="shared" si="115"/>
        <v>24</v>
      </c>
      <c r="P539" s="124">
        <f t="shared" si="110"/>
        <v>0</v>
      </c>
      <c r="Q539" s="125"/>
      <c r="R539" s="125"/>
      <c r="S539" s="125"/>
      <c r="T539" s="125"/>
      <c r="U539" s="125"/>
      <c r="V539" s="125"/>
      <c r="W539" s="125"/>
      <c r="X539" s="125"/>
      <c r="Y539" s="125"/>
      <c r="Z539" s="125"/>
    </row>
    <row r="540" spans="1:26">
      <c r="A540" s="147">
        <v>533</v>
      </c>
      <c r="B540" s="173"/>
      <c r="C540" s="149">
        <f t="shared" si="116"/>
        <v>57414</v>
      </c>
      <c r="D540" s="150">
        <f t="shared" si="107"/>
        <v>0</v>
      </c>
      <c r="E540" s="151">
        <f t="shared" si="111"/>
        <v>0</v>
      </c>
      <c r="F540" s="151">
        <f t="shared" si="117"/>
        <v>0</v>
      </c>
      <c r="G540" s="152">
        <f t="shared" si="112"/>
        <v>0</v>
      </c>
      <c r="H540" s="153">
        <f t="shared" si="108"/>
        <v>0</v>
      </c>
      <c r="I540" s="151">
        <f t="shared" si="118"/>
        <v>0</v>
      </c>
      <c r="J540" s="151">
        <f t="shared" si="113"/>
        <v>0</v>
      </c>
      <c r="K540" s="154">
        <f t="shared" si="114"/>
        <v>0</v>
      </c>
      <c r="L540" s="167"/>
      <c r="M540" s="171"/>
      <c r="N540" s="155">
        <f t="shared" si="109"/>
        <v>7</v>
      </c>
      <c r="O540" s="123">
        <f t="shared" si="115"/>
        <v>24</v>
      </c>
      <c r="P540" s="124">
        <f t="shared" si="110"/>
        <v>0</v>
      </c>
      <c r="Q540" s="125"/>
      <c r="R540" s="125"/>
      <c r="S540" s="125"/>
      <c r="T540" s="125"/>
      <c r="U540" s="125"/>
      <c r="V540" s="125"/>
      <c r="W540" s="125"/>
      <c r="X540" s="125"/>
      <c r="Y540" s="125"/>
      <c r="Z540" s="125"/>
    </row>
    <row r="541" spans="1:26">
      <c r="A541" s="147">
        <v>534</v>
      </c>
      <c r="B541" s="173"/>
      <c r="C541" s="149">
        <f t="shared" si="116"/>
        <v>57445</v>
      </c>
      <c r="D541" s="150">
        <f t="shared" si="107"/>
        <v>0</v>
      </c>
      <c r="E541" s="151">
        <f t="shared" si="111"/>
        <v>0</v>
      </c>
      <c r="F541" s="151">
        <f t="shared" si="117"/>
        <v>0</v>
      </c>
      <c r="G541" s="152">
        <f t="shared" si="112"/>
        <v>0</v>
      </c>
      <c r="H541" s="153">
        <f t="shared" si="108"/>
        <v>0</v>
      </c>
      <c r="I541" s="151">
        <f t="shared" si="118"/>
        <v>0</v>
      </c>
      <c r="J541" s="151">
        <f t="shared" si="113"/>
        <v>0</v>
      </c>
      <c r="K541" s="154">
        <f t="shared" si="114"/>
        <v>0</v>
      </c>
      <c r="L541" s="167"/>
      <c r="M541" s="171"/>
      <c r="N541" s="155">
        <f t="shared" si="109"/>
        <v>7</v>
      </c>
      <c r="O541" s="123">
        <f t="shared" si="115"/>
        <v>24</v>
      </c>
      <c r="P541" s="124">
        <f t="shared" si="110"/>
        <v>0</v>
      </c>
      <c r="Q541" s="125"/>
      <c r="R541" s="125"/>
      <c r="S541" s="125"/>
      <c r="T541" s="125"/>
      <c r="U541" s="125"/>
      <c r="V541" s="125"/>
      <c r="W541" s="125"/>
      <c r="X541" s="125"/>
      <c r="Y541" s="125"/>
      <c r="Z541" s="125"/>
    </row>
    <row r="542" spans="1:26">
      <c r="A542" s="147">
        <v>535</v>
      </c>
      <c r="B542" s="173"/>
      <c r="C542" s="149">
        <f t="shared" si="116"/>
        <v>57475</v>
      </c>
      <c r="D542" s="150">
        <f t="shared" si="107"/>
        <v>0</v>
      </c>
      <c r="E542" s="151">
        <f t="shared" si="111"/>
        <v>0</v>
      </c>
      <c r="F542" s="151">
        <f t="shared" si="117"/>
        <v>0</v>
      </c>
      <c r="G542" s="152">
        <f t="shared" si="112"/>
        <v>0</v>
      </c>
      <c r="H542" s="153">
        <f t="shared" si="108"/>
        <v>0</v>
      </c>
      <c r="I542" s="151">
        <f t="shared" si="118"/>
        <v>0</v>
      </c>
      <c r="J542" s="151">
        <f t="shared" si="113"/>
        <v>0</v>
      </c>
      <c r="K542" s="154">
        <f t="shared" si="114"/>
        <v>0</v>
      </c>
      <c r="L542" s="167"/>
      <c r="M542" s="171"/>
      <c r="N542" s="155">
        <f t="shared" si="109"/>
        <v>7</v>
      </c>
      <c r="O542" s="123">
        <f t="shared" si="115"/>
        <v>24</v>
      </c>
      <c r="P542" s="124">
        <f t="shared" si="110"/>
        <v>0</v>
      </c>
      <c r="Q542" s="125"/>
      <c r="R542" s="125"/>
      <c r="S542" s="125"/>
      <c r="T542" s="125"/>
      <c r="U542" s="125"/>
      <c r="V542" s="125"/>
      <c r="W542" s="125"/>
      <c r="X542" s="125"/>
      <c r="Y542" s="125"/>
      <c r="Z542" s="125"/>
    </row>
    <row r="543" spans="1:26">
      <c r="A543" s="147">
        <v>536</v>
      </c>
      <c r="B543" s="173"/>
      <c r="C543" s="149">
        <f t="shared" si="116"/>
        <v>57506</v>
      </c>
      <c r="D543" s="150">
        <f t="shared" si="107"/>
        <v>0</v>
      </c>
      <c r="E543" s="151">
        <f t="shared" si="111"/>
        <v>0</v>
      </c>
      <c r="F543" s="151">
        <f t="shared" si="117"/>
        <v>0</v>
      </c>
      <c r="G543" s="152">
        <f t="shared" si="112"/>
        <v>0</v>
      </c>
      <c r="H543" s="153">
        <f t="shared" si="108"/>
        <v>0</v>
      </c>
      <c r="I543" s="151">
        <f t="shared" si="118"/>
        <v>0</v>
      </c>
      <c r="J543" s="151">
        <f t="shared" si="113"/>
        <v>0</v>
      </c>
      <c r="K543" s="154">
        <f t="shared" si="114"/>
        <v>0</v>
      </c>
      <c r="L543" s="167"/>
      <c r="M543" s="171"/>
      <c r="N543" s="155">
        <f t="shared" si="109"/>
        <v>7</v>
      </c>
      <c r="O543" s="123">
        <f t="shared" si="115"/>
        <v>24</v>
      </c>
      <c r="P543" s="124">
        <f t="shared" si="110"/>
        <v>0</v>
      </c>
      <c r="Q543" s="125"/>
      <c r="R543" s="125"/>
      <c r="S543" s="125"/>
      <c r="T543" s="125"/>
      <c r="U543" s="125"/>
      <c r="V543" s="125"/>
      <c r="W543" s="125"/>
      <c r="X543" s="125"/>
      <c r="Y543" s="125"/>
      <c r="Z543" s="125"/>
    </row>
    <row r="544" spans="1:26">
      <c r="A544" s="147">
        <v>537</v>
      </c>
      <c r="B544" s="173"/>
      <c r="C544" s="149">
        <f t="shared" si="116"/>
        <v>57536</v>
      </c>
      <c r="D544" s="150">
        <f t="shared" si="107"/>
        <v>0</v>
      </c>
      <c r="E544" s="151">
        <f t="shared" si="111"/>
        <v>0</v>
      </c>
      <c r="F544" s="151">
        <f t="shared" si="117"/>
        <v>0</v>
      </c>
      <c r="G544" s="152">
        <f t="shared" si="112"/>
        <v>0</v>
      </c>
      <c r="H544" s="153">
        <f t="shared" si="108"/>
        <v>0</v>
      </c>
      <c r="I544" s="151">
        <f t="shared" si="118"/>
        <v>0</v>
      </c>
      <c r="J544" s="151">
        <f t="shared" si="113"/>
        <v>0</v>
      </c>
      <c r="K544" s="154">
        <f t="shared" si="114"/>
        <v>0</v>
      </c>
      <c r="L544" s="167"/>
      <c r="M544" s="171"/>
      <c r="N544" s="155">
        <f t="shared" si="109"/>
        <v>7</v>
      </c>
      <c r="O544" s="123">
        <f t="shared" si="115"/>
        <v>24</v>
      </c>
      <c r="P544" s="124">
        <f t="shared" si="110"/>
        <v>0</v>
      </c>
      <c r="Q544" s="125"/>
      <c r="R544" s="125"/>
      <c r="S544" s="125"/>
      <c r="T544" s="125"/>
      <c r="U544" s="125"/>
      <c r="V544" s="125"/>
      <c r="W544" s="125"/>
      <c r="X544" s="125"/>
      <c r="Y544" s="125"/>
      <c r="Z544" s="125"/>
    </row>
    <row r="545" spans="1:26">
      <c r="A545" s="147">
        <v>538</v>
      </c>
      <c r="B545" s="173"/>
      <c r="C545" s="149">
        <f t="shared" si="116"/>
        <v>57567</v>
      </c>
      <c r="D545" s="150">
        <f t="shared" si="107"/>
        <v>0</v>
      </c>
      <c r="E545" s="151">
        <f t="shared" si="111"/>
        <v>0</v>
      </c>
      <c r="F545" s="151">
        <f t="shared" si="117"/>
        <v>0</v>
      </c>
      <c r="G545" s="152">
        <f t="shared" si="112"/>
        <v>0</v>
      </c>
      <c r="H545" s="153">
        <f t="shared" si="108"/>
        <v>0</v>
      </c>
      <c r="I545" s="151">
        <f t="shared" si="118"/>
        <v>0</v>
      </c>
      <c r="J545" s="151">
        <f t="shared" si="113"/>
        <v>0</v>
      </c>
      <c r="K545" s="154">
        <f t="shared" si="114"/>
        <v>0</v>
      </c>
      <c r="L545" s="167"/>
      <c r="M545" s="171"/>
      <c r="N545" s="155">
        <f t="shared" si="109"/>
        <v>7</v>
      </c>
      <c r="O545" s="123">
        <f t="shared" si="115"/>
        <v>24</v>
      </c>
      <c r="P545" s="124">
        <f t="shared" si="110"/>
        <v>0</v>
      </c>
      <c r="Q545" s="125"/>
      <c r="R545" s="125"/>
      <c r="S545" s="125"/>
      <c r="T545" s="125"/>
      <c r="U545" s="125"/>
      <c r="V545" s="125"/>
      <c r="W545" s="125"/>
      <c r="X545" s="125"/>
      <c r="Y545" s="125"/>
      <c r="Z545" s="125"/>
    </row>
    <row r="546" spans="1:26">
      <c r="A546" s="147">
        <v>539</v>
      </c>
      <c r="B546" s="173"/>
      <c r="C546" s="149">
        <f t="shared" si="116"/>
        <v>57598</v>
      </c>
      <c r="D546" s="150">
        <f t="shared" si="107"/>
        <v>0</v>
      </c>
      <c r="E546" s="151">
        <f t="shared" si="111"/>
        <v>0</v>
      </c>
      <c r="F546" s="151">
        <f t="shared" si="117"/>
        <v>0</v>
      </c>
      <c r="G546" s="152">
        <f t="shared" si="112"/>
        <v>0</v>
      </c>
      <c r="H546" s="153">
        <f t="shared" si="108"/>
        <v>0</v>
      </c>
      <c r="I546" s="151">
        <f t="shared" si="118"/>
        <v>0</v>
      </c>
      <c r="J546" s="151">
        <f t="shared" si="113"/>
        <v>0</v>
      </c>
      <c r="K546" s="154">
        <f t="shared" si="114"/>
        <v>0</v>
      </c>
      <c r="L546" s="167"/>
      <c r="M546" s="171"/>
      <c r="N546" s="155">
        <f t="shared" si="109"/>
        <v>7</v>
      </c>
      <c r="O546" s="123">
        <f t="shared" si="115"/>
        <v>24</v>
      </c>
      <c r="P546" s="124">
        <f t="shared" si="110"/>
        <v>0</v>
      </c>
      <c r="Q546" s="125"/>
      <c r="R546" s="125"/>
      <c r="S546" s="125"/>
      <c r="T546" s="125"/>
      <c r="U546" s="125"/>
      <c r="V546" s="125"/>
      <c r="W546" s="125"/>
      <c r="X546" s="125"/>
      <c r="Y546" s="125"/>
      <c r="Z546" s="125"/>
    </row>
    <row r="547" spans="1:26">
      <c r="A547" s="147">
        <v>540</v>
      </c>
      <c r="B547" s="173"/>
      <c r="C547" s="149">
        <f t="shared" si="116"/>
        <v>57628</v>
      </c>
      <c r="D547" s="150">
        <f t="shared" si="107"/>
        <v>0</v>
      </c>
      <c r="E547" s="151">
        <f t="shared" si="111"/>
        <v>0</v>
      </c>
      <c r="F547" s="151">
        <f t="shared" si="117"/>
        <v>0</v>
      </c>
      <c r="G547" s="152">
        <f t="shared" si="112"/>
        <v>0</v>
      </c>
      <c r="H547" s="153">
        <f t="shared" si="108"/>
        <v>0</v>
      </c>
      <c r="I547" s="151">
        <f t="shared" si="118"/>
        <v>0</v>
      </c>
      <c r="J547" s="151">
        <f t="shared" si="113"/>
        <v>0</v>
      </c>
      <c r="K547" s="154">
        <f t="shared" si="114"/>
        <v>0</v>
      </c>
      <c r="L547" s="167"/>
      <c r="M547" s="171"/>
      <c r="N547" s="155">
        <f t="shared" si="109"/>
        <v>7</v>
      </c>
      <c r="O547" s="123">
        <f t="shared" si="115"/>
        <v>24</v>
      </c>
      <c r="P547" s="124">
        <f t="shared" si="110"/>
        <v>0</v>
      </c>
      <c r="Q547" s="125"/>
      <c r="R547" s="125"/>
      <c r="S547" s="125"/>
      <c r="T547" s="125"/>
      <c r="U547" s="125"/>
      <c r="V547" s="125"/>
      <c r="W547" s="125"/>
      <c r="X547" s="125"/>
      <c r="Y547" s="125"/>
      <c r="Z547" s="125"/>
    </row>
    <row r="548" spans="1:26">
      <c r="A548" s="156">
        <v>541</v>
      </c>
      <c r="B548" s="174"/>
      <c r="C548" s="149">
        <f t="shared" si="116"/>
        <v>57659</v>
      </c>
      <c r="D548" s="150">
        <f t="shared" si="107"/>
        <v>0</v>
      </c>
      <c r="E548" s="157">
        <f t="shared" si="111"/>
        <v>0</v>
      </c>
      <c r="F548" s="151">
        <f t="shared" si="117"/>
        <v>0</v>
      </c>
      <c r="G548" s="158">
        <f t="shared" si="112"/>
        <v>0</v>
      </c>
      <c r="H548" s="159">
        <f t="shared" si="108"/>
        <v>0</v>
      </c>
      <c r="I548" s="157">
        <f t="shared" si="118"/>
        <v>0</v>
      </c>
      <c r="J548" s="157">
        <f t="shared" si="113"/>
        <v>0</v>
      </c>
      <c r="K548" s="160">
        <f t="shared" si="114"/>
        <v>0</v>
      </c>
      <c r="L548" s="169"/>
      <c r="M548" s="168"/>
      <c r="N548" s="155">
        <f t="shared" si="109"/>
        <v>7</v>
      </c>
      <c r="O548" s="123">
        <f t="shared" si="115"/>
        <v>24</v>
      </c>
      <c r="P548" s="124">
        <f t="shared" si="110"/>
        <v>0</v>
      </c>
      <c r="Q548" s="125"/>
      <c r="R548" s="125"/>
      <c r="S548" s="125"/>
      <c r="T548" s="125"/>
      <c r="U548" s="125"/>
      <c r="V548" s="125"/>
      <c r="W548" s="125"/>
      <c r="X548" s="125"/>
      <c r="Y548" s="125"/>
      <c r="Z548" s="125"/>
    </row>
    <row r="549" spans="1:26">
      <c r="A549" s="161">
        <v>542</v>
      </c>
      <c r="B549" s="174"/>
      <c r="C549" s="149">
        <f t="shared" si="116"/>
        <v>57689</v>
      </c>
      <c r="D549" s="150">
        <f t="shared" si="107"/>
        <v>0</v>
      </c>
      <c r="E549" s="151">
        <f t="shared" si="111"/>
        <v>0</v>
      </c>
      <c r="F549" s="151">
        <f t="shared" si="117"/>
        <v>0</v>
      </c>
      <c r="G549" s="152">
        <f t="shared" si="112"/>
        <v>0</v>
      </c>
      <c r="H549" s="153">
        <f t="shared" si="108"/>
        <v>0</v>
      </c>
      <c r="I549" s="151">
        <f t="shared" si="118"/>
        <v>0</v>
      </c>
      <c r="J549" s="151">
        <f t="shared" si="113"/>
        <v>0</v>
      </c>
      <c r="K549" s="154">
        <f t="shared" si="114"/>
        <v>0</v>
      </c>
      <c r="L549" s="167"/>
      <c r="M549" s="171"/>
      <c r="N549" s="155">
        <f t="shared" si="109"/>
        <v>7</v>
      </c>
      <c r="O549" s="123">
        <f t="shared" si="115"/>
        <v>24</v>
      </c>
      <c r="P549" s="124">
        <f t="shared" si="110"/>
        <v>0</v>
      </c>
      <c r="Q549" s="125"/>
      <c r="R549" s="125"/>
      <c r="S549" s="125"/>
      <c r="T549" s="125"/>
      <c r="U549" s="125"/>
      <c r="V549" s="125"/>
      <c r="W549" s="125"/>
      <c r="X549" s="125"/>
      <c r="Y549" s="125"/>
      <c r="Z549" s="125"/>
    </row>
    <row r="550" spans="1:26">
      <c r="A550" s="161">
        <v>543</v>
      </c>
      <c r="B550" s="174"/>
      <c r="C550" s="149">
        <f t="shared" si="116"/>
        <v>57720</v>
      </c>
      <c r="D550" s="150">
        <f t="shared" si="107"/>
        <v>0</v>
      </c>
      <c r="E550" s="151">
        <f t="shared" si="111"/>
        <v>0</v>
      </c>
      <c r="F550" s="151">
        <f t="shared" si="117"/>
        <v>0</v>
      </c>
      <c r="G550" s="152">
        <f t="shared" si="112"/>
        <v>0</v>
      </c>
      <c r="H550" s="153">
        <f t="shared" si="108"/>
        <v>0</v>
      </c>
      <c r="I550" s="151">
        <f t="shared" si="118"/>
        <v>0</v>
      </c>
      <c r="J550" s="151">
        <f t="shared" si="113"/>
        <v>0</v>
      </c>
      <c r="K550" s="154">
        <f t="shared" si="114"/>
        <v>0</v>
      </c>
      <c r="L550" s="167"/>
      <c r="M550" s="171"/>
      <c r="N550" s="155">
        <f t="shared" si="109"/>
        <v>7</v>
      </c>
      <c r="O550" s="123">
        <f t="shared" si="115"/>
        <v>24</v>
      </c>
      <c r="P550" s="124">
        <f t="shared" si="110"/>
        <v>0</v>
      </c>
      <c r="Q550" s="125"/>
      <c r="R550" s="125"/>
      <c r="S550" s="125"/>
      <c r="T550" s="125"/>
      <c r="U550" s="125"/>
      <c r="V550" s="125"/>
      <c r="W550" s="125"/>
      <c r="X550" s="125"/>
      <c r="Y550" s="125"/>
      <c r="Z550" s="125"/>
    </row>
    <row r="551" spans="1:26">
      <c r="A551" s="161">
        <v>544</v>
      </c>
      <c r="B551" s="174"/>
      <c r="C551" s="149">
        <f t="shared" si="116"/>
        <v>57751</v>
      </c>
      <c r="D551" s="150">
        <f t="shared" si="107"/>
        <v>0</v>
      </c>
      <c r="E551" s="151">
        <f t="shared" si="111"/>
        <v>0</v>
      </c>
      <c r="F551" s="151">
        <f t="shared" si="117"/>
        <v>0</v>
      </c>
      <c r="G551" s="152">
        <f t="shared" si="112"/>
        <v>0</v>
      </c>
      <c r="H551" s="153">
        <f t="shared" si="108"/>
        <v>0</v>
      </c>
      <c r="I551" s="151">
        <f t="shared" si="118"/>
        <v>0</v>
      </c>
      <c r="J551" s="151">
        <f t="shared" si="113"/>
        <v>0</v>
      </c>
      <c r="K551" s="154">
        <f t="shared" si="114"/>
        <v>0</v>
      </c>
      <c r="L551" s="167"/>
      <c r="M551" s="171"/>
      <c r="N551" s="155">
        <f t="shared" si="109"/>
        <v>7</v>
      </c>
      <c r="O551" s="123">
        <f t="shared" si="115"/>
        <v>24</v>
      </c>
      <c r="P551" s="124">
        <f t="shared" si="110"/>
        <v>0</v>
      </c>
      <c r="Q551" s="125"/>
      <c r="R551" s="125"/>
      <c r="S551" s="125"/>
      <c r="T551" s="125"/>
      <c r="U551" s="125"/>
      <c r="V551" s="125"/>
      <c r="W551" s="125"/>
      <c r="X551" s="125"/>
      <c r="Y551" s="125"/>
      <c r="Z551" s="125"/>
    </row>
    <row r="552" spans="1:26">
      <c r="A552" s="161">
        <v>545</v>
      </c>
      <c r="B552" s="174"/>
      <c r="C552" s="149">
        <f t="shared" si="116"/>
        <v>57779</v>
      </c>
      <c r="D552" s="150">
        <f t="shared" si="107"/>
        <v>0</v>
      </c>
      <c r="E552" s="151">
        <f t="shared" si="111"/>
        <v>0</v>
      </c>
      <c r="F552" s="151">
        <f t="shared" si="117"/>
        <v>0</v>
      </c>
      <c r="G552" s="152">
        <f t="shared" si="112"/>
        <v>0</v>
      </c>
      <c r="H552" s="153">
        <f t="shared" si="108"/>
        <v>0</v>
      </c>
      <c r="I552" s="151">
        <f t="shared" si="118"/>
        <v>0</v>
      </c>
      <c r="J552" s="151">
        <f t="shared" si="113"/>
        <v>0</v>
      </c>
      <c r="K552" s="154">
        <f t="shared" si="114"/>
        <v>0</v>
      </c>
      <c r="L552" s="167"/>
      <c r="M552" s="171"/>
      <c r="N552" s="155">
        <f t="shared" si="109"/>
        <v>7</v>
      </c>
      <c r="O552" s="123">
        <f t="shared" si="115"/>
        <v>24</v>
      </c>
      <c r="P552" s="124">
        <f t="shared" si="110"/>
        <v>0</v>
      </c>
      <c r="Q552" s="125"/>
      <c r="R552" s="125"/>
      <c r="S552" s="125"/>
      <c r="T552" s="125"/>
      <c r="U552" s="125"/>
      <c r="V552" s="125"/>
      <c r="W552" s="125"/>
      <c r="X552" s="125"/>
      <c r="Y552" s="125"/>
      <c r="Z552" s="125"/>
    </row>
    <row r="553" spans="1:26">
      <c r="A553" s="161">
        <v>546</v>
      </c>
      <c r="B553" s="174"/>
      <c r="C553" s="149">
        <f t="shared" si="116"/>
        <v>57810</v>
      </c>
      <c r="D553" s="150">
        <f t="shared" si="107"/>
        <v>0</v>
      </c>
      <c r="E553" s="151">
        <f t="shared" si="111"/>
        <v>0</v>
      </c>
      <c r="F553" s="151">
        <f t="shared" si="117"/>
        <v>0</v>
      </c>
      <c r="G553" s="152">
        <f t="shared" si="112"/>
        <v>0</v>
      </c>
      <c r="H553" s="153">
        <f t="shared" si="108"/>
        <v>0</v>
      </c>
      <c r="I553" s="151">
        <f t="shared" si="118"/>
        <v>0</v>
      </c>
      <c r="J553" s="151">
        <f t="shared" si="113"/>
        <v>0</v>
      </c>
      <c r="K553" s="154">
        <f t="shared" si="114"/>
        <v>0</v>
      </c>
      <c r="L553" s="167"/>
      <c r="M553" s="171"/>
      <c r="N553" s="155">
        <f t="shared" si="109"/>
        <v>7</v>
      </c>
      <c r="O553" s="123">
        <f t="shared" si="115"/>
        <v>24</v>
      </c>
      <c r="P553" s="124">
        <f t="shared" si="110"/>
        <v>0</v>
      </c>
      <c r="Q553" s="125"/>
      <c r="R553" s="125"/>
      <c r="S553" s="125"/>
      <c r="T553" s="125"/>
      <c r="U553" s="125"/>
      <c r="V553" s="125"/>
      <c r="W553" s="125"/>
      <c r="X553" s="125"/>
      <c r="Y553" s="125"/>
      <c r="Z553" s="125"/>
    </row>
    <row r="554" spans="1:26">
      <c r="A554" s="161">
        <v>547</v>
      </c>
      <c r="B554" s="174"/>
      <c r="C554" s="149">
        <f t="shared" si="116"/>
        <v>57840</v>
      </c>
      <c r="D554" s="150">
        <f t="shared" si="107"/>
        <v>0</v>
      </c>
      <c r="E554" s="151">
        <f t="shared" si="111"/>
        <v>0</v>
      </c>
      <c r="F554" s="151">
        <f t="shared" si="117"/>
        <v>0</v>
      </c>
      <c r="G554" s="152">
        <f t="shared" si="112"/>
        <v>0</v>
      </c>
      <c r="H554" s="153">
        <f t="shared" si="108"/>
        <v>0</v>
      </c>
      <c r="I554" s="151">
        <f t="shared" si="118"/>
        <v>0</v>
      </c>
      <c r="J554" s="151">
        <f t="shared" si="113"/>
        <v>0</v>
      </c>
      <c r="K554" s="154">
        <f t="shared" si="114"/>
        <v>0</v>
      </c>
      <c r="L554" s="167"/>
      <c r="M554" s="171"/>
      <c r="N554" s="155">
        <f t="shared" si="109"/>
        <v>7</v>
      </c>
      <c r="O554" s="123">
        <f t="shared" si="115"/>
        <v>24</v>
      </c>
      <c r="P554" s="124">
        <f t="shared" si="110"/>
        <v>0</v>
      </c>
      <c r="Q554" s="125"/>
      <c r="R554" s="125"/>
      <c r="S554" s="125"/>
      <c r="T554" s="125"/>
      <c r="U554" s="125"/>
      <c r="V554" s="125"/>
      <c r="W554" s="125"/>
      <c r="X554" s="125"/>
      <c r="Y554" s="125"/>
      <c r="Z554" s="125"/>
    </row>
    <row r="555" spans="1:26">
      <c r="A555" s="161">
        <v>548</v>
      </c>
      <c r="B555" s="174"/>
      <c r="C555" s="149">
        <f t="shared" si="116"/>
        <v>57871</v>
      </c>
      <c r="D555" s="150">
        <f t="shared" si="107"/>
        <v>0</v>
      </c>
      <c r="E555" s="151">
        <f t="shared" si="111"/>
        <v>0</v>
      </c>
      <c r="F555" s="151">
        <f t="shared" si="117"/>
        <v>0</v>
      </c>
      <c r="G555" s="152">
        <f t="shared" si="112"/>
        <v>0</v>
      </c>
      <c r="H555" s="153">
        <f t="shared" si="108"/>
        <v>0</v>
      </c>
      <c r="I555" s="151">
        <f t="shared" si="118"/>
        <v>0</v>
      </c>
      <c r="J555" s="151">
        <f t="shared" si="113"/>
        <v>0</v>
      </c>
      <c r="K555" s="154">
        <f t="shared" si="114"/>
        <v>0</v>
      </c>
      <c r="L555" s="167"/>
      <c r="M555" s="171"/>
      <c r="N555" s="155">
        <f t="shared" si="109"/>
        <v>7</v>
      </c>
      <c r="O555" s="123">
        <f t="shared" si="115"/>
        <v>24</v>
      </c>
      <c r="P555" s="124">
        <f t="shared" si="110"/>
        <v>0</v>
      </c>
      <c r="Q555" s="125"/>
      <c r="R555" s="125"/>
      <c r="S555" s="125"/>
      <c r="T555" s="125"/>
      <c r="U555" s="125"/>
      <c r="V555" s="125"/>
      <c r="W555" s="125"/>
      <c r="X555" s="125"/>
      <c r="Y555" s="125"/>
      <c r="Z555" s="125"/>
    </row>
    <row r="556" spans="1:26">
      <c r="A556" s="161">
        <v>549</v>
      </c>
      <c r="B556" s="174"/>
      <c r="C556" s="149">
        <f t="shared" si="116"/>
        <v>57901</v>
      </c>
      <c r="D556" s="150">
        <f t="shared" si="107"/>
        <v>0</v>
      </c>
      <c r="E556" s="151">
        <f t="shared" si="111"/>
        <v>0</v>
      </c>
      <c r="F556" s="151">
        <f t="shared" si="117"/>
        <v>0</v>
      </c>
      <c r="G556" s="152">
        <f t="shared" si="112"/>
        <v>0</v>
      </c>
      <c r="H556" s="153">
        <f t="shared" si="108"/>
        <v>0</v>
      </c>
      <c r="I556" s="151">
        <f t="shared" si="118"/>
        <v>0</v>
      </c>
      <c r="J556" s="151">
        <f t="shared" si="113"/>
        <v>0</v>
      </c>
      <c r="K556" s="154">
        <f t="shared" si="114"/>
        <v>0</v>
      </c>
      <c r="L556" s="167"/>
      <c r="M556" s="171"/>
      <c r="N556" s="155">
        <f t="shared" si="109"/>
        <v>7</v>
      </c>
      <c r="O556" s="123">
        <f t="shared" si="115"/>
        <v>24</v>
      </c>
      <c r="P556" s="124">
        <f t="shared" si="110"/>
        <v>0</v>
      </c>
      <c r="Q556" s="125"/>
      <c r="R556" s="125"/>
      <c r="S556" s="125"/>
      <c r="T556" s="125"/>
      <c r="U556" s="125"/>
      <c r="V556" s="125"/>
      <c r="W556" s="125"/>
      <c r="X556" s="125"/>
      <c r="Y556" s="125"/>
      <c r="Z556" s="125"/>
    </row>
    <row r="557" spans="1:26">
      <c r="A557" s="161">
        <v>550</v>
      </c>
      <c r="B557" s="174"/>
      <c r="C557" s="149">
        <f t="shared" si="116"/>
        <v>57932</v>
      </c>
      <c r="D557" s="150">
        <f t="shared" si="107"/>
        <v>0</v>
      </c>
      <c r="E557" s="151">
        <f t="shared" si="111"/>
        <v>0</v>
      </c>
      <c r="F557" s="151">
        <f t="shared" si="117"/>
        <v>0</v>
      </c>
      <c r="G557" s="152">
        <f t="shared" si="112"/>
        <v>0</v>
      </c>
      <c r="H557" s="153">
        <f t="shared" si="108"/>
        <v>0</v>
      </c>
      <c r="I557" s="151">
        <f t="shared" si="118"/>
        <v>0</v>
      </c>
      <c r="J557" s="151">
        <f t="shared" si="113"/>
        <v>0</v>
      </c>
      <c r="K557" s="154">
        <f t="shared" si="114"/>
        <v>0</v>
      </c>
      <c r="L557" s="167"/>
      <c r="M557" s="171"/>
      <c r="N557" s="155">
        <f t="shared" si="109"/>
        <v>7</v>
      </c>
      <c r="O557" s="123">
        <f t="shared" si="115"/>
        <v>24</v>
      </c>
      <c r="P557" s="124">
        <f t="shared" si="110"/>
        <v>0</v>
      </c>
      <c r="Q557" s="125"/>
      <c r="R557" s="125"/>
      <c r="S557" s="125"/>
      <c r="T557" s="125"/>
      <c r="U557" s="125"/>
      <c r="V557" s="125"/>
      <c r="W557" s="125"/>
      <c r="X557" s="125"/>
      <c r="Y557" s="125"/>
      <c r="Z557" s="125"/>
    </row>
    <row r="558" spans="1:26">
      <c r="A558" s="161">
        <v>551</v>
      </c>
      <c r="B558" s="174"/>
      <c r="C558" s="149">
        <f t="shared" si="116"/>
        <v>57963</v>
      </c>
      <c r="D558" s="150">
        <f t="shared" si="107"/>
        <v>0</v>
      </c>
      <c r="E558" s="151">
        <f t="shared" si="111"/>
        <v>0</v>
      </c>
      <c r="F558" s="151">
        <f t="shared" si="117"/>
        <v>0</v>
      </c>
      <c r="G558" s="152">
        <f t="shared" si="112"/>
        <v>0</v>
      </c>
      <c r="H558" s="153">
        <f t="shared" si="108"/>
        <v>0</v>
      </c>
      <c r="I558" s="151">
        <f t="shared" si="118"/>
        <v>0</v>
      </c>
      <c r="J558" s="151">
        <f t="shared" si="113"/>
        <v>0</v>
      </c>
      <c r="K558" s="154">
        <f t="shared" si="114"/>
        <v>0</v>
      </c>
      <c r="L558" s="167"/>
      <c r="M558" s="171"/>
      <c r="N558" s="155">
        <f t="shared" si="109"/>
        <v>7</v>
      </c>
      <c r="O558" s="123">
        <f t="shared" si="115"/>
        <v>24</v>
      </c>
      <c r="P558" s="124">
        <f t="shared" si="110"/>
        <v>0</v>
      </c>
      <c r="Q558" s="125"/>
      <c r="R558" s="125"/>
      <c r="S558" s="125"/>
      <c r="T558" s="125"/>
      <c r="U558" s="125"/>
      <c r="V558" s="125"/>
      <c r="W558" s="125"/>
      <c r="X558" s="125"/>
      <c r="Y558" s="125"/>
      <c r="Z558" s="125"/>
    </row>
    <row r="559" spans="1:26">
      <c r="A559" s="162">
        <v>552</v>
      </c>
      <c r="B559" s="174"/>
      <c r="C559" s="149">
        <f t="shared" si="116"/>
        <v>57993</v>
      </c>
      <c r="D559" s="150">
        <f t="shared" si="107"/>
        <v>0</v>
      </c>
      <c r="E559" s="163">
        <f t="shared" si="111"/>
        <v>0</v>
      </c>
      <c r="F559" s="151">
        <f t="shared" si="117"/>
        <v>0</v>
      </c>
      <c r="G559" s="164">
        <f t="shared" si="112"/>
        <v>0</v>
      </c>
      <c r="H559" s="165">
        <f t="shared" si="108"/>
        <v>0</v>
      </c>
      <c r="I559" s="163">
        <f t="shared" si="118"/>
        <v>0</v>
      </c>
      <c r="J559" s="163">
        <f t="shared" si="113"/>
        <v>0</v>
      </c>
      <c r="K559" s="166">
        <f t="shared" si="114"/>
        <v>0</v>
      </c>
      <c r="L559" s="170"/>
      <c r="M559" s="172"/>
      <c r="N559" s="155">
        <f t="shared" si="109"/>
        <v>7</v>
      </c>
      <c r="O559" s="123">
        <f t="shared" si="115"/>
        <v>24</v>
      </c>
      <c r="P559" s="124">
        <f t="shared" si="110"/>
        <v>0</v>
      </c>
      <c r="Q559" s="125"/>
      <c r="R559" s="125"/>
      <c r="S559" s="125"/>
      <c r="T559" s="125"/>
      <c r="U559" s="125"/>
      <c r="V559" s="125"/>
      <c r="W559" s="125"/>
      <c r="X559" s="125"/>
      <c r="Y559" s="125"/>
      <c r="Z559" s="125"/>
    </row>
    <row r="560" spans="1:26">
      <c r="A560" s="147">
        <v>553</v>
      </c>
      <c r="B560" s="173"/>
      <c r="C560" s="149">
        <f t="shared" si="116"/>
        <v>58024</v>
      </c>
      <c r="D560" s="150">
        <f t="shared" si="107"/>
        <v>0</v>
      </c>
      <c r="E560" s="151">
        <f t="shared" si="111"/>
        <v>0</v>
      </c>
      <c r="F560" s="151">
        <f t="shared" si="117"/>
        <v>0</v>
      </c>
      <c r="G560" s="152">
        <f t="shared" si="112"/>
        <v>0</v>
      </c>
      <c r="H560" s="153">
        <f t="shared" si="108"/>
        <v>0</v>
      </c>
      <c r="I560" s="151">
        <f t="shared" si="118"/>
        <v>0</v>
      </c>
      <c r="J560" s="151">
        <f t="shared" si="113"/>
        <v>0</v>
      </c>
      <c r="K560" s="154">
        <f t="shared" si="114"/>
        <v>0</v>
      </c>
      <c r="L560" s="167"/>
      <c r="M560" s="171"/>
      <c r="N560" s="155">
        <f t="shared" si="109"/>
        <v>7</v>
      </c>
      <c r="O560" s="123">
        <f t="shared" si="115"/>
        <v>24</v>
      </c>
      <c r="P560" s="124">
        <f t="shared" si="110"/>
        <v>0</v>
      </c>
      <c r="Q560" s="125"/>
      <c r="R560" s="125"/>
      <c r="S560" s="125"/>
      <c r="T560" s="125"/>
      <c r="U560" s="125"/>
      <c r="V560" s="125"/>
      <c r="W560" s="125"/>
      <c r="X560" s="125"/>
      <c r="Y560" s="125"/>
      <c r="Z560" s="125"/>
    </row>
    <row r="561" spans="1:26">
      <c r="A561" s="147">
        <v>554</v>
      </c>
      <c r="B561" s="173"/>
      <c r="C561" s="149">
        <f t="shared" si="116"/>
        <v>58054</v>
      </c>
      <c r="D561" s="150">
        <f t="shared" si="107"/>
        <v>0</v>
      </c>
      <c r="E561" s="151">
        <f t="shared" si="111"/>
        <v>0</v>
      </c>
      <c r="F561" s="151">
        <f t="shared" si="117"/>
        <v>0</v>
      </c>
      <c r="G561" s="152">
        <f t="shared" si="112"/>
        <v>0</v>
      </c>
      <c r="H561" s="153">
        <f t="shared" si="108"/>
        <v>0</v>
      </c>
      <c r="I561" s="151">
        <f t="shared" si="118"/>
        <v>0</v>
      </c>
      <c r="J561" s="151">
        <f t="shared" si="113"/>
        <v>0</v>
      </c>
      <c r="K561" s="154">
        <f t="shared" si="114"/>
        <v>0</v>
      </c>
      <c r="L561" s="167"/>
      <c r="M561" s="171"/>
      <c r="N561" s="155">
        <f t="shared" si="109"/>
        <v>7</v>
      </c>
      <c r="O561" s="123">
        <f t="shared" si="115"/>
        <v>24</v>
      </c>
      <c r="P561" s="124">
        <f t="shared" si="110"/>
        <v>0</v>
      </c>
      <c r="Q561" s="125"/>
      <c r="R561" s="125"/>
      <c r="S561" s="125"/>
      <c r="T561" s="125"/>
      <c r="U561" s="125"/>
      <c r="V561" s="125"/>
      <c r="W561" s="125"/>
      <c r="X561" s="125"/>
      <c r="Y561" s="125"/>
      <c r="Z561" s="125"/>
    </row>
    <row r="562" spans="1:26">
      <c r="A562" s="147">
        <v>555</v>
      </c>
      <c r="B562" s="173"/>
      <c r="C562" s="149">
        <f t="shared" si="116"/>
        <v>58085</v>
      </c>
      <c r="D562" s="150">
        <f t="shared" si="107"/>
        <v>0</v>
      </c>
      <c r="E562" s="151">
        <f t="shared" si="111"/>
        <v>0</v>
      </c>
      <c r="F562" s="151">
        <f t="shared" si="117"/>
        <v>0</v>
      </c>
      <c r="G562" s="152">
        <f t="shared" si="112"/>
        <v>0</v>
      </c>
      <c r="H562" s="153">
        <f t="shared" si="108"/>
        <v>0</v>
      </c>
      <c r="I562" s="151">
        <f t="shared" si="118"/>
        <v>0</v>
      </c>
      <c r="J562" s="151">
        <f t="shared" si="113"/>
        <v>0</v>
      </c>
      <c r="K562" s="154">
        <f t="shared" si="114"/>
        <v>0</v>
      </c>
      <c r="L562" s="167"/>
      <c r="M562" s="171"/>
      <c r="N562" s="155">
        <f t="shared" si="109"/>
        <v>7</v>
      </c>
      <c r="O562" s="123">
        <f t="shared" si="115"/>
        <v>24</v>
      </c>
      <c r="P562" s="124">
        <f t="shared" si="110"/>
        <v>0</v>
      </c>
      <c r="Q562" s="125"/>
      <c r="R562" s="125"/>
      <c r="S562" s="125"/>
      <c r="T562" s="125"/>
      <c r="U562" s="125"/>
      <c r="V562" s="125"/>
      <c r="W562" s="125"/>
      <c r="X562" s="125"/>
      <c r="Y562" s="125"/>
      <c r="Z562" s="125"/>
    </row>
    <row r="563" spans="1:26">
      <c r="A563" s="147">
        <v>556</v>
      </c>
      <c r="B563" s="173"/>
      <c r="C563" s="149">
        <f t="shared" si="116"/>
        <v>58116</v>
      </c>
      <c r="D563" s="150">
        <f t="shared" si="107"/>
        <v>0</v>
      </c>
      <c r="E563" s="151">
        <f t="shared" si="111"/>
        <v>0</v>
      </c>
      <c r="F563" s="151">
        <f t="shared" si="117"/>
        <v>0</v>
      </c>
      <c r="G563" s="152">
        <f t="shared" si="112"/>
        <v>0</v>
      </c>
      <c r="H563" s="153">
        <f t="shared" si="108"/>
        <v>0</v>
      </c>
      <c r="I563" s="151">
        <f t="shared" si="118"/>
        <v>0</v>
      </c>
      <c r="J563" s="151">
        <f t="shared" si="113"/>
        <v>0</v>
      </c>
      <c r="K563" s="154">
        <f t="shared" si="114"/>
        <v>0</v>
      </c>
      <c r="L563" s="167"/>
      <c r="M563" s="171"/>
      <c r="N563" s="155">
        <f t="shared" si="109"/>
        <v>7</v>
      </c>
      <c r="O563" s="123">
        <f t="shared" si="115"/>
        <v>24</v>
      </c>
      <c r="P563" s="124">
        <f t="shared" si="110"/>
        <v>0</v>
      </c>
      <c r="Q563" s="125"/>
      <c r="R563" s="125"/>
      <c r="S563" s="125"/>
      <c r="T563" s="125"/>
      <c r="U563" s="125"/>
      <c r="V563" s="125"/>
      <c r="W563" s="125"/>
      <c r="X563" s="125"/>
      <c r="Y563" s="125"/>
      <c r="Z563" s="125"/>
    </row>
    <row r="564" spans="1:26">
      <c r="A564" s="147">
        <v>557</v>
      </c>
      <c r="B564" s="173"/>
      <c r="C564" s="149">
        <f t="shared" si="116"/>
        <v>58144</v>
      </c>
      <c r="D564" s="150">
        <f t="shared" si="107"/>
        <v>0</v>
      </c>
      <c r="E564" s="151">
        <f t="shared" si="111"/>
        <v>0</v>
      </c>
      <c r="F564" s="151">
        <f t="shared" si="117"/>
        <v>0</v>
      </c>
      <c r="G564" s="152">
        <f t="shared" si="112"/>
        <v>0</v>
      </c>
      <c r="H564" s="153">
        <f t="shared" si="108"/>
        <v>0</v>
      </c>
      <c r="I564" s="151">
        <f t="shared" si="118"/>
        <v>0</v>
      </c>
      <c r="J564" s="151">
        <f t="shared" si="113"/>
        <v>0</v>
      </c>
      <c r="K564" s="154">
        <f t="shared" si="114"/>
        <v>0</v>
      </c>
      <c r="L564" s="167"/>
      <c r="M564" s="171"/>
      <c r="N564" s="155">
        <f t="shared" si="109"/>
        <v>7</v>
      </c>
      <c r="O564" s="123">
        <f t="shared" si="115"/>
        <v>24</v>
      </c>
      <c r="P564" s="124">
        <f t="shared" si="110"/>
        <v>0</v>
      </c>
      <c r="Q564" s="125"/>
      <c r="R564" s="125"/>
      <c r="S564" s="125"/>
      <c r="T564" s="125"/>
      <c r="U564" s="125"/>
      <c r="V564" s="125"/>
      <c r="W564" s="125"/>
      <c r="X564" s="125"/>
      <c r="Y564" s="125"/>
      <c r="Z564" s="125"/>
    </row>
    <row r="565" spans="1:26">
      <c r="A565" s="147">
        <v>558</v>
      </c>
      <c r="B565" s="173"/>
      <c r="C565" s="149">
        <f t="shared" si="116"/>
        <v>58175</v>
      </c>
      <c r="D565" s="150">
        <f t="shared" si="107"/>
        <v>0</v>
      </c>
      <c r="E565" s="151">
        <f t="shared" si="111"/>
        <v>0</v>
      </c>
      <c r="F565" s="151">
        <f t="shared" si="117"/>
        <v>0</v>
      </c>
      <c r="G565" s="152">
        <f t="shared" si="112"/>
        <v>0</v>
      </c>
      <c r="H565" s="153">
        <f t="shared" si="108"/>
        <v>0</v>
      </c>
      <c r="I565" s="151">
        <f t="shared" si="118"/>
        <v>0</v>
      </c>
      <c r="J565" s="151">
        <f t="shared" si="113"/>
        <v>0</v>
      </c>
      <c r="K565" s="154">
        <f t="shared" si="114"/>
        <v>0</v>
      </c>
      <c r="L565" s="167"/>
      <c r="M565" s="171"/>
      <c r="N565" s="155">
        <f t="shared" si="109"/>
        <v>7</v>
      </c>
      <c r="O565" s="123">
        <f t="shared" si="115"/>
        <v>24</v>
      </c>
      <c r="P565" s="124">
        <f t="shared" si="110"/>
        <v>0</v>
      </c>
      <c r="Q565" s="125"/>
      <c r="R565" s="125"/>
      <c r="S565" s="125"/>
      <c r="T565" s="125"/>
      <c r="U565" s="125"/>
      <c r="V565" s="125"/>
      <c r="W565" s="125"/>
      <c r="X565" s="125"/>
      <c r="Y565" s="125"/>
      <c r="Z565" s="125"/>
    </row>
    <row r="566" spans="1:26">
      <c r="A566" s="147">
        <v>559</v>
      </c>
      <c r="B566" s="173"/>
      <c r="C566" s="149">
        <f t="shared" si="116"/>
        <v>58205</v>
      </c>
      <c r="D566" s="150">
        <f t="shared" si="107"/>
        <v>0</v>
      </c>
      <c r="E566" s="151">
        <f t="shared" si="111"/>
        <v>0</v>
      </c>
      <c r="F566" s="151">
        <f t="shared" si="117"/>
        <v>0</v>
      </c>
      <c r="G566" s="152">
        <f t="shared" si="112"/>
        <v>0</v>
      </c>
      <c r="H566" s="153">
        <f t="shared" si="108"/>
        <v>0</v>
      </c>
      <c r="I566" s="151">
        <f t="shared" si="118"/>
        <v>0</v>
      </c>
      <c r="J566" s="151">
        <f t="shared" si="113"/>
        <v>0</v>
      </c>
      <c r="K566" s="154">
        <f t="shared" si="114"/>
        <v>0</v>
      </c>
      <c r="L566" s="167"/>
      <c r="M566" s="171"/>
      <c r="N566" s="155">
        <f t="shared" si="109"/>
        <v>7</v>
      </c>
      <c r="O566" s="123">
        <f t="shared" si="115"/>
        <v>24</v>
      </c>
      <c r="P566" s="124">
        <f t="shared" si="110"/>
        <v>0</v>
      </c>
      <c r="Q566" s="125"/>
      <c r="R566" s="125"/>
      <c r="S566" s="125"/>
      <c r="T566" s="125"/>
      <c r="U566" s="125"/>
      <c r="V566" s="125"/>
      <c r="W566" s="125"/>
      <c r="X566" s="125"/>
      <c r="Y566" s="125"/>
      <c r="Z566" s="125"/>
    </row>
    <row r="567" spans="1:26">
      <c r="A567" s="147">
        <v>560</v>
      </c>
      <c r="B567" s="173"/>
      <c r="C567" s="149">
        <f t="shared" si="116"/>
        <v>58236</v>
      </c>
      <c r="D567" s="150">
        <f t="shared" si="107"/>
        <v>0</v>
      </c>
      <c r="E567" s="151">
        <f t="shared" si="111"/>
        <v>0</v>
      </c>
      <c r="F567" s="151">
        <f t="shared" si="117"/>
        <v>0</v>
      </c>
      <c r="G567" s="152">
        <f t="shared" si="112"/>
        <v>0</v>
      </c>
      <c r="H567" s="153">
        <f t="shared" si="108"/>
        <v>0</v>
      </c>
      <c r="I567" s="151">
        <f t="shared" si="118"/>
        <v>0</v>
      </c>
      <c r="J567" s="151">
        <f t="shared" si="113"/>
        <v>0</v>
      </c>
      <c r="K567" s="154">
        <f t="shared" si="114"/>
        <v>0</v>
      </c>
      <c r="L567" s="167"/>
      <c r="M567" s="171"/>
      <c r="N567" s="155">
        <f t="shared" si="109"/>
        <v>7</v>
      </c>
      <c r="O567" s="123">
        <f t="shared" si="115"/>
        <v>24</v>
      </c>
      <c r="P567" s="124">
        <f t="shared" si="110"/>
        <v>0</v>
      </c>
      <c r="Q567" s="125"/>
      <c r="R567" s="125"/>
      <c r="S567" s="125"/>
      <c r="T567" s="125"/>
      <c r="U567" s="125"/>
      <c r="V567" s="125"/>
      <c r="W567" s="125"/>
      <c r="X567" s="125"/>
      <c r="Y567" s="125"/>
      <c r="Z567" s="125"/>
    </row>
    <row r="568" spans="1:26">
      <c r="A568" s="147">
        <v>561</v>
      </c>
      <c r="B568" s="173"/>
      <c r="C568" s="149">
        <f t="shared" si="116"/>
        <v>58266</v>
      </c>
      <c r="D568" s="150">
        <f t="shared" si="107"/>
        <v>0</v>
      </c>
      <c r="E568" s="151">
        <f t="shared" si="111"/>
        <v>0</v>
      </c>
      <c r="F568" s="151">
        <f t="shared" si="117"/>
        <v>0</v>
      </c>
      <c r="G568" s="152">
        <f t="shared" si="112"/>
        <v>0</v>
      </c>
      <c r="H568" s="153">
        <f t="shared" si="108"/>
        <v>0</v>
      </c>
      <c r="I568" s="151">
        <f t="shared" si="118"/>
        <v>0</v>
      </c>
      <c r="J568" s="151">
        <f t="shared" si="113"/>
        <v>0</v>
      </c>
      <c r="K568" s="154">
        <f t="shared" si="114"/>
        <v>0</v>
      </c>
      <c r="L568" s="167"/>
      <c r="M568" s="171"/>
      <c r="N568" s="155">
        <f t="shared" si="109"/>
        <v>7</v>
      </c>
      <c r="O568" s="123">
        <f t="shared" si="115"/>
        <v>24</v>
      </c>
      <c r="P568" s="124">
        <f t="shared" si="110"/>
        <v>0</v>
      </c>
      <c r="Q568" s="125"/>
      <c r="R568" s="125"/>
      <c r="S568" s="125"/>
      <c r="T568" s="125"/>
      <c r="U568" s="125"/>
      <c r="V568" s="125"/>
      <c r="W568" s="125"/>
      <c r="X568" s="125"/>
      <c r="Y568" s="125"/>
      <c r="Z568" s="125"/>
    </row>
    <row r="569" spans="1:26">
      <c r="A569" s="147">
        <v>562</v>
      </c>
      <c r="B569" s="173"/>
      <c r="C569" s="149">
        <f t="shared" si="116"/>
        <v>58297</v>
      </c>
      <c r="D569" s="150">
        <f t="shared" si="107"/>
        <v>0</v>
      </c>
      <c r="E569" s="151">
        <f t="shared" si="111"/>
        <v>0</v>
      </c>
      <c r="F569" s="151">
        <f t="shared" si="117"/>
        <v>0</v>
      </c>
      <c r="G569" s="152">
        <f t="shared" si="112"/>
        <v>0</v>
      </c>
      <c r="H569" s="153">
        <f t="shared" si="108"/>
        <v>0</v>
      </c>
      <c r="I569" s="151">
        <f t="shared" si="118"/>
        <v>0</v>
      </c>
      <c r="J569" s="151">
        <f t="shared" si="113"/>
        <v>0</v>
      </c>
      <c r="K569" s="154">
        <f t="shared" si="114"/>
        <v>0</v>
      </c>
      <c r="L569" s="167"/>
      <c r="M569" s="171"/>
      <c r="N569" s="155">
        <f t="shared" si="109"/>
        <v>7</v>
      </c>
      <c r="O569" s="123">
        <f t="shared" si="115"/>
        <v>24</v>
      </c>
      <c r="P569" s="124">
        <f t="shared" si="110"/>
        <v>0</v>
      </c>
      <c r="Q569" s="125"/>
      <c r="R569" s="125"/>
      <c r="S569" s="125"/>
      <c r="T569" s="125"/>
      <c r="U569" s="125"/>
      <c r="V569" s="125"/>
      <c r="W569" s="125"/>
      <c r="X569" s="125"/>
      <c r="Y569" s="125"/>
      <c r="Z569" s="125"/>
    </row>
    <row r="570" spans="1:26">
      <c r="A570" s="147">
        <v>563</v>
      </c>
      <c r="B570" s="173"/>
      <c r="C570" s="149">
        <f t="shared" si="116"/>
        <v>58328</v>
      </c>
      <c r="D570" s="150">
        <f t="shared" si="107"/>
        <v>0</v>
      </c>
      <c r="E570" s="151">
        <f t="shared" si="111"/>
        <v>0</v>
      </c>
      <c r="F570" s="151">
        <f t="shared" si="117"/>
        <v>0</v>
      </c>
      <c r="G570" s="152">
        <f t="shared" si="112"/>
        <v>0</v>
      </c>
      <c r="H570" s="153">
        <f t="shared" si="108"/>
        <v>0</v>
      </c>
      <c r="I570" s="151">
        <f t="shared" si="118"/>
        <v>0</v>
      </c>
      <c r="J570" s="151">
        <f t="shared" si="113"/>
        <v>0</v>
      </c>
      <c r="K570" s="154">
        <f t="shared" si="114"/>
        <v>0</v>
      </c>
      <c r="L570" s="167"/>
      <c r="M570" s="171"/>
      <c r="N570" s="155">
        <f t="shared" si="109"/>
        <v>7</v>
      </c>
      <c r="O570" s="123">
        <f t="shared" si="115"/>
        <v>24</v>
      </c>
      <c r="P570" s="124">
        <f t="shared" si="110"/>
        <v>0</v>
      </c>
      <c r="Q570" s="125"/>
      <c r="R570" s="125"/>
      <c r="S570" s="125"/>
      <c r="T570" s="125"/>
      <c r="U570" s="125"/>
      <c r="V570" s="125"/>
      <c r="W570" s="125"/>
      <c r="X570" s="125"/>
      <c r="Y570" s="125"/>
      <c r="Z570" s="125"/>
    </row>
    <row r="571" spans="1:26">
      <c r="A571" s="147">
        <v>564</v>
      </c>
      <c r="B571" s="173"/>
      <c r="C571" s="149">
        <f t="shared" si="116"/>
        <v>58358</v>
      </c>
      <c r="D571" s="150">
        <f t="shared" si="107"/>
        <v>0</v>
      </c>
      <c r="E571" s="151">
        <f t="shared" si="111"/>
        <v>0</v>
      </c>
      <c r="F571" s="151">
        <f t="shared" si="117"/>
        <v>0</v>
      </c>
      <c r="G571" s="152">
        <f t="shared" si="112"/>
        <v>0</v>
      </c>
      <c r="H571" s="153">
        <f t="shared" si="108"/>
        <v>0</v>
      </c>
      <c r="I571" s="151">
        <f t="shared" si="118"/>
        <v>0</v>
      </c>
      <c r="J571" s="151">
        <f t="shared" si="113"/>
        <v>0</v>
      </c>
      <c r="K571" s="154">
        <f t="shared" si="114"/>
        <v>0</v>
      </c>
      <c r="L571" s="167"/>
      <c r="M571" s="171"/>
      <c r="N571" s="155">
        <f t="shared" si="109"/>
        <v>7</v>
      </c>
      <c r="O571" s="123">
        <f t="shared" si="115"/>
        <v>24</v>
      </c>
      <c r="P571" s="124">
        <f t="shared" si="110"/>
        <v>0</v>
      </c>
      <c r="Q571" s="125"/>
      <c r="R571" s="125"/>
      <c r="S571" s="125"/>
      <c r="T571" s="125"/>
      <c r="U571" s="125"/>
      <c r="V571" s="125"/>
      <c r="W571" s="125"/>
      <c r="X571" s="125"/>
      <c r="Y571" s="125"/>
      <c r="Z571" s="125"/>
    </row>
    <row r="572" spans="1:26">
      <c r="A572" s="156">
        <v>565</v>
      </c>
      <c r="B572" s="174"/>
      <c r="C572" s="149">
        <f t="shared" si="116"/>
        <v>58389</v>
      </c>
      <c r="D572" s="150">
        <f t="shared" si="107"/>
        <v>0</v>
      </c>
      <c r="E572" s="157">
        <f t="shared" si="111"/>
        <v>0</v>
      </c>
      <c r="F572" s="151">
        <f t="shared" si="117"/>
        <v>0</v>
      </c>
      <c r="G572" s="158">
        <f t="shared" si="112"/>
        <v>0</v>
      </c>
      <c r="H572" s="159">
        <f t="shared" si="108"/>
        <v>0</v>
      </c>
      <c r="I572" s="157">
        <f t="shared" si="118"/>
        <v>0</v>
      </c>
      <c r="J572" s="157">
        <f t="shared" si="113"/>
        <v>0</v>
      </c>
      <c r="K572" s="160">
        <f t="shared" si="114"/>
        <v>0</v>
      </c>
      <c r="L572" s="169"/>
      <c r="M572" s="168"/>
      <c r="N572" s="155">
        <f t="shared" si="109"/>
        <v>7</v>
      </c>
      <c r="O572" s="123">
        <f t="shared" si="115"/>
        <v>24</v>
      </c>
      <c r="P572" s="124">
        <f t="shared" si="110"/>
        <v>0</v>
      </c>
      <c r="Q572" s="125"/>
      <c r="R572" s="125"/>
      <c r="S572" s="125"/>
      <c r="T572" s="125"/>
      <c r="U572" s="125"/>
      <c r="V572" s="125"/>
      <c r="W572" s="125"/>
      <c r="X572" s="125"/>
      <c r="Y572" s="125"/>
      <c r="Z572" s="125"/>
    </row>
    <row r="573" spans="1:26">
      <c r="A573" s="161">
        <v>566</v>
      </c>
      <c r="B573" s="174"/>
      <c r="C573" s="149">
        <f t="shared" si="116"/>
        <v>58419</v>
      </c>
      <c r="D573" s="150">
        <f t="shared" si="107"/>
        <v>0</v>
      </c>
      <c r="E573" s="151">
        <f t="shared" si="111"/>
        <v>0</v>
      </c>
      <c r="F573" s="151">
        <f t="shared" si="117"/>
        <v>0</v>
      </c>
      <c r="G573" s="152">
        <f t="shared" si="112"/>
        <v>0</v>
      </c>
      <c r="H573" s="153">
        <f t="shared" si="108"/>
        <v>0</v>
      </c>
      <c r="I573" s="151">
        <f t="shared" si="118"/>
        <v>0</v>
      </c>
      <c r="J573" s="151">
        <f t="shared" si="113"/>
        <v>0</v>
      </c>
      <c r="K573" s="154">
        <f t="shared" si="114"/>
        <v>0</v>
      </c>
      <c r="L573" s="167"/>
      <c r="M573" s="171"/>
      <c r="N573" s="155">
        <f t="shared" si="109"/>
        <v>7</v>
      </c>
      <c r="O573" s="123">
        <f t="shared" si="115"/>
        <v>24</v>
      </c>
      <c r="P573" s="124">
        <f t="shared" si="110"/>
        <v>0</v>
      </c>
      <c r="Q573" s="125"/>
      <c r="R573" s="125"/>
      <c r="S573" s="125"/>
      <c r="T573" s="125"/>
      <c r="U573" s="125"/>
      <c r="V573" s="125"/>
      <c r="W573" s="125"/>
      <c r="X573" s="125"/>
      <c r="Y573" s="125"/>
      <c r="Z573" s="125"/>
    </row>
    <row r="574" spans="1:26">
      <c r="A574" s="161">
        <v>567</v>
      </c>
      <c r="B574" s="174"/>
      <c r="C574" s="149">
        <f t="shared" si="116"/>
        <v>58450</v>
      </c>
      <c r="D574" s="150">
        <f t="shared" si="107"/>
        <v>0</v>
      </c>
      <c r="E574" s="151">
        <f t="shared" si="111"/>
        <v>0</v>
      </c>
      <c r="F574" s="151">
        <f t="shared" si="117"/>
        <v>0</v>
      </c>
      <c r="G574" s="152">
        <f t="shared" si="112"/>
        <v>0</v>
      </c>
      <c r="H574" s="153">
        <f t="shared" si="108"/>
        <v>0</v>
      </c>
      <c r="I574" s="151">
        <f t="shared" si="118"/>
        <v>0</v>
      </c>
      <c r="J574" s="151">
        <f t="shared" si="113"/>
        <v>0</v>
      </c>
      <c r="K574" s="154">
        <f t="shared" si="114"/>
        <v>0</v>
      </c>
      <c r="L574" s="167"/>
      <c r="M574" s="171"/>
      <c r="N574" s="155">
        <f t="shared" si="109"/>
        <v>7</v>
      </c>
      <c r="O574" s="123">
        <f t="shared" si="115"/>
        <v>24</v>
      </c>
      <c r="P574" s="124">
        <f t="shared" si="110"/>
        <v>0</v>
      </c>
      <c r="Q574" s="125"/>
      <c r="R574" s="125"/>
      <c r="S574" s="125"/>
      <c r="T574" s="125"/>
      <c r="U574" s="125"/>
      <c r="V574" s="125"/>
      <c r="W574" s="125"/>
      <c r="X574" s="125"/>
      <c r="Y574" s="125"/>
      <c r="Z574" s="125"/>
    </row>
    <row r="575" spans="1:26">
      <c r="A575" s="161">
        <v>568</v>
      </c>
      <c r="B575" s="174"/>
      <c r="C575" s="149">
        <f t="shared" si="116"/>
        <v>58481</v>
      </c>
      <c r="D575" s="150">
        <f t="shared" si="107"/>
        <v>0</v>
      </c>
      <c r="E575" s="151">
        <f t="shared" si="111"/>
        <v>0</v>
      </c>
      <c r="F575" s="151">
        <f t="shared" si="117"/>
        <v>0</v>
      </c>
      <c r="G575" s="152">
        <f t="shared" si="112"/>
        <v>0</v>
      </c>
      <c r="H575" s="153">
        <f t="shared" si="108"/>
        <v>0</v>
      </c>
      <c r="I575" s="151">
        <f t="shared" si="118"/>
        <v>0</v>
      </c>
      <c r="J575" s="151">
        <f t="shared" si="113"/>
        <v>0</v>
      </c>
      <c r="K575" s="154">
        <f t="shared" si="114"/>
        <v>0</v>
      </c>
      <c r="L575" s="167"/>
      <c r="M575" s="171"/>
      <c r="N575" s="155">
        <f t="shared" si="109"/>
        <v>7</v>
      </c>
      <c r="O575" s="123">
        <f t="shared" si="115"/>
        <v>24</v>
      </c>
      <c r="P575" s="124">
        <f t="shared" si="110"/>
        <v>0</v>
      </c>
      <c r="Q575" s="125"/>
      <c r="R575" s="125"/>
      <c r="S575" s="125"/>
      <c r="T575" s="125"/>
      <c r="U575" s="125"/>
      <c r="V575" s="125"/>
      <c r="W575" s="125"/>
      <c r="X575" s="125"/>
      <c r="Y575" s="125"/>
      <c r="Z575" s="125"/>
    </row>
    <row r="576" spans="1:26">
      <c r="A576" s="161">
        <v>569</v>
      </c>
      <c r="B576" s="174"/>
      <c r="C576" s="149">
        <f t="shared" si="116"/>
        <v>58510</v>
      </c>
      <c r="D576" s="150">
        <f t="shared" si="107"/>
        <v>0</v>
      </c>
      <c r="E576" s="151">
        <f t="shared" si="111"/>
        <v>0</v>
      </c>
      <c r="F576" s="151">
        <f t="shared" si="117"/>
        <v>0</v>
      </c>
      <c r="G576" s="152">
        <f t="shared" si="112"/>
        <v>0</v>
      </c>
      <c r="H576" s="153">
        <f t="shared" si="108"/>
        <v>0</v>
      </c>
      <c r="I576" s="151">
        <f t="shared" si="118"/>
        <v>0</v>
      </c>
      <c r="J576" s="151">
        <f t="shared" si="113"/>
        <v>0</v>
      </c>
      <c r="K576" s="154">
        <f t="shared" si="114"/>
        <v>0</v>
      </c>
      <c r="L576" s="167"/>
      <c r="M576" s="171"/>
      <c r="N576" s="155">
        <f t="shared" si="109"/>
        <v>7</v>
      </c>
      <c r="O576" s="123">
        <f t="shared" si="115"/>
        <v>24</v>
      </c>
      <c r="P576" s="124">
        <f t="shared" si="110"/>
        <v>0</v>
      </c>
      <c r="Q576" s="125"/>
      <c r="R576" s="125"/>
      <c r="S576" s="125"/>
      <c r="T576" s="125"/>
      <c r="U576" s="125"/>
      <c r="V576" s="125"/>
      <c r="W576" s="125"/>
      <c r="X576" s="125"/>
      <c r="Y576" s="125"/>
      <c r="Z576" s="125"/>
    </row>
    <row r="577" spans="1:26">
      <c r="A577" s="161">
        <v>570</v>
      </c>
      <c r="B577" s="174"/>
      <c r="C577" s="149">
        <f t="shared" si="116"/>
        <v>58541</v>
      </c>
      <c r="D577" s="150">
        <f t="shared" si="107"/>
        <v>0</v>
      </c>
      <c r="E577" s="151">
        <f t="shared" si="111"/>
        <v>0</v>
      </c>
      <c r="F577" s="151">
        <f t="shared" si="117"/>
        <v>0</v>
      </c>
      <c r="G577" s="152">
        <f t="shared" si="112"/>
        <v>0</v>
      </c>
      <c r="H577" s="153">
        <f t="shared" si="108"/>
        <v>0</v>
      </c>
      <c r="I577" s="151">
        <f t="shared" si="118"/>
        <v>0</v>
      </c>
      <c r="J577" s="151">
        <f t="shared" si="113"/>
        <v>0</v>
      </c>
      <c r="K577" s="154">
        <f t="shared" si="114"/>
        <v>0</v>
      </c>
      <c r="L577" s="167"/>
      <c r="M577" s="171"/>
      <c r="N577" s="155">
        <f t="shared" si="109"/>
        <v>7</v>
      </c>
      <c r="O577" s="123">
        <f t="shared" si="115"/>
        <v>24</v>
      </c>
      <c r="P577" s="124">
        <f t="shared" si="110"/>
        <v>0</v>
      </c>
      <c r="Q577" s="125"/>
      <c r="R577" s="125"/>
      <c r="S577" s="125"/>
      <c r="T577" s="125"/>
      <c r="U577" s="125"/>
      <c r="V577" s="125"/>
      <c r="W577" s="125"/>
      <c r="X577" s="125"/>
      <c r="Y577" s="125"/>
      <c r="Z577" s="125"/>
    </row>
    <row r="578" spans="1:26">
      <c r="A578" s="161">
        <v>571</v>
      </c>
      <c r="B578" s="174"/>
      <c r="C578" s="149">
        <f t="shared" si="116"/>
        <v>58571</v>
      </c>
      <c r="D578" s="150">
        <f t="shared" si="107"/>
        <v>0</v>
      </c>
      <c r="E578" s="151">
        <f t="shared" si="111"/>
        <v>0</v>
      </c>
      <c r="F578" s="151">
        <f t="shared" si="117"/>
        <v>0</v>
      </c>
      <c r="G578" s="152">
        <f t="shared" si="112"/>
        <v>0</v>
      </c>
      <c r="H578" s="153">
        <f t="shared" si="108"/>
        <v>0</v>
      </c>
      <c r="I578" s="151">
        <f t="shared" si="118"/>
        <v>0</v>
      </c>
      <c r="J578" s="151">
        <f t="shared" si="113"/>
        <v>0</v>
      </c>
      <c r="K578" s="154">
        <f t="shared" si="114"/>
        <v>0</v>
      </c>
      <c r="L578" s="167"/>
      <c r="M578" s="171"/>
      <c r="N578" s="155">
        <f t="shared" si="109"/>
        <v>7</v>
      </c>
      <c r="O578" s="123">
        <f t="shared" si="115"/>
        <v>24</v>
      </c>
      <c r="P578" s="124">
        <f t="shared" si="110"/>
        <v>0</v>
      </c>
      <c r="Q578" s="125"/>
      <c r="R578" s="125"/>
      <c r="S578" s="125"/>
      <c r="T578" s="125"/>
      <c r="U578" s="125"/>
      <c r="V578" s="125"/>
      <c r="W578" s="125"/>
      <c r="X578" s="125"/>
      <c r="Y578" s="125"/>
      <c r="Z578" s="125"/>
    </row>
    <row r="579" spans="1:26">
      <c r="A579" s="161">
        <v>572</v>
      </c>
      <c r="B579" s="174"/>
      <c r="C579" s="149">
        <f t="shared" si="116"/>
        <v>58602</v>
      </c>
      <c r="D579" s="150">
        <f t="shared" si="107"/>
        <v>0</v>
      </c>
      <c r="E579" s="151">
        <f t="shared" si="111"/>
        <v>0</v>
      </c>
      <c r="F579" s="151">
        <f t="shared" si="117"/>
        <v>0</v>
      </c>
      <c r="G579" s="152">
        <f t="shared" si="112"/>
        <v>0</v>
      </c>
      <c r="H579" s="153">
        <f t="shared" si="108"/>
        <v>0</v>
      </c>
      <c r="I579" s="151">
        <f t="shared" si="118"/>
        <v>0</v>
      </c>
      <c r="J579" s="151">
        <f t="shared" si="113"/>
        <v>0</v>
      </c>
      <c r="K579" s="154">
        <f t="shared" si="114"/>
        <v>0</v>
      </c>
      <c r="L579" s="167"/>
      <c r="M579" s="171"/>
      <c r="N579" s="155">
        <f t="shared" si="109"/>
        <v>7</v>
      </c>
      <c r="O579" s="123">
        <f t="shared" si="115"/>
        <v>24</v>
      </c>
      <c r="P579" s="124">
        <f t="shared" si="110"/>
        <v>0</v>
      </c>
      <c r="Q579" s="125"/>
      <c r="R579" s="125"/>
      <c r="S579" s="125"/>
      <c r="T579" s="125"/>
      <c r="U579" s="125"/>
      <c r="V579" s="125"/>
      <c r="W579" s="125"/>
      <c r="X579" s="125"/>
      <c r="Y579" s="125"/>
      <c r="Z579" s="125"/>
    </row>
    <row r="580" spans="1:26">
      <c r="A580" s="161">
        <v>573</v>
      </c>
      <c r="B580" s="174"/>
      <c r="C580" s="149">
        <f t="shared" si="116"/>
        <v>58632</v>
      </c>
      <c r="D580" s="150">
        <f t="shared" si="107"/>
        <v>0</v>
      </c>
      <c r="E580" s="151">
        <f t="shared" si="111"/>
        <v>0</v>
      </c>
      <c r="F580" s="151">
        <f t="shared" si="117"/>
        <v>0</v>
      </c>
      <c r="G580" s="152">
        <f t="shared" si="112"/>
        <v>0</v>
      </c>
      <c r="H580" s="153">
        <f t="shared" si="108"/>
        <v>0</v>
      </c>
      <c r="I580" s="151">
        <f t="shared" si="118"/>
        <v>0</v>
      </c>
      <c r="J580" s="151">
        <f t="shared" si="113"/>
        <v>0</v>
      </c>
      <c r="K580" s="154">
        <f t="shared" si="114"/>
        <v>0</v>
      </c>
      <c r="L580" s="167"/>
      <c r="M580" s="171"/>
      <c r="N580" s="155">
        <f t="shared" si="109"/>
        <v>7</v>
      </c>
      <c r="O580" s="123">
        <f t="shared" si="115"/>
        <v>24</v>
      </c>
      <c r="P580" s="124">
        <f t="shared" si="110"/>
        <v>0</v>
      </c>
      <c r="Q580" s="125"/>
      <c r="R580" s="125"/>
      <c r="S580" s="125"/>
      <c r="T580" s="125"/>
      <c r="U580" s="125"/>
      <c r="V580" s="125"/>
      <c r="W580" s="125"/>
      <c r="X580" s="125"/>
      <c r="Y580" s="125"/>
      <c r="Z580" s="125"/>
    </row>
    <row r="581" spans="1:26">
      <c r="A581" s="161">
        <v>574</v>
      </c>
      <c r="B581" s="174"/>
      <c r="C581" s="149">
        <f t="shared" si="116"/>
        <v>58663</v>
      </c>
      <c r="D581" s="150">
        <f t="shared" si="107"/>
        <v>0</v>
      </c>
      <c r="E581" s="151">
        <f t="shared" si="111"/>
        <v>0</v>
      </c>
      <c r="F581" s="151">
        <f t="shared" si="117"/>
        <v>0</v>
      </c>
      <c r="G581" s="152">
        <f t="shared" si="112"/>
        <v>0</v>
      </c>
      <c r="H581" s="153">
        <f t="shared" si="108"/>
        <v>0</v>
      </c>
      <c r="I581" s="151">
        <f t="shared" si="118"/>
        <v>0</v>
      </c>
      <c r="J581" s="151">
        <f t="shared" si="113"/>
        <v>0</v>
      </c>
      <c r="K581" s="154">
        <f t="shared" si="114"/>
        <v>0</v>
      </c>
      <c r="L581" s="167"/>
      <c r="M581" s="171"/>
      <c r="N581" s="155">
        <f t="shared" si="109"/>
        <v>7</v>
      </c>
      <c r="O581" s="123">
        <f t="shared" si="115"/>
        <v>24</v>
      </c>
      <c r="P581" s="124">
        <f t="shared" si="110"/>
        <v>0</v>
      </c>
      <c r="Q581" s="125"/>
      <c r="R581" s="125"/>
      <c r="S581" s="125"/>
      <c r="T581" s="125"/>
      <c r="U581" s="125"/>
      <c r="V581" s="125"/>
      <c r="W581" s="125"/>
      <c r="X581" s="125"/>
      <c r="Y581" s="125"/>
      <c r="Z581" s="125"/>
    </row>
    <row r="582" spans="1:26">
      <c r="A582" s="161">
        <v>575</v>
      </c>
      <c r="B582" s="174"/>
      <c r="C582" s="149">
        <f t="shared" si="116"/>
        <v>58694</v>
      </c>
      <c r="D582" s="150">
        <f t="shared" si="107"/>
        <v>0</v>
      </c>
      <c r="E582" s="151">
        <f t="shared" si="111"/>
        <v>0</v>
      </c>
      <c r="F582" s="151">
        <f t="shared" si="117"/>
        <v>0</v>
      </c>
      <c r="G582" s="152">
        <f t="shared" si="112"/>
        <v>0</v>
      </c>
      <c r="H582" s="153">
        <f t="shared" si="108"/>
        <v>0</v>
      </c>
      <c r="I582" s="151">
        <f t="shared" si="118"/>
        <v>0</v>
      </c>
      <c r="J582" s="151">
        <f t="shared" si="113"/>
        <v>0</v>
      </c>
      <c r="K582" s="154">
        <f t="shared" si="114"/>
        <v>0</v>
      </c>
      <c r="L582" s="167"/>
      <c r="M582" s="171"/>
      <c r="N582" s="155">
        <f t="shared" si="109"/>
        <v>7</v>
      </c>
      <c r="O582" s="123">
        <f t="shared" si="115"/>
        <v>24</v>
      </c>
      <c r="P582" s="124">
        <f t="shared" si="110"/>
        <v>0</v>
      </c>
      <c r="Q582" s="125"/>
      <c r="R582" s="125"/>
      <c r="S582" s="125"/>
      <c r="T582" s="125"/>
      <c r="U582" s="125"/>
      <c r="V582" s="125"/>
      <c r="W582" s="125"/>
      <c r="X582" s="125"/>
      <c r="Y582" s="125"/>
      <c r="Z582" s="125"/>
    </row>
    <row r="583" spans="1:26">
      <c r="A583" s="162">
        <v>576</v>
      </c>
      <c r="B583" s="174"/>
      <c r="C583" s="149">
        <f t="shared" si="116"/>
        <v>58724</v>
      </c>
      <c r="D583" s="150">
        <f t="shared" si="107"/>
        <v>0</v>
      </c>
      <c r="E583" s="163">
        <f t="shared" si="111"/>
        <v>0</v>
      </c>
      <c r="F583" s="151">
        <f t="shared" si="117"/>
        <v>0</v>
      </c>
      <c r="G583" s="164">
        <f t="shared" si="112"/>
        <v>0</v>
      </c>
      <c r="H583" s="165">
        <f t="shared" si="108"/>
        <v>0</v>
      </c>
      <c r="I583" s="163">
        <f t="shared" si="118"/>
        <v>0</v>
      </c>
      <c r="J583" s="163">
        <f t="shared" si="113"/>
        <v>0</v>
      </c>
      <c r="K583" s="166">
        <f t="shared" si="114"/>
        <v>0</v>
      </c>
      <c r="L583" s="170"/>
      <c r="M583" s="172"/>
      <c r="N583" s="155">
        <f t="shared" si="109"/>
        <v>7</v>
      </c>
      <c r="O583" s="123">
        <f t="shared" si="115"/>
        <v>24</v>
      </c>
      <c r="P583" s="124">
        <f t="shared" si="110"/>
        <v>0</v>
      </c>
      <c r="Q583" s="125"/>
      <c r="R583" s="125"/>
      <c r="S583" s="125"/>
      <c r="T583" s="125"/>
      <c r="U583" s="125"/>
      <c r="V583" s="125"/>
      <c r="W583" s="125"/>
      <c r="X583" s="125"/>
      <c r="Y583" s="125"/>
      <c r="Z583" s="125"/>
    </row>
    <row r="584" spans="1:26">
      <c r="A584" s="147">
        <v>577</v>
      </c>
      <c r="B584" s="173"/>
      <c r="C584" s="149">
        <f t="shared" si="116"/>
        <v>58755</v>
      </c>
      <c r="D584" s="150">
        <f t="shared" ref="D584:D607" si="119">IF(P584*$D$2/100/12/(1-(1+$D$2/100/12)^(-O584))&lt;G583,ROUNDUP(P584*$D$2/100/12/(1-(1+$D$2/100/12)^(-O584)),0),G583+F584)</f>
        <v>0</v>
      </c>
      <c r="E584" s="151">
        <f t="shared" si="111"/>
        <v>0</v>
      </c>
      <c r="F584" s="151">
        <f t="shared" si="117"/>
        <v>0</v>
      </c>
      <c r="G584" s="152">
        <f t="shared" si="112"/>
        <v>0</v>
      </c>
      <c r="H584" s="153">
        <f t="shared" ref="H584:H607" si="120">I584+J584</f>
        <v>0</v>
      </c>
      <c r="I584" s="151">
        <f t="shared" si="118"/>
        <v>0</v>
      </c>
      <c r="J584" s="151">
        <f t="shared" si="113"/>
        <v>0</v>
      </c>
      <c r="K584" s="154">
        <f t="shared" si="114"/>
        <v>0</v>
      </c>
      <c r="L584" s="167"/>
      <c r="M584" s="171"/>
      <c r="N584" s="155">
        <f t="shared" ref="N584:N607" si="121">IF(ISBLANK(L583),VALUE(N583),ROW(L583))</f>
        <v>7</v>
      </c>
      <c r="O584" s="123">
        <f t="shared" si="115"/>
        <v>24</v>
      </c>
      <c r="P584" s="124">
        <f t="shared" ref="P584:P607" si="122">INDEX(G:G,N584,1)</f>
        <v>0</v>
      </c>
      <c r="Q584" s="125"/>
      <c r="R584" s="125"/>
      <c r="S584" s="125"/>
      <c r="T584" s="125"/>
      <c r="U584" s="125"/>
      <c r="V584" s="125"/>
      <c r="W584" s="125"/>
      <c r="X584" s="125"/>
      <c r="Y584" s="125"/>
      <c r="Z584" s="125"/>
    </row>
    <row r="585" spans="1:26">
      <c r="A585" s="147">
        <v>578</v>
      </c>
      <c r="B585" s="173"/>
      <c r="C585" s="149">
        <f t="shared" si="116"/>
        <v>58785</v>
      </c>
      <c r="D585" s="150">
        <f t="shared" si="119"/>
        <v>0</v>
      </c>
      <c r="E585" s="151">
        <f t="shared" ref="E585:E607" si="123">D585-F585</f>
        <v>0</v>
      </c>
      <c r="F585" s="151">
        <f t="shared" si="117"/>
        <v>0</v>
      </c>
      <c r="G585" s="152">
        <f t="shared" ref="G585:G607" si="124">G584-E585-L585-M585</f>
        <v>0</v>
      </c>
      <c r="H585" s="153">
        <f t="shared" si="120"/>
        <v>0</v>
      </c>
      <c r="I585" s="151">
        <f t="shared" si="118"/>
        <v>0</v>
      </c>
      <c r="J585" s="151">
        <f t="shared" ref="J585:J607" si="125">K584*$D$2/12/100</f>
        <v>0</v>
      </c>
      <c r="K585" s="154">
        <f t="shared" ref="K585:K607" si="126">K584-I585-L585-M585</f>
        <v>0</v>
      </c>
      <c r="L585" s="167"/>
      <c r="M585" s="171"/>
      <c r="N585" s="155">
        <f t="shared" si="121"/>
        <v>7</v>
      </c>
      <c r="O585" s="123">
        <f t="shared" ref="O585:O607" si="127">O584+N584-N585</f>
        <v>24</v>
      </c>
      <c r="P585" s="124">
        <f t="shared" si="122"/>
        <v>0</v>
      </c>
      <c r="Q585" s="125"/>
      <c r="R585" s="125"/>
      <c r="S585" s="125"/>
      <c r="T585" s="125"/>
      <c r="U585" s="125"/>
      <c r="V585" s="125"/>
      <c r="W585" s="125"/>
      <c r="X585" s="125"/>
      <c r="Y585" s="125"/>
      <c r="Z585" s="125"/>
    </row>
    <row r="586" spans="1:26">
      <c r="A586" s="147">
        <v>579</v>
      </c>
      <c r="B586" s="173"/>
      <c r="C586" s="149">
        <f t="shared" ref="C586:C607" si="128">DATE(YEAR(C585),MONTH(C585)+1,DAY(C585))</f>
        <v>58816</v>
      </c>
      <c r="D586" s="150">
        <f t="shared" si="119"/>
        <v>0</v>
      </c>
      <c r="E586" s="151">
        <f t="shared" si="123"/>
        <v>0</v>
      </c>
      <c r="F586" s="151">
        <f t="shared" ref="F586:F649" si="129">G585*$D$2*(C586-C585)/(DATE(YEAR(C586)+1,1,1)-DATE(YEAR(C586),1,1))/100</f>
        <v>0</v>
      </c>
      <c r="G586" s="152">
        <f t="shared" si="124"/>
        <v>0</v>
      </c>
      <c r="H586" s="153">
        <f t="shared" si="120"/>
        <v>0</v>
      </c>
      <c r="I586" s="151">
        <f t="shared" ref="I586:I607" si="130">IF($D$1/$D$3&lt;K585,$D$1/$D$3,K585)</f>
        <v>0</v>
      </c>
      <c r="J586" s="151">
        <f t="shared" si="125"/>
        <v>0</v>
      </c>
      <c r="K586" s="154">
        <f t="shared" si="126"/>
        <v>0</v>
      </c>
      <c r="L586" s="167"/>
      <c r="M586" s="171"/>
      <c r="N586" s="155">
        <f t="shared" si="121"/>
        <v>7</v>
      </c>
      <c r="O586" s="123">
        <f t="shared" si="127"/>
        <v>24</v>
      </c>
      <c r="P586" s="124">
        <f t="shared" si="122"/>
        <v>0</v>
      </c>
      <c r="Q586" s="125"/>
      <c r="R586" s="125"/>
      <c r="S586" s="125"/>
      <c r="T586" s="125"/>
      <c r="U586" s="125"/>
      <c r="V586" s="125"/>
      <c r="W586" s="125"/>
      <c r="X586" s="125"/>
      <c r="Y586" s="125"/>
      <c r="Z586" s="125"/>
    </row>
    <row r="587" spans="1:26">
      <c r="A587" s="147">
        <v>580</v>
      </c>
      <c r="B587" s="173"/>
      <c r="C587" s="149">
        <f t="shared" si="128"/>
        <v>58847</v>
      </c>
      <c r="D587" s="150">
        <f t="shared" si="119"/>
        <v>0</v>
      </c>
      <c r="E587" s="151">
        <f t="shared" si="123"/>
        <v>0</v>
      </c>
      <c r="F587" s="151">
        <f t="shared" si="129"/>
        <v>0</v>
      </c>
      <c r="G587" s="152">
        <f t="shared" si="124"/>
        <v>0</v>
      </c>
      <c r="H587" s="153">
        <f t="shared" si="120"/>
        <v>0</v>
      </c>
      <c r="I587" s="151">
        <f t="shared" si="130"/>
        <v>0</v>
      </c>
      <c r="J587" s="151">
        <f t="shared" si="125"/>
        <v>0</v>
      </c>
      <c r="K587" s="154">
        <f t="shared" si="126"/>
        <v>0</v>
      </c>
      <c r="L587" s="167"/>
      <c r="M587" s="171"/>
      <c r="N587" s="155">
        <f t="shared" si="121"/>
        <v>7</v>
      </c>
      <c r="O587" s="123">
        <f t="shared" si="127"/>
        <v>24</v>
      </c>
      <c r="P587" s="124">
        <f t="shared" si="122"/>
        <v>0</v>
      </c>
      <c r="Q587" s="125"/>
      <c r="R587" s="125"/>
      <c r="S587" s="125"/>
      <c r="T587" s="125"/>
      <c r="U587" s="125"/>
      <c r="V587" s="125"/>
      <c r="W587" s="125"/>
      <c r="X587" s="125"/>
      <c r="Y587" s="125"/>
      <c r="Z587" s="125"/>
    </row>
    <row r="588" spans="1:26">
      <c r="A588" s="147">
        <v>581</v>
      </c>
      <c r="B588" s="173"/>
      <c r="C588" s="149">
        <f t="shared" si="128"/>
        <v>58875</v>
      </c>
      <c r="D588" s="150">
        <f t="shared" si="119"/>
        <v>0</v>
      </c>
      <c r="E588" s="151">
        <f t="shared" si="123"/>
        <v>0</v>
      </c>
      <c r="F588" s="151">
        <f t="shared" si="129"/>
        <v>0</v>
      </c>
      <c r="G588" s="152">
        <f t="shared" si="124"/>
        <v>0</v>
      </c>
      <c r="H588" s="153">
        <f t="shared" si="120"/>
        <v>0</v>
      </c>
      <c r="I588" s="151">
        <f t="shared" si="130"/>
        <v>0</v>
      </c>
      <c r="J588" s="151">
        <f t="shared" si="125"/>
        <v>0</v>
      </c>
      <c r="K588" s="154">
        <f t="shared" si="126"/>
        <v>0</v>
      </c>
      <c r="L588" s="167"/>
      <c r="M588" s="171"/>
      <c r="N588" s="155">
        <f t="shared" si="121"/>
        <v>7</v>
      </c>
      <c r="O588" s="123">
        <f t="shared" si="127"/>
        <v>24</v>
      </c>
      <c r="P588" s="124">
        <f t="shared" si="122"/>
        <v>0</v>
      </c>
      <c r="Q588" s="125"/>
      <c r="R588" s="125"/>
      <c r="S588" s="125"/>
      <c r="T588" s="125"/>
      <c r="U588" s="125"/>
      <c r="V588" s="125"/>
      <c r="W588" s="125"/>
      <c r="X588" s="125"/>
      <c r="Y588" s="125"/>
      <c r="Z588" s="125"/>
    </row>
    <row r="589" spans="1:26">
      <c r="A589" s="147">
        <v>582</v>
      </c>
      <c r="B589" s="173"/>
      <c r="C589" s="149">
        <f t="shared" si="128"/>
        <v>58906</v>
      </c>
      <c r="D589" s="150">
        <f t="shared" si="119"/>
        <v>0</v>
      </c>
      <c r="E589" s="151">
        <f t="shared" si="123"/>
        <v>0</v>
      </c>
      <c r="F589" s="151">
        <f t="shared" si="129"/>
        <v>0</v>
      </c>
      <c r="G589" s="152">
        <f t="shared" si="124"/>
        <v>0</v>
      </c>
      <c r="H589" s="153">
        <f t="shared" si="120"/>
        <v>0</v>
      </c>
      <c r="I589" s="151">
        <f t="shared" si="130"/>
        <v>0</v>
      </c>
      <c r="J589" s="151">
        <f t="shared" si="125"/>
        <v>0</v>
      </c>
      <c r="K589" s="154">
        <f t="shared" si="126"/>
        <v>0</v>
      </c>
      <c r="L589" s="167"/>
      <c r="M589" s="171"/>
      <c r="N589" s="155">
        <f t="shared" si="121"/>
        <v>7</v>
      </c>
      <c r="O589" s="123">
        <f t="shared" si="127"/>
        <v>24</v>
      </c>
      <c r="P589" s="124">
        <f t="shared" si="122"/>
        <v>0</v>
      </c>
      <c r="Q589" s="125"/>
      <c r="R589" s="125"/>
      <c r="S589" s="125"/>
      <c r="T589" s="125"/>
      <c r="U589" s="125"/>
      <c r="V589" s="125"/>
      <c r="W589" s="125"/>
      <c r="X589" s="125"/>
      <c r="Y589" s="125"/>
      <c r="Z589" s="125"/>
    </row>
    <row r="590" spans="1:26">
      <c r="A590" s="147">
        <v>583</v>
      </c>
      <c r="B590" s="173"/>
      <c r="C590" s="149">
        <f t="shared" si="128"/>
        <v>58936</v>
      </c>
      <c r="D590" s="150">
        <f t="shared" si="119"/>
        <v>0</v>
      </c>
      <c r="E590" s="151">
        <f t="shared" si="123"/>
        <v>0</v>
      </c>
      <c r="F590" s="151">
        <f t="shared" si="129"/>
        <v>0</v>
      </c>
      <c r="G590" s="152">
        <f t="shared" si="124"/>
        <v>0</v>
      </c>
      <c r="H590" s="153">
        <f t="shared" si="120"/>
        <v>0</v>
      </c>
      <c r="I590" s="151">
        <f t="shared" si="130"/>
        <v>0</v>
      </c>
      <c r="J590" s="151">
        <f t="shared" si="125"/>
        <v>0</v>
      </c>
      <c r="K590" s="154">
        <f t="shared" si="126"/>
        <v>0</v>
      </c>
      <c r="L590" s="167"/>
      <c r="M590" s="171"/>
      <c r="N590" s="155">
        <f t="shared" si="121"/>
        <v>7</v>
      </c>
      <c r="O590" s="123">
        <f t="shared" si="127"/>
        <v>24</v>
      </c>
      <c r="P590" s="124">
        <f t="shared" si="122"/>
        <v>0</v>
      </c>
      <c r="Q590" s="125"/>
      <c r="R590" s="125"/>
      <c r="S590" s="125"/>
      <c r="T590" s="125"/>
      <c r="U590" s="125"/>
      <c r="V590" s="125"/>
      <c r="W590" s="125"/>
      <c r="X590" s="125"/>
      <c r="Y590" s="125"/>
      <c r="Z590" s="125"/>
    </row>
    <row r="591" spans="1:26">
      <c r="A591" s="147">
        <v>584</v>
      </c>
      <c r="B591" s="173"/>
      <c r="C591" s="149">
        <f t="shared" si="128"/>
        <v>58967</v>
      </c>
      <c r="D591" s="150">
        <f t="shared" si="119"/>
        <v>0</v>
      </c>
      <c r="E591" s="151">
        <f t="shared" si="123"/>
        <v>0</v>
      </c>
      <c r="F591" s="151">
        <f t="shared" si="129"/>
        <v>0</v>
      </c>
      <c r="G591" s="152">
        <f t="shared" si="124"/>
        <v>0</v>
      </c>
      <c r="H591" s="153">
        <f t="shared" si="120"/>
        <v>0</v>
      </c>
      <c r="I591" s="151">
        <f t="shared" si="130"/>
        <v>0</v>
      </c>
      <c r="J591" s="151">
        <f t="shared" si="125"/>
        <v>0</v>
      </c>
      <c r="K591" s="154">
        <f t="shared" si="126"/>
        <v>0</v>
      </c>
      <c r="L591" s="167"/>
      <c r="M591" s="171"/>
      <c r="N591" s="155">
        <f t="shared" si="121"/>
        <v>7</v>
      </c>
      <c r="O591" s="123">
        <f t="shared" si="127"/>
        <v>24</v>
      </c>
      <c r="P591" s="124">
        <f t="shared" si="122"/>
        <v>0</v>
      </c>
      <c r="Q591" s="125"/>
      <c r="R591" s="125"/>
      <c r="S591" s="125"/>
      <c r="T591" s="125"/>
      <c r="U591" s="125"/>
      <c r="V591" s="125"/>
      <c r="W591" s="125"/>
      <c r="X591" s="125"/>
      <c r="Y591" s="125"/>
      <c r="Z591" s="125"/>
    </row>
    <row r="592" spans="1:26">
      <c r="A592" s="147">
        <v>585</v>
      </c>
      <c r="B592" s="173"/>
      <c r="C592" s="149">
        <f t="shared" si="128"/>
        <v>58997</v>
      </c>
      <c r="D592" s="150">
        <f t="shared" si="119"/>
        <v>0</v>
      </c>
      <c r="E592" s="151">
        <f t="shared" si="123"/>
        <v>0</v>
      </c>
      <c r="F592" s="151">
        <f t="shared" si="129"/>
        <v>0</v>
      </c>
      <c r="G592" s="152">
        <f t="shared" si="124"/>
        <v>0</v>
      </c>
      <c r="H592" s="153">
        <f t="shared" si="120"/>
        <v>0</v>
      </c>
      <c r="I592" s="151">
        <f t="shared" si="130"/>
        <v>0</v>
      </c>
      <c r="J592" s="151">
        <f t="shared" si="125"/>
        <v>0</v>
      </c>
      <c r="K592" s="154">
        <f t="shared" si="126"/>
        <v>0</v>
      </c>
      <c r="L592" s="167"/>
      <c r="M592" s="171"/>
      <c r="N592" s="155">
        <f t="shared" si="121"/>
        <v>7</v>
      </c>
      <c r="O592" s="123">
        <f t="shared" si="127"/>
        <v>24</v>
      </c>
      <c r="P592" s="124">
        <f t="shared" si="122"/>
        <v>0</v>
      </c>
      <c r="Q592" s="125"/>
      <c r="R592" s="125"/>
      <c r="S592" s="125"/>
      <c r="T592" s="125"/>
      <c r="U592" s="125"/>
      <c r="V592" s="125"/>
      <c r="W592" s="125"/>
      <c r="X592" s="125"/>
      <c r="Y592" s="125"/>
      <c r="Z592" s="125"/>
    </row>
    <row r="593" spans="1:26">
      <c r="A593" s="147">
        <v>586</v>
      </c>
      <c r="B593" s="173"/>
      <c r="C593" s="149">
        <f t="shared" si="128"/>
        <v>59028</v>
      </c>
      <c r="D593" s="150">
        <f t="shared" si="119"/>
        <v>0</v>
      </c>
      <c r="E593" s="151">
        <f t="shared" si="123"/>
        <v>0</v>
      </c>
      <c r="F593" s="151">
        <f t="shared" si="129"/>
        <v>0</v>
      </c>
      <c r="G593" s="152">
        <f t="shared" si="124"/>
        <v>0</v>
      </c>
      <c r="H593" s="153">
        <f t="shared" si="120"/>
        <v>0</v>
      </c>
      <c r="I593" s="151">
        <f t="shared" si="130"/>
        <v>0</v>
      </c>
      <c r="J593" s="151">
        <f t="shared" si="125"/>
        <v>0</v>
      </c>
      <c r="K593" s="154">
        <f t="shared" si="126"/>
        <v>0</v>
      </c>
      <c r="L593" s="167"/>
      <c r="M593" s="171"/>
      <c r="N593" s="155">
        <f t="shared" si="121"/>
        <v>7</v>
      </c>
      <c r="O593" s="123">
        <f t="shared" si="127"/>
        <v>24</v>
      </c>
      <c r="P593" s="124">
        <f t="shared" si="122"/>
        <v>0</v>
      </c>
      <c r="Q593" s="125"/>
      <c r="R593" s="125"/>
      <c r="S593" s="125"/>
      <c r="T593" s="125"/>
      <c r="U593" s="125"/>
      <c r="V593" s="125"/>
      <c r="W593" s="125"/>
      <c r="X593" s="125"/>
      <c r="Y593" s="125"/>
      <c r="Z593" s="125"/>
    </row>
    <row r="594" spans="1:26">
      <c r="A594" s="147">
        <v>587</v>
      </c>
      <c r="B594" s="173"/>
      <c r="C594" s="149">
        <f t="shared" si="128"/>
        <v>59059</v>
      </c>
      <c r="D594" s="150">
        <f t="shared" si="119"/>
        <v>0</v>
      </c>
      <c r="E594" s="151">
        <f t="shared" si="123"/>
        <v>0</v>
      </c>
      <c r="F594" s="151">
        <f t="shared" si="129"/>
        <v>0</v>
      </c>
      <c r="G594" s="152">
        <f t="shared" si="124"/>
        <v>0</v>
      </c>
      <c r="H594" s="153">
        <f t="shared" si="120"/>
        <v>0</v>
      </c>
      <c r="I594" s="151">
        <f t="shared" si="130"/>
        <v>0</v>
      </c>
      <c r="J594" s="151">
        <f t="shared" si="125"/>
        <v>0</v>
      </c>
      <c r="K594" s="154">
        <f t="shared" si="126"/>
        <v>0</v>
      </c>
      <c r="L594" s="167"/>
      <c r="M594" s="171"/>
      <c r="N594" s="155">
        <f t="shared" si="121"/>
        <v>7</v>
      </c>
      <c r="O594" s="123">
        <f t="shared" si="127"/>
        <v>24</v>
      </c>
      <c r="P594" s="124">
        <f t="shared" si="122"/>
        <v>0</v>
      </c>
      <c r="Q594" s="125"/>
      <c r="R594" s="125"/>
      <c r="S594" s="125"/>
      <c r="T594" s="125"/>
      <c r="U594" s="125"/>
      <c r="V594" s="125"/>
      <c r="W594" s="125"/>
      <c r="X594" s="125"/>
      <c r="Y594" s="125"/>
      <c r="Z594" s="125"/>
    </row>
    <row r="595" spans="1:26">
      <c r="A595" s="147">
        <v>588</v>
      </c>
      <c r="B595" s="173"/>
      <c r="C595" s="149">
        <f t="shared" si="128"/>
        <v>59089</v>
      </c>
      <c r="D595" s="150">
        <f t="shared" si="119"/>
        <v>0</v>
      </c>
      <c r="E595" s="151">
        <f t="shared" si="123"/>
        <v>0</v>
      </c>
      <c r="F595" s="151">
        <f t="shared" si="129"/>
        <v>0</v>
      </c>
      <c r="G595" s="152">
        <f t="shared" si="124"/>
        <v>0</v>
      </c>
      <c r="H595" s="153">
        <f t="shared" si="120"/>
        <v>0</v>
      </c>
      <c r="I595" s="151">
        <f t="shared" si="130"/>
        <v>0</v>
      </c>
      <c r="J595" s="151">
        <f t="shared" si="125"/>
        <v>0</v>
      </c>
      <c r="K595" s="154">
        <f t="shared" si="126"/>
        <v>0</v>
      </c>
      <c r="L595" s="167"/>
      <c r="M595" s="171"/>
      <c r="N595" s="155">
        <f t="shared" si="121"/>
        <v>7</v>
      </c>
      <c r="O595" s="123">
        <f t="shared" si="127"/>
        <v>24</v>
      </c>
      <c r="P595" s="124">
        <f t="shared" si="122"/>
        <v>0</v>
      </c>
      <c r="Q595" s="125"/>
      <c r="R595" s="125"/>
      <c r="S595" s="125"/>
      <c r="T595" s="125"/>
      <c r="U595" s="125"/>
      <c r="V595" s="125"/>
      <c r="W595" s="125"/>
      <c r="X595" s="125"/>
      <c r="Y595" s="125"/>
      <c r="Z595" s="125"/>
    </row>
    <row r="596" spans="1:26">
      <c r="A596" s="156">
        <v>589</v>
      </c>
      <c r="B596" s="174"/>
      <c r="C596" s="149">
        <f t="shared" si="128"/>
        <v>59120</v>
      </c>
      <c r="D596" s="150">
        <f t="shared" si="119"/>
        <v>0</v>
      </c>
      <c r="E596" s="157">
        <f t="shared" si="123"/>
        <v>0</v>
      </c>
      <c r="F596" s="151">
        <f t="shared" si="129"/>
        <v>0</v>
      </c>
      <c r="G596" s="158">
        <f t="shared" si="124"/>
        <v>0</v>
      </c>
      <c r="H596" s="159">
        <f t="shared" si="120"/>
        <v>0</v>
      </c>
      <c r="I596" s="157">
        <f t="shared" si="130"/>
        <v>0</v>
      </c>
      <c r="J596" s="157">
        <f t="shared" si="125"/>
        <v>0</v>
      </c>
      <c r="K596" s="160">
        <f t="shared" si="126"/>
        <v>0</v>
      </c>
      <c r="L596" s="169"/>
      <c r="M596" s="168"/>
      <c r="N596" s="155">
        <f t="shared" si="121"/>
        <v>7</v>
      </c>
      <c r="O596" s="123">
        <f t="shared" si="127"/>
        <v>24</v>
      </c>
      <c r="P596" s="124">
        <f t="shared" si="122"/>
        <v>0</v>
      </c>
      <c r="Q596" s="125"/>
      <c r="R596" s="125"/>
      <c r="S596" s="125"/>
      <c r="T596" s="125"/>
      <c r="U596" s="125"/>
      <c r="V596" s="125"/>
      <c r="W596" s="125"/>
      <c r="X596" s="125"/>
      <c r="Y596" s="125"/>
      <c r="Z596" s="125"/>
    </row>
    <row r="597" spans="1:26">
      <c r="A597" s="161">
        <v>590</v>
      </c>
      <c r="B597" s="174"/>
      <c r="C597" s="149">
        <f t="shared" si="128"/>
        <v>59150</v>
      </c>
      <c r="D597" s="150">
        <f t="shared" si="119"/>
        <v>0</v>
      </c>
      <c r="E597" s="151">
        <f t="shared" si="123"/>
        <v>0</v>
      </c>
      <c r="F597" s="151">
        <f t="shared" si="129"/>
        <v>0</v>
      </c>
      <c r="G597" s="152">
        <f t="shared" si="124"/>
        <v>0</v>
      </c>
      <c r="H597" s="153">
        <f t="shared" si="120"/>
        <v>0</v>
      </c>
      <c r="I597" s="151">
        <f t="shared" si="130"/>
        <v>0</v>
      </c>
      <c r="J597" s="151">
        <f t="shared" si="125"/>
        <v>0</v>
      </c>
      <c r="K597" s="154">
        <f t="shared" si="126"/>
        <v>0</v>
      </c>
      <c r="L597" s="167"/>
      <c r="M597" s="171"/>
      <c r="N597" s="155">
        <f t="shared" si="121"/>
        <v>7</v>
      </c>
      <c r="O597" s="123">
        <f t="shared" si="127"/>
        <v>24</v>
      </c>
      <c r="P597" s="124">
        <f t="shared" si="122"/>
        <v>0</v>
      </c>
      <c r="Q597" s="125"/>
      <c r="R597" s="125"/>
      <c r="S597" s="125"/>
      <c r="T597" s="125"/>
      <c r="U597" s="125"/>
      <c r="V597" s="125"/>
      <c r="W597" s="125"/>
      <c r="X597" s="125"/>
      <c r="Y597" s="125"/>
      <c r="Z597" s="125"/>
    </row>
    <row r="598" spans="1:26">
      <c r="A598" s="161">
        <v>591</v>
      </c>
      <c r="B598" s="174"/>
      <c r="C598" s="149">
        <f t="shared" si="128"/>
        <v>59181</v>
      </c>
      <c r="D598" s="150">
        <f t="shared" si="119"/>
        <v>0</v>
      </c>
      <c r="E598" s="151">
        <f t="shared" si="123"/>
        <v>0</v>
      </c>
      <c r="F598" s="151">
        <f t="shared" si="129"/>
        <v>0</v>
      </c>
      <c r="G598" s="152">
        <f t="shared" si="124"/>
        <v>0</v>
      </c>
      <c r="H598" s="153">
        <f t="shared" si="120"/>
        <v>0</v>
      </c>
      <c r="I598" s="151">
        <f t="shared" si="130"/>
        <v>0</v>
      </c>
      <c r="J598" s="151">
        <f t="shared" si="125"/>
        <v>0</v>
      </c>
      <c r="K598" s="154">
        <f t="shared" si="126"/>
        <v>0</v>
      </c>
      <c r="L598" s="167"/>
      <c r="M598" s="171"/>
      <c r="N598" s="155">
        <f t="shared" si="121"/>
        <v>7</v>
      </c>
      <c r="O598" s="123">
        <f t="shared" si="127"/>
        <v>24</v>
      </c>
      <c r="P598" s="124">
        <f t="shared" si="122"/>
        <v>0</v>
      </c>
      <c r="Q598" s="125"/>
      <c r="R598" s="125"/>
      <c r="S598" s="125"/>
      <c r="T598" s="125"/>
      <c r="U598" s="125"/>
      <c r="V598" s="125"/>
      <c r="W598" s="125"/>
      <c r="X598" s="125"/>
      <c r="Y598" s="125"/>
      <c r="Z598" s="125"/>
    </row>
    <row r="599" spans="1:26">
      <c r="A599" s="161">
        <v>592</v>
      </c>
      <c r="B599" s="174"/>
      <c r="C599" s="149">
        <f t="shared" si="128"/>
        <v>59212</v>
      </c>
      <c r="D599" s="150">
        <f t="shared" si="119"/>
        <v>0</v>
      </c>
      <c r="E599" s="151">
        <f t="shared" si="123"/>
        <v>0</v>
      </c>
      <c r="F599" s="151">
        <f t="shared" si="129"/>
        <v>0</v>
      </c>
      <c r="G599" s="152">
        <f t="shared" si="124"/>
        <v>0</v>
      </c>
      <c r="H599" s="153">
        <f t="shared" si="120"/>
        <v>0</v>
      </c>
      <c r="I599" s="151">
        <f t="shared" si="130"/>
        <v>0</v>
      </c>
      <c r="J599" s="151">
        <f t="shared" si="125"/>
        <v>0</v>
      </c>
      <c r="K599" s="154">
        <f t="shared" si="126"/>
        <v>0</v>
      </c>
      <c r="L599" s="167"/>
      <c r="M599" s="171"/>
      <c r="N599" s="155">
        <f t="shared" si="121"/>
        <v>7</v>
      </c>
      <c r="O599" s="123">
        <f t="shared" si="127"/>
        <v>24</v>
      </c>
      <c r="P599" s="124">
        <f t="shared" si="122"/>
        <v>0</v>
      </c>
      <c r="Q599" s="125"/>
      <c r="R599" s="125"/>
      <c r="S599" s="125"/>
      <c r="T599" s="125"/>
      <c r="U599" s="125"/>
      <c r="V599" s="125"/>
      <c r="W599" s="125"/>
      <c r="X599" s="125"/>
      <c r="Y599" s="125"/>
      <c r="Z599" s="125"/>
    </row>
    <row r="600" spans="1:26">
      <c r="A600" s="161">
        <v>593</v>
      </c>
      <c r="B600" s="174"/>
      <c r="C600" s="149">
        <f t="shared" si="128"/>
        <v>59240</v>
      </c>
      <c r="D600" s="150">
        <f t="shared" si="119"/>
        <v>0</v>
      </c>
      <c r="E600" s="151">
        <f t="shared" si="123"/>
        <v>0</v>
      </c>
      <c r="F600" s="151">
        <f t="shared" si="129"/>
        <v>0</v>
      </c>
      <c r="G600" s="152">
        <f t="shared" si="124"/>
        <v>0</v>
      </c>
      <c r="H600" s="153">
        <f t="shared" si="120"/>
        <v>0</v>
      </c>
      <c r="I600" s="151">
        <f t="shared" si="130"/>
        <v>0</v>
      </c>
      <c r="J600" s="151">
        <f t="shared" si="125"/>
        <v>0</v>
      </c>
      <c r="K600" s="154">
        <f t="shared" si="126"/>
        <v>0</v>
      </c>
      <c r="L600" s="167"/>
      <c r="M600" s="171"/>
      <c r="N600" s="155">
        <f t="shared" si="121"/>
        <v>7</v>
      </c>
      <c r="O600" s="123">
        <f t="shared" si="127"/>
        <v>24</v>
      </c>
      <c r="P600" s="124">
        <f t="shared" si="122"/>
        <v>0</v>
      </c>
      <c r="Q600" s="125"/>
      <c r="R600" s="125"/>
      <c r="S600" s="125"/>
      <c r="T600" s="125"/>
      <c r="U600" s="125"/>
      <c r="V600" s="125"/>
      <c r="W600" s="125"/>
      <c r="X600" s="125"/>
      <c r="Y600" s="125"/>
      <c r="Z600" s="125"/>
    </row>
    <row r="601" spans="1:26">
      <c r="A601" s="161">
        <v>594</v>
      </c>
      <c r="B601" s="174"/>
      <c r="C601" s="149">
        <f t="shared" si="128"/>
        <v>59271</v>
      </c>
      <c r="D601" s="150">
        <f t="shared" si="119"/>
        <v>0</v>
      </c>
      <c r="E601" s="151">
        <f t="shared" si="123"/>
        <v>0</v>
      </c>
      <c r="F601" s="151">
        <f t="shared" si="129"/>
        <v>0</v>
      </c>
      <c r="G601" s="152">
        <f t="shared" si="124"/>
        <v>0</v>
      </c>
      <c r="H601" s="153">
        <f t="shared" si="120"/>
        <v>0</v>
      </c>
      <c r="I601" s="151">
        <f t="shared" si="130"/>
        <v>0</v>
      </c>
      <c r="J601" s="151">
        <f t="shared" si="125"/>
        <v>0</v>
      </c>
      <c r="K601" s="154">
        <f t="shared" si="126"/>
        <v>0</v>
      </c>
      <c r="L601" s="167"/>
      <c r="M601" s="171"/>
      <c r="N601" s="155">
        <f t="shared" si="121"/>
        <v>7</v>
      </c>
      <c r="O601" s="123">
        <f t="shared" si="127"/>
        <v>24</v>
      </c>
      <c r="P601" s="124">
        <f t="shared" si="122"/>
        <v>0</v>
      </c>
      <c r="Q601" s="125"/>
      <c r="R601" s="125"/>
      <c r="S601" s="125"/>
      <c r="T601" s="125"/>
      <c r="U601" s="125"/>
      <c r="V601" s="125"/>
      <c r="W601" s="125"/>
      <c r="X601" s="125"/>
      <c r="Y601" s="125"/>
      <c r="Z601" s="125"/>
    </row>
    <row r="602" spans="1:26">
      <c r="A602" s="161">
        <v>595</v>
      </c>
      <c r="B602" s="174"/>
      <c r="C602" s="149">
        <f t="shared" si="128"/>
        <v>59301</v>
      </c>
      <c r="D602" s="150">
        <f t="shared" si="119"/>
        <v>0</v>
      </c>
      <c r="E602" s="151">
        <f t="shared" si="123"/>
        <v>0</v>
      </c>
      <c r="F602" s="151">
        <f t="shared" si="129"/>
        <v>0</v>
      </c>
      <c r="G602" s="152">
        <f t="shared" si="124"/>
        <v>0</v>
      </c>
      <c r="H602" s="153">
        <f t="shared" si="120"/>
        <v>0</v>
      </c>
      <c r="I602" s="151">
        <f t="shared" si="130"/>
        <v>0</v>
      </c>
      <c r="J602" s="151">
        <f t="shared" si="125"/>
        <v>0</v>
      </c>
      <c r="K602" s="154">
        <f t="shared" si="126"/>
        <v>0</v>
      </c>
      <c r="L602" s="167"/>
      <c r="M602" s="171"/>
      <c r="N602" s="155">
        <f t="shared" si="121"/>
        <v>7</v>
      </c>
      <c r="O602" s="123">
        <f t="shared" si="127"/>
        <v>24</v>
      </c>
      <c r="P602" s="124">
        <f t="shared" si="122"/>
        <v>0</v>
      </c>
      <c r="Q602" s="125"/>
      <c r="R602" s="125"/>
      <c r="S602" s="125"/>
      <c r="T602" s="125"/>
      <c r="U602" s="125"/>
      <c r="V602" s="125"/>
      <c r="W602" s="125"/>
      <c r="X602" s="125"/>
      <c r="Y602" s="125"/>
      <c r="Z602" s="125"/>
    </row>
    <row r="603" spans="1:26">
      <c r="A603" s="161">
        <v>596</v>
      </c>
      <c r="B603" s="174"/>
      <c r="C603" s="149">
        <f t="shared" si="128"/>
        <v>59332</v>
      </c>
      <c r="D603" s="150">
        <f t="shared" si="119"/>
        <v>0</v>
      </c>
      <c r="E603" s="151">
        <f t="shared" si="123"/>
        <v>0</v>
      </c>
      <c r="F603" s="151">
        <f t="shared" si="129"/>
        <v>0</v>
      </c>
      <c r="G603" s="152">
        <f t="shared" si="124"/>
        <v>0</v>
      </c>
      <c r="H603" s="153">
        <f t="shared" si="120"/>
        <v>0</v>
      </c>
      <c r="I603" s="151">
        <f t="shared" si="130"/>
        <v>0</v>
      </c>
      <c r="J603" s="151">
        <f t="shared" si="125"/>
        <v>0</v>
      </c>
      <c r="K603" s="154">
        <f t="shared" si="126"/>
        <v>0</v>
      </c>
      <c r="L603" s="167"/>
      <c r="M603" s="171"/>
      <c r="N603" s="155">
        <f t="shared" si="121"/>
        <v>7</v>
      </c>
      <c r="O603" s="123">
        <f t="shared" si="127"/>
        <v>24</v>
      </c>
      <c r="P603" s="124">
        <f t="shared" si="122"/>
        <v>0</v>
      </c>
      <c r="Q603" s="125"/>
      <c r="R603" s="125"/>
      <c r="S603" s="125"/>
      <c r="T603" s="125"/>
      <c r="U603" s="125"/>
      <c r="V603" s="125"/>
      <c r="W603" s="125"/>
      <c r="X603" s="125"/>
      <c r="Y603" s="125"/>
      <c r="Z603" s="125"/>
    </row>
    <row r="604" spans="1:26">
      <c r="A604" s="161">
        <v>597</v>
      </c>
      <c r="B604" s="174"/>
      <c r="C604" s="149">
        <f t="shared" si="128"/>
        <v>59362</v>
      </c>
      <c r="D604" s="150">
        <f t="shared" si="119"/>
        <v>0</v>
      </c>
      <c r="E604" s="151">
        <f t="shared" si="123"/>
        <v>0</v>
      </c>
      <c r="F604" s="151">
        <f t="shared" si="129"/>
        <v>0</v>
      </c>
      <c r="G604" s="152">
        <f t="shared" si="124"/>
        <v>0</v>
      </c>
      <c r="H604" s="153">
        <f t="shared" si="120"/>
        <v>0</v>
      </c>
      <c r="I604" s="151">
        <f t="shared" si="130"/>
        <v>0</v>
      </c>
      <c r="J604" s="151">
        <f t="shared" si="125"/>
        <v>0</v>
      </c>
      <c r="K604" s="154">
        <f t="shared" si="126"/>
        <v>0</v>
      </c>
      <c r="L604" s="167"/>
      <c r="M604" s="171"/>
      <c r="N604" s="155">
        <f t="shared" si="121"/>
        <v>7</v>
      </c>
      <c r="O604" s="123">
        <f t="shared" si="127"/>
        <v>24</v>
      </c>
      <c r="P604" s="124">
        <f t="shared" si="122"/>
        <v>0</v>
      </c>
      <c r="Q604" s="125"/>
      <c r="R604" s="125"/>
      <c r="S604" s="125"/>
      <c r="T604" s="125"/>
      <c r="U604" s="125"/>
      <c r="V604" s="125"/>
      <c r="W604" s="125"/>
      <c r="X604" s="125"/>
      <c r="Y604" s="125"/>
      <c r="Z604" s="125"/>
    </row>
    <row r="605" spans="1:26">
      <c r="A605" s="161">
        <v>598</v>
      </c>
      <c r="B605" s="174"/>
      <c r="C605" s="149">
        <f t="shared" si="128"/>
        <v>59393</v>
      </c>
      <c r="D605" s="150">
        <f t="shared" si="119"/>
        <v>0</v>
      </c>
      <c r="E605" s="151">
        <f t="shared" si="123"/>
        <v>0</v>
      </c>
      <c r="F605" s="151">
        <f t="shared" si="129"/>
        <v>0</v>
      </c>
      <c r="G605" s="152">
        <f t="shared" si="124"/>
        <v>0</v>
      </c>
      <c r="H605" s="153">
        <f t="shared" si="120"/>
        <v>0</v>
      </c>
      <c r="I605" s="151">
        <f t="shared" si="130"/>
        <v>0</v>
      </c>
      <c r="J605" s="151">
        <f t="shared" si="125"/>
        <v>0</v>
      </c>
      <c r="K605" s="154">
        <f t="shared" si="126"/>
        <v>0</v>
      </c>
      <c r="L605" s="167"/>
      <c r="M605" s="171"/>
      <c r="N605" s="155">
        <f t="shared" si="121"/>
        <v>7</v>
      </c>
      <c r="O605" s="123">
        <f t="shared" si="127"/>
        <v>24</v>
      </c>
      <c r="P605" s="124">
        <f t="shared" si="122"/>
        <v>0</v>
      </c>
      <c r="Q605" s="125"/>
      <c r="R605" s="125"/>
      <c r="S605" s="125"/>
      <c r="T605" s="125"/>
      <c r="U605" s="125"/>
      <c r="V605" s="125"/>
      <c r="W605" s="125"/>
      <c r="X605" s="125"/>
      <c r="Y605" s="125"/>
      <c r="Z605" s="125"/>
    </row>
    <row r="606" spans="1:26">
      <c r="A606" s="161">
        <v>599</v>
      </c>
      <c r="B606" s="174"/>
      <c r="C606" s="149">
        <f t="shared" si="128"/>
        <v>59424</v>
      </c>
      <c r="D606" s="150">
        <f t="shared" si="119"/>
        <v>0</v>
      </c>
      <c r="E606" s="151">
        <f t="shared" si="123"/>
        <v>0</v>
      </c>
      <c r="F606" s="151">
        <f t="shared" si="129"/>
        <v>0</v>
      </c>
      <c r="G606" s="152">
        <f t="shared" si="124"/>
        <v>0</v>
      </c>
      <c r="H606" s="153">
        <f t="shared" si="120"/>
        <v>0</v>
      </c>
      <c r="I606" s="151">
        <f t="shared" si="130"/>
        <v>0</v>
      </c>
      <c r="J606" s="151">
        <f t="shared" si="125"/>
        <v>0</v>
      </c>
      <c r="K606" s="154">
        <f t="shared" si="126"/>
        <v>0</v>
      </c>
      <c r="L606" s="167"/>
      <c r="M606" s="171"/>
      <c r="N606" s="155">
        <f t="shared" si="121"/>
        <v>7</v>
      </c>
      <c r="O606" s="123">
        <f t="shared" si="127"/>
        <v>24</v>
      </c>
      <c r="P606" s="124">
        <f t="shared" si="122"/>
        <v>0</v>
      </c>
      <c r="Q606" s="125"/>
      <c r="R606" s="125"/>
      <c r="S606" s="125"/>
      <c r="T606" s="125"/>
      <c r="U606" s="125"/>
      <c r="V606" s="125"/>
      <c r="W606" s="125"/>
      <c r="X606" s="125"/>
      <c r="Y606" s="125"/>
      <c r="Z606" s="125"/>
    </row>
    <row r="607" spans="1:26" ht="15.75" thickBot="1">
      <c r="A607" s="162">
        <v>600</v>
      </c>
      <c r="B607" s="174"/>
      <c r="C607" s="149">
        <f t="shared" si="128"/>
        <v>59454</v>
      </c>
      <c r="D607" s="150">
        <f t="shared" si="119"/>
        <v>0</v>
      </c>
      <c r="E607" s="163">
        <f t="shared" si="123"/>
        <v>0</v>
      </c>
      <c r="F607" s="151">
        <f t="shared" si="129"/>
        <v>0</v>
      </c>
      <c r="G607" s="164">
        <f t="shared" si="124"/>
        <v>0</v>
      </c>
      <c r="H607" s="175">
        <f t="shared" si="120"/>
        <v>0</v>
      </c>
      <c r="I607" s="176">
        <f t="shared" si="130"/>
        <v>0</v>
      </c>
      <c r="J607" s="176">
        <f t="shared" si="125"/>
        <v>0</v>
      </c>
      <c r="K607" s="177">
        <f t="shared" si="126"/>
        <v>0</v>
      </c>
      <c r="L607" s="178"/>
      <c r="M607" s="179"/>
      <c r="N607" s="155">
        <f t="shared" si="121"/>
        <v>7</v>
      </c>
      <c r="O607" s="123">
        <f t="shared" si="127"/>
        <v>24</v>
      </c>
      <c r="P607" s="124">
        <f t="shared" si="122"/>
        <v>0</v>
      </c>
      <c r="Q607" s="125"/>
      <c r="R607" s="125"/>
      <c r="S607" s="125"/>
      <c r="T607" s="125"/>
      <c r="U607" s="125"/>
      <c r="V607" s="125"/>
      <c r="W607" s="125"/>
      <c r="X607" s="125"/>
      <c r="Y607" s="125"/>
      <c r="Z607" s="125"/>
    </row>
    <row r="608" spans="1:26">
      <c r="A608" s="180"/>
      <c r="B608" s="180"/>
      <c r="C608" s="181"/>
      <c r="D608" s="182"/>
      <c r="E608" s="182"/>
      <c r="F608" s="151">
        <f t="shared" si="129"/>
        <v>0</v>
      </c>
      <c r="G608" s="182"/>
      <c r="H608" s="182"/>
      <c r="I608" s="182"/>
      <c r="J608" s="182"/>
      <c r="K608" s="182"/>
      <c r="L608" s="183"/>
      <c r="M608" s="183"/>
      <c r="N608" s="184"/>
      <c r="O608" s="123"/>
      <c r="P608" s="124"/>
      <c r="Q608" s="125"/>
      <c r="R608" s="125"/>
      <c r="S608" s="125"/>
      <c r="T608" s="125"/>
      <c r="U608" s="125"/>
      <c r="V608" s="125"/>
      <c r="W608" s="125"/>
      <c r="X608" s="125"/>
      <c r="Y608" s="125"/>
      <c r="Z608" s="125"/>
    </row>
    <row r="609" spans="1:26">
      <c r="A609" s="180"/>
      <c r="B609" s="180"/>
      <c r="C609" s="181"/>
      <c r="D609" s="182"/>
      <c r="E609" s="182"/>
      <c r="F609" s="151">
        <f t="shared" si="129"/>
        <v>0</v>
      </c>
      <c r="G609" s="182"/>
      <c r="H609" s="182"/>
      <c r="I609" s="182"/>
      <c r="J609" s="182"/>
      <c r="K609" s="182"/>
      <c r="L609" s="183"/>
      <c r="M609" s="183"/>
      <c r="N609" s="184"/>
      <c r="O609" s="123"/>
      <c r="P609" s="124"/>
      <c r="Q609" s="125"/>
      <c r="R609" s="125"/>
      <c r="S609" s="125"/>
      <c r="T609" s="125"/>
      <c r="U609" s="125"/>
      <c r="V609" s="125"/>
      <c r="W609" s="125"/>
      <c r="X609" s="125"/>
      <c r="Y609" s="125"/>
      <c r="Z609" s="125"/>
    </row>
    <row r="610" spans="1:26">
      <c r="A610" s="180"/>
      <c r="B610" s="180"/>
      <c r="C610" s="181"/>
      <c r="D610" s="182"/>
      <c r="E610" s="182"/>
      <c r="F610" s="151">
        <f t="shared" si="129"/>
        <v>0</v>
      </c>
      <c r="G610" s="182"/>
      <c r="H610" s="182"/>
      <c r="I610" s="182"/>
      <c r="J610" s="182"/>
      <c r="K610" s="182"/>
      <c r="L610" s="183"/>
      <c r="M610" s="183"/>
      <c r="N610" s="184"/>
      <c r="O610" s="123"/>
      <c r="P610" s="124"/>
      <c r="Q610" s="125"/>
      <c r="R610" s="125"/>
      <c r="S610" s="125"/>
      <c r="T610" s="125"/>
      <c r="U610" s="125"/>
      <c r="V610" s="125"/>
      <c r="W610" s="125"/>
      <c r="X610" s="125"/>
      <c r="Y610" s="125"/>
      <c r="Z610" s="125"/>
    </row>
    <row r="611" spans="1:26">
      <c r="A611" s="180"/>
      <c r="B611" s="180"/>
      <c r="C611" s="181"/>
      <c r="D611" s="182"/>
      <c r="E611" s="182"/>
      <c r="F611" s="151">
        <f t="shared" si="129"/>
        <v>0</v>
      </c>
      <c r="G611" s="182"/>
      <c r="H611" s="182"/>
      <c r="I611" s="182"/>
      <c r="J611" s="182"/>
      <c r="K611" s="182"/>
      <c r="L611" s="183"/>
      <c r="M611" s="183"/>
      <c r="N611" s="184"/>
      <c r="O611" s="123"/>
      <c r="P611" s="124"/>
      <c r="Q611" s="125"/>
      <c r="R611" s="125"/>
      <c r="S611" s="125"/>
      <c r="T611" s="125"/>
      <c r="U611" s="125"/>
      <c r="V611" s="125"/>
      <c r="W611" s="125"/>
      <c r="X611" s="125"/>
      <c r="Y611" s="125"/>
      <c r="Z611" s="125"/>
    </row>
    <row r="612" spans="1:26">
      <c r="A612" s="180"/>
      <c r="B612" s="180"/>
      <c r="C612" s="181"/>
      <c r="D612" s="182"/>
      <c r="E612" s="182"/>
      <c r="F612" s="151">
        <f t="shared" si="129"/>
        <v>0</v>
      </c>
      <c r="G612" s="182"/>
      <c r="H612" s="182"/>
      <c r="I612" s="182"/>
      <c r="J612" s="182"/>
      <c r="K612" s="182"/>
      <c r="L612" s="183"/>
      <c r="M612" s="183"/>
      <c r="N612" s="184"/>
      <c r="O612" s="123"/>
      <c r="P612" s="124"/>
      <c r="Q612" s="125"/>
      <c r="R612" s="125"/>
      <c r="S612" s="125"/>
      <c r="T612" s="125"/>
      <c r="U612" s="125"/>
      <c r="V612" s="125"/>
      <c r="W612" s="125"/>
      <c r="X612" s="125"/>
      <c r="Y612" s="125"/>
      <c r="Z612" s="125"/>
    </row>
    <row r="613" spans="1:26">
      <c r="A613" s="180"/>
      <c r="B613" s="180"/>
      <c r="C613" s="181"/>
      <c r="D613" s="182"/>
      <c r="E613" s="182"/>
      <c r="F613" s="151">
        <f t="shared" si="129"/>
        <v>0</v>
      </c>
      <c r="G613" s="182"/>
      <c r="H613" s="182"/>
      <c r="I613" s="182"/>
      <c r="J613" s="182"/>
      <c r="K613" s="182"/>
      <c r="L613" s="183"/>
      <c r="M613" s="183"/>
      <c r="N613" s="184"/>
      <c r="O613" s="123"/>
      <c r="P613" s="124"/>
      <c r="Q613" s="125"/>
      <c r="R613" s="125"/>
      <c r="S613" s="125"/>
      <c r="T613" s="125"/>
      <c r="U613" s="125"/>
      <c r="V613" s="125"/>
      <c r="W613" s="125"/>
      <c r="X613" s="125"/>
      <c r="Y613" s="125"/>
      <c r="Z613" s="125"/>
    </row>
    <row r="614" spans="1:26">
      <c r="A614" s="180"/>
      <c r="B614" s="180"/>
      <c r="C614" s="181"/>
      <c r="D614" s="182"/>
      <c r="E614" s="182"/>
      <c r="F614" s="151">
        <f t="shared" si="129"/>
        <v>0</v>
      </c>
      <c r="G614" s="182"/>
      <c r="H614" s="182"/>
      <c r="I614" s="182"/>
      <c r="J614" s="182"/>
      <c r="K614" s="182"/>
      <c r="L614" s="183"/>
      <c r="M614" s="183"/>
      <c r="N614" s="184"/>
      <c r="O614" s="123"/>
      <c r="P614" s="124"/>
      <c r="Q614" s="125"/>
      <c r="R614" s="125"/>
      <c r="S614" s="125"/>
      <c r="T614" s="125"/>
      <c r="U614" s="125"/>
      <c r="V614" s="125"/>
      <c r="W614" s="125"/>
      <c r="X614" s="125"/>
      <c r="Y614" s="125"/>
      <c r="Z614" s="125"/>
    </row>
    <row r="615" spans="1:26">
      <c r="A615" s="180"/>
      <c r="B615" s="180"/>
      <c r="C615" s="181"/>
      <c r="D615" s="182"/>
      <c r="E615" s="182"/>
      <c r="F615" s="151">
        <f t="shared" si="129"/>
        <v>0</v>
      </c>
      <c r="G615" s="182"/>
      <c r="H615" s="182"/>
      <c r="I615" s="182"/>
      <c r="J615" s="182"/>
      <c r="K615" s="182"/>
      <c r="L615" s="183"/>
      <c r="M615" s="183"/>
      <c r="N615" s="184"/>
      <c r="O615" s="123"/>
      <c r="P615" s="124"/>
      <c r="Q615" s="125"/>
      <c r="R615" s="125"/>
      <c r="S615" s="125"/>
      <c r="T615" s="125"/>
      <c r="U615" s="125"/>
      <c r="V615" s="125"/>
      <c r="W615" s="125"/>
      <c r="X615" s="125"/>
      <c r="Y615" s="125"/>
      <c r="Z615" s="125"/>
    </row>
    <row r="616" spans="1:26">
      <c r="A616" s="180"/>
      <c r="B616" s="180"/>
      <c r="C616" s="181"/>
      <c r="D616" s="182"/>
      <c r="E616" s="182"/>
      <c r="F616" s="151">
        <f t="shared" si="129"/>
        <v>0</v>
      </c>
      <c r="G616" s="182"/>
      <c r="H616" s="182"/>
      <c r="I616" s="182"/>
      <c r="J616" s="182"/>
      <c r="K616" s="182"/>
      <c r="L616" s="183"/>
      <c r="M616" s="183"/>
      <c r="N616" s="184"/>
      <c r="O616" s="123"/>
      <c r="P616" s="124"/>
      <c r="Q616" s="125"/>
      <c r="R616" s="125"/>
      <c r="S616" s="125"/>
      <c r="T616" s="125"/>
      <c r="U616" s="125"/>
      <c r="V616" s="125"/>
      <c r="W616" s="125"/>
      <c r="X616" s="125"/>
      <c r="Y616" s="125"/>
      <c r="Z616" s="125"/>
    </row>
    <row r="617" spans="1:26">
      <c r="A617" s="180"/>
      <c r="B617" s="180"/>
      <c r="C617" s="181"/>
      <c r="D617" s="182"/>
      <c r="E617" s="182"/>
      <c r="F617" s="151">
        <f t="shared" si="129"/>
        <v>0</v>
      </c>
      <c r="G617" s="182"/>
      <c r="H617" s="182"/>
      <c r="I617" s="182"/>
      <c r="J617" s="182"/>
      <c r="K617" s="182"/>
      <c r="L617" s="183"/>
      <c r="M617" s="183"/>
      <c r="N617" s="184"/>
      <c r="O617" s="123"/>
      <c r="P617" s="124"/>
      <c r="Q617" s="125"/>
      <c r="R617" s="125"/>
      <c r="S617" s="125"/>
      <c r="T617" s="125"/>
      <c r="U617" s="125"/>
      <c r="V617" s="125"/>
      <c r="W617" s="125"/>
      <c r="X617" s="125"/>
      <c r="Y617" s="125"/>
      <c r="Z617" s="125"/>
    </row>
    <row r="618" spans="1:26">
      <c r="A618" s="180"/>
      <c r="B618" s="180"/>
      <c r="C618" s="181"/>
      <c r="D618" s="182"/>
      <c r="E618" s="182"/>
      <c r="F618" s="151">
        <f t="shared" si="129"/>
        <v>0</v>
      </c>
      <c r="G618" s="182"/>
      <c r="H618" s="182"/>
      <c r="I618" s="182"/>
      <c r="J618" s="182"/>
      <c r="K618" s="182"/>
      <c r="L618" s="183"/>
      <c r="M618" s="183"/>
      <c r="N618" s="184"/>
      <c r="O618" s="123"/>
      <c r="P618" s="124"/>
      <c r="Q618" s="125"/>
      <c r="R618" s="125"/>
      <c r="S618" s="125"/>
      <c r="T618" s="125"/>
      <c r="U618" s="125"/>
      <c r="V618" s="125"/>
      <c r="W618" s="125"/>
      <c r="X618" s="125"/>
      <c r="Y618" s="125"/>
      <c r="Z618" s="125"/>
    </row>
    <row r="619" spans="1:26">
      <c r="A619" s="180"/>
      <c r="B619" s="180"/>
      <c r="C619" s="181"/>
      <c r="D619" s="182"/>
      <c r="E619" s="182"/>
      <c r="F619" s="151">
        <f t="shared" si="129"/>
        <v>0</v>
      </c>
      <c r="G619" s="182"/>
      <c r="H619" s="182"/>
      <c r="I619" s="182"/>
      <c r="J619" s="182"/>
      <c r="K619" s="182"/>
      <c r="L619" s="183"/>
      <c r="M619" s="183"/>
      <c r="N619" s="184"/>
      <c r="O619" s="123"/>
      <c r="P619" s="124"/>
      <c r="Q619" s="125"/>
      <c r="R619" s="125"/>
      <c r="S619" s="125"/>
      <c r="T619" s="125"/>
      <c r="U619" s="125"/>
      <c r="V619" s="125"/>
      <c r="W619" s="125"/>
      <c r="X619" s="125"/>
      <c r="Y619" s="125"/>
      <c r="Z619" s="125"/>
    </row>
    <row r="620" spans="1:26">
      <c r="A620" s="180"/>
      <c r="B620" s="180"/>
      <c r="C620" s="181"/>
      <c r="D620" s="182"/>
      <c r="E620" s="182"/>
      <c r="F620" s="151">
        <f t="shared" si="129"/>
        <v>0</v>
      </c>
      <c r="G620" s="182"/>
      <c r="H620" s="182"/>
      <c r="I620" s="182"/>
      <c r="J620" s="182"/>
      <c r="K620" s="182"/>
      <c r="L620" s="183"/>
      <c r="M620" s="183"/>
      <c r="N620" s="184"/>
      <c r="O620" s="123"/>
      <c r="P620" s="124"/>
      <c r="Q620" s="125"/>
      <c r="R620" s="125"/>
      <c r="S620" s="125"/>
      <c r="T620" s="125"/>
      <c r="U620" s="125"/>
      <c r="V620" s="125"/>
      <c r="W620" s="125"/>
      <c r="X620" s="125"/>
      <c r="Y620" s="125"/>
      <c r="Z620" s="125"/>
    </row>
    <row r="621" spans="1:26">
      <c r="A621" s="180"/>
      <c r="B621" s="180"/>
      <c r="C621" s="181"/>
      <c r="D621" s="182"/>
      <c r="E621" s="182"/>
      <c r="F621" s="151">
        <f t="shared" si="129"/>
        <v>0</v>
      </c>
      <c r="G621" s="182"/>
      <c r="H621" s="182"/>
      <c r="I621" s="182"/>
      <c r="J621" s="182"/>
      <c r="K621" s="182"/>
      <c r="L621" s="183"/>
      <c r="M621" s="183"/>
      <c r="N621" s="184"/>
      <c r="O621" s="123"/>
      <c r="P621" s="124"/>
      <c r="Q621" s="125"/>
      <c r="R621" s="125"/>
      <c r="S621" s="125"/>
      <c r="T621" s="125"/>
      <c r="U621" s="125"/>
      <c r="V621" s="125"/>
      <c r="W621" s="125"/>
      <c r="X621" s="125"/>
      <c r="Y621" s="125"/>
      <c r="Z621" s="125"/>
    </row>
    <row r="622" spans="1:26">
      <c r="A622" s="180"/>
      <c r="B622" s="180"/>
      <c r="C622" s="181"/>
      <c r="D622" s="182"/>
      <c r="E622" s="182"/>
      <c r="F622" s="151">
        <f t="shared" si="129"/>
        <v>0</v>
      </c>
      <c r="G622" s="182"/>
      <c r="H622" s="182"/>
      <c r="I622" s="182"/>
      <c r="J622" s="182"/>
      <c r="K622" s="182"/>
      <c r="L622" s="183"/>
      <c r="M622" s="183"/>
      <c r="N622" s="184"/>
      <c r="O622" s="123"/>
      <c r="P622" s="124"/>
      <c r="Q622" s="125"/>
      <c r="R622" s="125"/>
      <c r="S622" s="125"/>
      <c r="T622" s="125"/>
      <c r="U622" s="125"/>
      <c r="V622" s="125"/>
      <c r="W622" s="125"/>
      <c r="X622" s="125"/>
      <c r="Y622" s="125"/>
      <c r="Z622" s="125"/>
    </row>
    <row r="623" spans="1:26">
      <c r="A623" s="180"/>
      <c r="B623" s="180"/>
      <c r="C623" s="181"/>
      <c r="D623" s="182"/>
      <c r="E623" s="182"/>
      <c r="F623" s="151">
        <f t="shared" si="129"/>
        <v>0</v>
      </c>
      <c r="G623" s="182"/>
      <c r="H623" s="182"/>
      <c r="I623" s="182"/>
      <c r="J623" s="182"/>
      <c r="K623" s="182"/>
      <c r="L623" s="183"/>
      <c r="M623" s="183"/>
      <c r="N623" s="184"/>
      <c r="O623" s="123"/>
      <c r="P623" s="124"/>
      <c r="Q623" s="125"/>
      <c r="R623" s="125"/>
      <c r="S623" s="125"/>
      <c r="T623" s="125"/>
      <c r="U623" s="125"/>
      <c r="V623" s="125"/>
      <c r="W623" s="125"/>
      <c r="X623" s="125"/>
      <c r="Y623" s="125"/>
      <c r="Z623" s="125"/>
    </row>
    <row r="624" spans="1:26">
      <c r="A624" s="180"/>
      <c r="B624" s="180"/>
      <c r="C624" s="181"/>
      <c r="D624" s="182"/>
      <c r="E624" s="182"/>
      <c r="F624" s="151">
        <f t="shared" si="129"/>
        <v>0</v>
      </c>
      <c r="G624" s="182"/>
      <c r="H624" s="182"/>
      <c r="I624" s="182"/>
      <c r="J624" s="182"/>
      <c r="K624" s="182"/>
      <c r="L624" s="183"/>
      <c r="M624" s="183"/>
      <c r="N624" s="184"/>
      <c r="O624" s="123"/>
      <c r="P624" s="124"/>
      <c r="Q624" s="125"/>
      <c r="R624" s="125"/>
      <c r="S624" s="125"/>
      <c r="T624" s="125"/>
      <c r="U624" s="125"/>
      <c r="V624" s="125"/>
      <c r="W624" s="125"/>
      <c r="X624" s="125"/>
      <c r="Y624" s="125"/>
      <c r="Z624" s="125"/>
    </row>
    <row r="625" spans="1:26">
      <c r="A625" s="180"/>
      <c r="B625" s="180"/>
      <c r="C625" s="181"/>
      <c r="D625" s="182"/>
      <c r="E625" s="182"/>
      <c r="F625" s="151">
        <f t="shared" si="129"/>
        <v>0</v>
      </c>
      <c r="G625" s="182"/>
      <c r="H625" s="182"/>
      <c r="I625" s="182"/>
      <c r="J625" s="182"/>
      <c r="K625" s="182"/>
      <c r="L625" s="183"/>
      <c r="M625" s="183"/>
      <c r="N625" s="184"/>
      <c r="O625" s="123"/>
      <c r="P625" s="124"/>
      <c r="Q625" s="125"/>
      <c r="R625" s="125"/>
      <c r="S625" s="125"/>
      <c r="T625" s="125"/>
      <c r="U625" s="125"/>
      <c r="V625" s="125"/>
      <c r="W625" s="125"/>
      <c r="X625" s="125"/>
      <c r="Y625" s="125"/>
      <c r="Z625" s="125"/>
    </row>
    <row r="626" spans="1:26">
      <c r="A626" s="180"/>
      <c r="B626" s="180"/>
      <c r="C626" s="181"/>
      <c r="D626" s="182"/>
      <c r="E626" s="182"/>
      <c r="F626" s="151">
        <f t="shared" si="129"/>
        <v>0</v>
      </c>
      <c r="G626" s="182"/>
      <c r="H626" s="182"/>
      <c r="I626" s="182"/>
      <c r="J626" s="182"/>
      <c r="K626" s="182"/>
      <c r="L626" s="183"/>
      <c r="M626" s="183"/>
      <c r="N626" s="184"/>
      <c r="O626" s="123"/>
      <c r="P626" s="124"/>
      <c r="Q626" s="125"/>
      <c r="R626" s="125"/>
      <c r="S626" s="125"/>
      <c r="T626" s="125"/>
      <c r="U626" s="125"/>
      <c r="V626" s="125"/>
      <c r="W626" s="125"/>
      <c r="X626" s="125"/>
      <c r="Y626" s="125"/>
      <c r="Z626" s="125"/>
    </row>
    <row r="627" spans="1:26">
      <c r="A627" s="180"/>
      <c r="B627" s="180"/>
      <c r="C627" s="181"/>
      <c r="D627" s="182"/>
      <c r="E627" s="182"/>
      <c r="F627" s="151">
        <f t="shared" si="129"/>
        <v>0</v>
      </c>
      <c r="G627" s="182"/>
      <c r="H627" s="182"/>
      <c r="I627" s="182"/>
      <c r="J627" s="182"/>
      <c r="K627" s="182"/>
      <c r="L627" s="183"/>
      <c r="M627" s="183"/>
      <c r="N627" s="184"/>
      <c r="O627" s="123"/>
      <c r="P627" s="124"/>
      <c r="Q627" s="125"/>
      <c r="R627" s="125"/>
      <c r="S627" s="125"/>
      <c r="T627" s="125"/>
      <c r="U627" s="125"/>
      <c r="V627" s="125"/>
      <c r="W627" s="125"/>
      <c r="X627" s="125"/>
      <c r="Y627" s="125"/>
      <c r="Z627" s="125"/>
    </row>
    <row r="628" spans="1:26">
      <c r="A628" s="180"/>
      <c r="B628" s="180"/>
      <c r="C628" s="181"/>
      <c r="D628" s="182"/>
      <c r="E628" s="182"/>
      <c r="F628" s="151">
        <f t="shared" si="129"/>
        <v>0</v>
      </c>
      <c r="G628" s="182"/>
      <c r="H628" s="182"/>
      <c r="I628" s="182"/>
      <c r="J628" s="182"/>
      <c r="K628" s="182"/>
      <c r="L628" s="183"/>
      <c r="M628" s="183"/>
      <c r="N628" s="184"/>
      <c r="O628" s="123"/>
      <c r="P628" s="124"/>
      <c r="Q628" s="125"/>
      <c r="R628" s="125"/>
      <c r="S628" s="125"/>
      <c r="T628" s="125"/>
      <c r="U628" s="125"/>
      <c r="V628" s="125"/>
      <c r="W628" s="125"/>
      <c r="X628" s="125"/>
      <c r="Y628" s="125"/>
      <c r="Z628" s="125"/>
    </row>
    <row r="629" spans="1:26">
      <c r="A629" s="180"/>
      <c r="B629" s="180"/>
      <c r="C629" s="181"/>
      <c r="D629" s="182"/>
      <c r="E629" s="182"/>
      <c r="F629" s="151">
        <f t="shared" si="129"/>
        <v>0</v>
      </c>
      <c r="G629" s="182"/>
      <c r="H629" s="182"/>
      <c r="I629" s="182"/>
      <c r="J629" s="182"/>
      <c r="K629" s="182"/>
      <c r="L629" s="183"/>
      <c r="M629" s="183"/>
      <c r="N629" s="184"/>
      <c r="O629" s="123"/>
      <c r="P629" s="124"/>
      <c r="Q629" s="125"/>
      <c r="R629" s="125"/>
      <c r="S629" s="125"/>
      <c r="T629" s="125"/>
      <c r="U629" s="125"/>
      <c r="V629" s="125"/>
      <c r="W629" s="125"/>
      <c r="X629" s="125"/>
      <c r="Y629" s="125"/>
      <c r="Z629" s="125"/>
    </row>
    <row r="630" spans="1:26">
      <c r="A630" s="180"/>
      <c r="B630" s="180"/>
      <c r="C630" s="181"/>
      <c r="D630" s="182"/>
      <c r="E630" s="182"/>
      <c r="F630" s="151">
        <f t="shared" si="129"/>
        <v>0</v>
      </c>
      <c r="G630" s="182"/>
      <c r="H630" s="182"/>
      <c r="I630" s="182"/>
      <c r="J630" s="182"/>
      <c r="K630" s="182"/>
      <c r="L630" s="183"/>
      <c r="M630" s="183"/>
      <c r="N630" s="184"/>
      <c r="O630" s="123"/>
      <c r="P630" s="124"/>
      <c r="Q630" s="125"/>
      <c r="R630" s="125"/>
      <c r="S630" s="125"/>
      <c r="T630" s="125"/>
      <c r="U630" s="125"/>
      <c r="V630" s="125"/>
      <c r="W630" s="125"/>
      <c r="X630" s="125"/>
      <c r="Y630" s="125"/>
      <c r="Z630" s="125"/>
    </row>
    <row r="631" spans="1:26">
      <c r="A631" s="180"/>
      <c r="B631" s="180"/>
      <c r="C631" s="181"/>
      <c r="D631" s="182"/>
      <c r="E631" s="182"/>
      <c r="F631" s="151">
        <f t="shared" si="129"/>
        <v>0</v>
      </c>
      <c r="G631" s="182"/>
      <c r="H631" s="182"/>
      <c r="I631" s="182"/>
      <c r="J631" s="182"/>
      <c r="K631" s="182"/>
      <c r="L631" s="183"/>
      <c r="M631" s="183"/>
      <c r="N631" s="184"/>
      <c r="O631" s="123"/>
      <c r="P631" s="124"/>
      <c r="Q631" s="125"/>
      <c r="R631" s="125"/>
      <c r="S631" s="125"/>
      <c r="T631" s="125"/>
      <c r="U631" s="125"/>
      <c r="V631" s="125"/>
      <c r="W631" s="125"/>
      <c r="X631" s="125"/>
      <c r="Y631" s="125"/>
      <c r="Z631" s="125"/>
    </row>
    <row r="632" spans="1:26">
      <c r="A632" s="180"/>
      <c r="B632" s="180"/>
      <c r="C632" s="181"/>
      <c r="D632" s="182"/>
      <c r="E632" s="182"/>
      <c r="F632" s="151">
        <f t="shared" si="129"/>
        <v>0</v>
      </c>
      <c r="G632" s="182"/>
      <c r="H632" s="182"/>
      <c r="I632" s="182"/>
      <c r="J632" s="182"/>
      <c r="K632" s="182"/>
      <c r="L632" s="183"/>
      <c r="M632" s="183"/>
      <c r="N632" s="184"/>
      <c r="O632" s="123"/>
      <c r="P632" s="124"/>
      <c r="Q632" s="125"/>
      <c r="R632" s="125"/>
      <c r="S632" s="125"/>
      <c r="T632" s="125"/>
      <c r="U632" s="125"/>
      <c r="V632" s="125"/>
      <c r="W632" s="125"/>
      <c r="X632" s="125"/>
      <c r="Y632" s="125"/>
      <c r="Z632" s="125"/>
    </row>
    <row r="633" spans="1:26">
      <c r="A633" s="180"/>
      <c r="B633" s="180"/>
      <c r="C633" s="181"/>
      <c r="D633" s="182"/>
      <c r="E633" s="182"/>
      <c r="F633" s="151">
        <f t="shared" si="129"/>
        <v>0</v>
      </c>
      <c r="G633" s="182"/>
      <c r="H633" s="182"/>
      <c r="I633" s="182"/>
      <c r="J633" s="182"/>
      <c r="K633" s="182"/>
      <c r="L633" s="183"/>
      <c r="M633" s="183"/>
      <c r="N633" s="184"/>
      <c r="O633" s="123"/>
      <c r="P633" s="124"/>
      <c r="Q633" s="125"/>
      <c r="R633" s="125"/>
      <c r="S633" s="125"/>
      <c r="T633" s="125"/>
      <c r="U633" s="125"/>
      <c r="V633" s="125"/>
      <c r="W633" s="125"/>
      <c r="X633" s="125"/>
      <c r="Y633" s="125"/>
      <c r="Z633" s="125"/>
    </row>
    <row r="634" spans="1:26">
      <c r="A634" s="180"/>
      <c r="B634" s="180"/>
      <c r="C634" s="181"/>
      <c r="D634" s="182"/>
      <c r="E634" s="182"/>
      <c r="F634" s="151">
        <f t="shared" si="129"/>
        <v>0</v>
      </c>
      <c r="G634" s="182"/>
      <c r="H634" s="182"/>
      <c r="I634" s="182"/>
      <c r="J634" s="182"/>
      <c r="K634" s="182"/>
      <c r="L634" s="183"/>
      <c r="M634" s="183"/>
      <c r="N634" s="184"/>
      <c r="O634" s="123"/>
      <c r="P634" s="124"/>
      <c r="Q634" s="125"/>
      <c r="R634" s="125"/>
      <c r="S634" s="125"/>
      <c r="T634" s="125"/>
      <c r="U634" s="125"/>
      <c r="V634" s="125"/>
      <c r="W634" s="125"/>
      <c r="X634" s="125"/>
      <c r="Y634" s="125"/>
      <c r="Z634" s="125"/>
    </row>
    <row r="635" spans="1:26">
      <c r="A635" s="180"/>
      <c r="B635" s="180"/>
      <c r="C635" s="181"/>
      <c r="D635" s="182"/>
      <c r="E635" s="182"/>
      <c r="F635" s="151">
        <f t="shared" si="129"/>
        <v>0</v>
      </c>
      <c r="G635" s="182"/>
      <c r="H635" s="182"/>
      <c r="I635" s="182"/>
      <c r="J635" s="182"/>
      <c r="K635" s="182"/>
      <c r="L635" s="183"/>
      <c r="M635" s="183"/>
      <c r="N635" s="184"/>
      <c r="O635" s="123"/>
      <c r="P635" s="124"/>
      <c r="Q635" s="125"/>
      <c r="R635" s="125"/>
      <c r="S635" s="125"/>
      <c r="T635" s="125"/>
      <c r="U635" s="125"/>
      <c r="V635" s="125"/>
      <c r="W635" s="125"/>
      <c r="X635" s="125"/>
      <c r="Y635" s="125"/>
      <c r="Z635" s="125"/>
    </row>
    <row r="636" spans="1:26">
      <c r="A636" s="180"/>
      <c r="B636" s="180"/>
      <c r="C636" s="181"/>
      <c r="D636" s="182"/>
      <c r="E636" s="182"/>
      <c r="F636" s="151">
        <f t="shared" si="129"/>
        <v>0</v>
      </c>
      <c r="G636" s="182"/>
      <c r="H636" s="182"/>
      <c r="I636" s="182"/>
      <c r="J636" s="182"/>
      <c r="K636" s="182"/>
      <c r="L636" s="183"/>
      <c r="M636" s="183"/>
      <c r="N636" s="184"/>
      <c r="O636" s="123"/>
      <c r="P636" s="124"/>
      <c r="Q636" s="125"/>
      <c r="R636" s="125"/>
      <c r="S636" s="125"/>
      <c r="T636" s="125"/>
      <c r="U636" s="125"/>
      <c r="V636" s="125"/>
      <c r="W636" s="125"/>
      <c r="X636" s="125"/>
      <c r="Y636" s="125"/>
      <c r="Z636" s="125"/>
    </row>
    <row r="637" spans="1:26">
      <c r="A637" s="180"/>
      <c r="B637" s="180"/>
      <c r="C637" s="181"/>
      <c r="D637" s="182"/>
      <c r="E637" s="182"/>
      <c r="F637" s="151">
        <f t="shared" si="129"/>
        <v>0</v>
      </c>
      <c r="G637" s="182"/>
      <c r="H637" s="182"/>
      <c r="I637" s="182"/>
      <c r="J637" s="182"/>
      <c r="K637" s="182"/>
      <c r="L637" s="183"/>
      <c r="M637" s="183"/>
      <c r="N637" s="184"/>
      <c r="O637" s="123"/>
      <c r="P637" s="124"/>
      <c r="Q637" s="125"/>
      <c r="R637" s="125"/>
      <c r="S637" s="125"/>
      <c r="T637" s="125"/>
      <c r="U637" s="125"/>
      <c r="V637" s="125"/>
      <c r="W637" s="125"/>
      <c r="X637" s="125"/>
      <c r="Y637" s="125"/>
      <c r="Z637" s="125"/>
    </row>
    <row r="638" spans="1:26">
      <c r="A638" s="180"/>
      <c r="B638" s="180"/>
      <c r="C638" s="181"/>
      <c r="D638" s="182"/>
      <c r="E638" s="182"/>
      <c r="F638" s="151">
        <f t="shared" si="129"/>
        <v>0</v>
      </c>
      <c r="G638" s="182"/>
      <c r="H638" s="182"/>
      <c r="I638" s="182"/>
      <c r="J638" s="182"/>
      <c r="K638" s="182"/>
      <c r="L638" s="183"/>
      <c r="M638" s="183"/>
      <c r="N638" s="184"/>
      <c r="O638" s="123"/>
      <c r="P638" s="124"/>
      <c r="Q638" s="125"/>
      <c r="R638" s="125"/>
      <c r="S638" s="125"/>
      <c r="T638" s="125"/>
      <c r="U638" s="125"/>
      <c r="V638" s="125"/>
      <c r="W638" s="125"/>
      <c r="X638" s="125"/>
      <c r="Y638" s="125"/>
      <c r="Z638" s="125"/>
    </row>
    <row r="639" spans="1:26">
      <c r="A639" s="180"/>
      <c r="B639" s="180"/>
      <c r="C639" s="181"/>
      <c r="D639" s="182"/>
      <c r="E639" s="182"/>
      <c r="F639" s="151">
        <f t="shared" si="129"/>
        <v>0</v>
      </c>
      <c r="G639" s="182"/>
      <c r="H639" s="182"/>
      <c r="I639" s="182"/>
      <c r="J639" s="182"/>
      <c r="K639" s="182"/>
      <c r="L639" s="183"/>
      <c r="M639" s="183"/>
      <c r="N639" s="184"/>
      <c r="O639" s="123"/>
      <c r="P639" s="124"/>
      <c r="Q639" s="125"/>
      <c r="R639" s="125"/>
      <c r="S639" s="125"/>
      <c r="T639" s="125"/>
      <c r="U639" s="125"/>
      <c r="V639" s="125"/>
      <c r="W639" s="125"/>
      <c r="X639" s="125"/>
      <c r="Y639" s="125"/>
      <c r="Z639" s="125"/>
    </row>
    <row r="640" spans="1:26">
      <c r="A640" s="180"/>
      <c r="B640" s="180"/>
      <c r="C640" s="181"/>
      <c r="D640" s="182"/>
      <c r="E640" s="182"/>
      <c r="F640" s="151">
        <f t="shared" si="129"/>
        <v>0</v>
      </c>
      <c r="G640" s="182"/>
      <c r="H640" s="182"/>
      <c r="I640" s="182"/>
      <c r="J640" s="182"/>
      <c r="K640" s="182"/>
      <c r="L640" s="183"/>
      <c r="M640" s="183"/>
      <c r="N640" s="184"/>
      <c r="O640" s="123"/>
      <c r="P640" s="124"/>
      <c r="Q640" s="125"/>
      <c r="R640" s="125"/>
      <c r="S640" s="125"/>
      <c r="T640" s="125"/>
      <c r="U640" s="125"/>
      <c r="V640" s="125"/>
      <c r="W640" s="125"/>
      <c r="X640" s="125"/>
      <c r="Y640" s="125"/>
      <c r="Z640" s="125"/>
    </row>
    <row r="641" spans="1:26">
      <c r="A641" s="180"/>
      <c r="B641" s="180"/>
      <c r="C641" s="181"/>
      <c r="D641" s="182"/>
      <c r="E641" s="182"/>
      <c r="F641" s="151">
        <f t="shared" si="129"/>
        <v>0</v>
      </c>
      <c r="G641" s="182"/>
      <c r="H641" s="182"/>
      <c r="I641" s="182"/>
      <c r="J641" s="182"/>
      <c r="K641" s="182"/>
      <c r="L641" s="183"/>
      <c r="M641" s="183"/>
      <c r="N641" s="184"/>
      <c r="O641" s="123"/>
      <c r="P641" s="124"/>
      <c r="Q641" s="125"/>
      <c r="R641" s="125"/>
      <c r="S641" s="125"/>
      <c r="T641" s="125"/>
      <c r="U641" s="125"/>
      <c r="V641" s="125"/>
      <c r="W641" s="125"/>
      <c r="X641" s="125"/>
      <c r="Y641" s="125"/>
      <c r="Z641" s="125"/>
    </row>
    <row r="642" spans="1:26">
      <c r="A642" s="180"/>
      <c r="B642" s="180"/>
      <c r="C642" s="181"/>
      <c r="D642" s="182"/>
      <c r="E642" s="182"/>
      <c r="F642" s="151">
        <f t="shared" si="129"/>
        <v>0</v>
      </c>
      <c r="G642" s="182"/>
      <c r="H642" s="182"/>
      <c r="I642" s="182"/>
      <c r="J642" s="182"/>
      <c r="K642" s="182"/>
      <c r="L642" s="183"/>
      <c r="M642" s="183"/>
      <c r="N642" s="184"/>
      <c r="O642" s="123"/>
      <c r="P642" s="124"/>
      <c r="Q642" s="125"/>
      <c r="R642" s="125"/>
      <c r="S642" s="125"/>
      <c r="T642" s="125"/>
      <c r="U642" s="125"/>
      <c r="V642" s="125"/>
      <c r="W642" s="125"/>
      <c r="X642" s="125"/>
      <c r="Y642" s="125"/>
      <c r="Z642" s="125"/>
    </row>
    <row r="643" spans="1:26">
      <c r="A643" s="180"/>
      <c r="B643" s="180"/>
      <c r="C643" s="181"/>
      <c r="D643" s="182"/>
      <c r="E643" s="182"/>
      <c r="F643" s="151">
        <f t="shared" si="129"/>
        <v>0</v>
      </c>
      <c r="G643" s="182"/>
      <c r="H643" s="182"/>
      <c r="I643" s="182"/>
      <c r="J643" s="182"/>
      <c r="K643" s="182"/>
      <c r="L643" s="183"/>
      <c r="M643" s="183"/>
      <c r="N643" s="184"/>
      <c r="O643" s="123"/>
      <c r="P643" s="124"/>
      <c r="Q643" s="125"/>
      <c r="R643" s="125"/>
      <c r="S643" s="125"/>
      <c r="T643" s="125"/>
      <c r="U643" s="125"/>
      <c r="V643" s="125"/>
      <c r="W643" s="125"/>
      <c r="X643" s="125"/>
      <c r="Y643" s="125"/>
      <c r="Z643" s="125"/>
    </row>
    <row r="644" spans="1:26">
      <c r="A644" s="180"/>
      <c r="B644" s="180"/>
      <c r="C644" s="181"/>
      <c r="D644" s="182"/>
      <c r="E644" s="182"/>
      <c r="F644" s="151">
        <f t="shared" si="129"/>
        <v>0</v>
      </c>
      <c r="G644" s="182"/>
      <c r="H644" s="182"/>
      <c r="I644" s="182"/>
      <c r="J644" s="182"/>
      <c r="K644" s="182"/>
      <c r="L644" s="183"/>
      <c r="M644" s="183"/>
      <c r="N644" s="184"/>
      <c r="O644" s="123"/>
      <c r="P644" s="124"/>
      <c r="Q644" s="125"/>
      <c r="R644" s="125"/>
      <c r="S644" s="125"/>
      <c r="T644" s="125"/>
      <c r="U644" s="125"/>
      <c r="V644" s="125"/>
      <c r="W644" s="125"/>
      <c r="X644" s="125"/>
      <c r="Y644" s="125"/>
      <c r="Z644" s="125"/>
    </row>
    <row r="645" spans="1:26">
      <c r="A645" s="180"/>
      <c r="B645" s="180"/>
      <c r="C645" s="181"/>
      <c r="D645" s="182"/>
      <c r="E645" s="182"/>
      <c r="F645" s="151">
        <f t="shared" si="129"/>
        <v>0</v>
      </c>
      <c r="G645" s="182"/>
      <c r="H645" s="182"/>
      <c r="I645" s="182"/>
      <c r="J645" s="182"/>
      <c r="K645" s="182"/>
      <c r="L645" s="183"/>
      <c r="M645" s="183"/>
      <c r="N645" s="184"/>
      <c r="O645" s="123"/>
      <c r="P645" s="124"/>
      <c r="Q645" s="125"/>
      <c r="R645" s="125"/>
      <c r="S645" s="125"/>
      <c r="T645" s="125"/>
      <c r="U645" s="125"/>
      <c r="V645" s="125"/>
      <c r="W645" s="125"/>
      <c r="X645" s="125"/>
      <c r="Y645" s="125"/>
      <c r="Z645" s="125"/>
    </row>
    <row r="646" spans="1:26">
      <c r="A646" s="180"/>
      <c r="B646" s="180"/>
      <c r="C646" s="181"/>
      <c r="D646" s="182"/>
      <c r="E646" s="182"/>
      <c r="F646" s="151">
        <f t="shared" si="129"/>
        <v>0</v>
      </c>
      <c r="G646" s="182"/>
      <c r="H646" s="182"/>
      <c r="I646" s="182"/>
      <c r="J646" s="182"/>
      <c r="K646" s="182"/>
      <c r="L646" s="183"/>
      <c r="M646" s="183"/>
      <c r="N646" s="184"/>
      <c r="O646" s="123"/>
      <c r="P646" s="124"/>
      <c r="Q646" s="125"/>
      <c r="R646" s="125"/>
      <c r="S646" s="125"/>
      <c r="T646" s="125"/>
      <c r="U646" s="125"/>
      <c r="V646" s="125"/>
      <c r="W646" s="125"/>
      <c r="X646" s="125"/>
      <c r="Y646" s="125"/>
      <c r="Z646" s="125"/>
    </row>
    <row r="647" spans="1:26">
      <c r="A647" s="180"/>
      <c r="B647" s="180"/>
      <c r="C647" s="181"/>
      <c r="D647" s="182"/>
      <c r="E647" s="182"/>
      <c r="F647" s="151">
        <f t="shared" si="129"/>
        <v>0</v>
      </c>
      <c r="G647" s="182"/>
      <c r="H647" s="182"/>
      <c r="I647" s="182"/>
      <c r="J647" s="182"/>
      <c r="K647" s="182"/>
      <c r="L647" s="183"/>
      <c r="M647" s="183"/>
      <c r="N647" s="184"/>
      <c r="O647" s="123"/>
      <c r="P647" s="124"/>
      <c r="Q647" s="125"/>
      <c r="R647" s="125"/>
      <c r="S647" s="125"/>
      <c r="T647" s="125"/>
      <c r="U647" s="125"/>
      <c r="V647" s="125"/>
      <c r="W647" s="125"/>
      <c r="X647" s="125"/>
      <c r="Y647" s="125"/>
      <c r="Z647" s="125"/>
    </row>
    <row r="648" spans="1:26">
      <c r="A648" s="180"/>
      <c r="B648" s="180"/>
      <c r="C648" s="181"/>
      <c r="D648" s="182"/>
      <c r="E648" s="182"/>
      <c r="F648" s="151">
        <f t="shared" si="129"/>
        <v>0</v>
      </c>
      <c r="G648" s="182"/>
      <c r="H648" s="182"/>
      <c r="I648" s="182"/>
      <c r="J648" s="182"/>
      <c r="K648" s="182"/>
      <c r="L648" s="183"/>
      <c r="M648" s="183"/>
      <c r="N648" s="184"/>
      <c r="O648" s="123"/>
      <c r="P648" s="124"/>
      <c r="Q648" s="125"/>
      <c r="R648" s="125"/>
      <c r="S648" s="125"/>
      <c r="T648" s="125"/>
      <c r="U648" s="125"/>
      <c r="V648" s="125"/>
      <c r="W648" s="125"/>
      <c r="X648" s="125"/>
      <c r="Y648" s="125"/>
      <c r="Z648" s="125"/>
    </row>
    <row r="649" spans="1:26">
      <c r="A649" s="180"/>
      <c r="B649" s="180"/>
      <c r="C649" s="181"/>
      <c r="D649" s="182"/>
      <c r="E649" s="182"/>
      <c r="F649" s="151">
        <f t="shared" si="129"/>
        <v>0</v>
      </c>
      <c r="G649" s="182"/>
      <c r="H649" s="182"/>
      <c r="I649" s="182"/>
      <c r="J649" s="182"/>
      <c r="K649" s="182"/>
      <c r="L649" s="183"/>
      <c r="M649" s="183"/>
      <c r="N649" s="184"/>
      <c r="O649" s="123"/>
      <c r="P649" s="124"/>
      <c r="Q649" s="125"/>
      <c r="R649" s="125"/>
      <c r="S649" s="125"/>
      <c r="T649" s="125"/>
      <c r="U649" s="125"/>
      <c r="V649" s="125"/>
      <c r="W649" s="125"/>
      <c r="X649" s="125"/>
      <c r="Y649" s="125"/>
      <c r="Z649" s="125"/>
    </row>
    <row r="650" spans="1:26">
      <c r="A650" s="180"/>
      <c r="B650" s="180"/>
      <c r="C650" s="181"/>
      <c r="D650" s="182"/>
      <c r="E650" s="182"/>
      <c r="F650" s="151">
        <f t="shared" ref="F650:F704" si="131">G649*$D$2*(C650-C649)/(DATE(YEAR(C650)+1,1,1)-DATE(YEAR(C650),1,1))/100</f>
        <v>0</v>
      </c>
      <c r="G650" s="182"/>
      <c r="H650" s="182"/>
      <c r="I650" s="182"/>
      <c r="J650" s="182"/>
      <c r="K650" s="182"/>
      <c r="L650" s="183"/>
      <c r="M650" s="183"/>
      <c r="N650" s="184"/>
      <c r="O650" s="123"/>
      <c r="P650" s="124"/>
      <c r="Q650" s="125"/>
      <c r="R650" s="125"/>
      <c r="S650" s="125"/>
      <c r="T650" s="125"/>
      <c r="U650" s="125"/>
      <c r="V650" s="125"/>
      <c r="W650" s="125"/>
      <c r="X650" s="125"/>
      <c r="Y650" s="125"/>
      <c r="Z650" s="125"/>
    </row>
    <row r="651" spans="1:26">
      <c r="A651" s="180"/>
      <c r="B651" s="180"/>
      <c r="C651" s="181"/>
      <c r="D651" s="182"/>
      <c r="E651" s="182"/>
      <c r="F651" s="151">
        <f t="shared" si="131"/>
        <v>0</v>
      </c>
      <c r="G651" s="182"/>
      <c r="H651" s="182"/>
      <c r="I651" s="182"/>
      <c r="J651" s="182"/>
      <c r="K651" s="182"/>
      <c r="L651" s="183"/>
      <c r="M651" s="183"/>
      <c r="N651" s="184"/>
      <c r="O651" s="123"/>
      <c r="P651" s="124"/>
      <c r="Q651" s="125"/>
      <c r="R651" s="125"/>
      <c r="S651" s="125"/>
      <c r="T651" s="125"/>
      <c r="U651" s="125"/>
      <c r="V651" s="125"/>
      <c r="W651" s="125"/>
      <c r="X651" s="125"/>
      <c r="Y651" s="125"/>
      <c r="Z651" s="125"/>
    </row>
    <row r="652" spans="1:26">
      <c r="A652" s="180"/>
      <c r="B652" s="180"/>
      <c r="C652" s="181"/>
      <c r="D652" s="182"/>
      <c r="E652" s="182"/>
      <c r="F652" s="151">
        <f t="shared" si="131"/>
        <v>0</v>
      </c>
      <c r="G652" s="182"/>
      <c r="H652" s="182"/>
      <c r="I652" s="182"/>
      <c r="J652" s="182"/>
      <c r="K652" s="182"/>
      <c r="L652" s="183"/>
      <c r="M652" s="183"/>
      <c r="N652" s="184"/>
      <c r="O652" s="123"/>
      <c r="P652" s="124"/>
      <c r="Q652" s="125"/>
      <c r="R652" s="125"/>
      <c r="S652" s="125"/>
      <c r="T652" s="125"/>
      <c r="U652" s="125"/>
      <c r="V652" s="125"/>
      <c r="W652" s="125"/>
      <c r="X652" s="125"/>
      <c r="Y652" s="125"/>
      <c r="Z652" s="125"/>
    </row>
    <row r="653" spans="1:26">
      <c r="A653" s="180"/>
      <c r="B653" s="180"/>
      <c r="C653" s="181"/>
      <c r="D653" s="182"/>
      <c r="E653" s="182"/>
      <c r="F653" s="151">
        <f t="shared" si="131"/>
        <v>0</v>
      </c>
      <c r="G653" s="182"/>
      <c r="H653" s="182"/>
      <c r="I653" s="182"/>
      <c r="J653" s="182"/>
      <c r="K653" s="182"/>
      <c r="L653" s="183"/>
      <c r="M653" s="183"/>
      <c r="N653" s="184"/>
      <c r="O653" s="123"/>
      <c r="P653" s="124"/>
      <c r="Q653" s="125"/>
      <c r="R653" s="125"/>
      <c r="S653" s="125"/>
      <c r="T653" s="125"/>
      <c r="U653" s="125"/>
      <c r="V653" s="125"/>
      <c r="W653" s="125"/>
      <c r="X653" s="125"/>
      <c r="Y653" s="125"/>
      <c r="Z653" s="125"/>
    </row>
    <row r="654" spans="1:26">
      <c r="A654" s="180"/>
      <c r="B654" s="180"/>
      <c r="C654" s="181"/>
      <c r="D654" s="182"/>
      <c r="E654" s="182"/>
      <c r="F654" s="151">
        <f t="shared" si="131"/>
        <v>0</v>
      </c>
      <c r="G654" s="182"/>
      <c r="H654" s="182"/>
      <c r="I654" s="182"/>
      <c r="J654" s="182"/>
      <c r="K654" s="182"/>
      <c r="L654" s="183"/>
      <c r="M654" s="183"/>
      <c r="N654" s="184"/>
      <c r="O654" s="123"/>
      <c r="P654" s="124"/>
      <c r="Q654" s="125"/>
      <c r="R654" s="125"/>
      <c r="S654" s="125"/>
      <c r="T654" s="125"/>
      <c r="U654" s="125"/>
      <c r="V654" s="125"/>
      <c r="W654" s="125"/>
      <c r="X654" s="125"/>
      <c r="Y654" s="125"/>
      <c r="Z654" s="125"/>
    </row>
    <row r="655" spans="1:26">
      <c r="A655" s="180"/>
      <c r="B655" s="180"/>
      <c r="C655" s="181"/>
      <c r="D655" s="182"/>
      <c r="E655" s="182"/>
      <c r="F655" s="151">
        <f t="shared" si="131"/>
        <v>0</v>
      </c>
      <c r="G655" s="182"/>
      <c r="H655" s="182"/>
      <c r="I655" s="182"/>
      <c r="J655" s="182"/>
      <c r="K655" s="182"/>
      <c r="L655" s="183"/>
      <c r="M655" s="183"/>
      <c r="N655" s="184"/>
      <c r="O655" s="123"/>
      <c r="P655" s="124"/>
      <c r="Q655" s="125"/>
      <c r="R655" s="125"/>
      <c r="S655" s="125"/>
      <c r="T655" s="125"/>
      <c r="U655" s="125"/>
      <c r="V655" s="125"/>
      <c r="W655" s="125"/>
      <c r="X655" s="125"/>
      <c r="Y655" s="125"/>
      <c r="Z655" s="125"/>
    </row>
    <row r="656" spans="1:26">
      <c r="A656" s="180"/>
      <c r="B656" s="180"/>
      <c r="C656" s="181"/>
      <c r="D656" s="182"/>
      <c r="E656" s="182"/>
      <c r="F656" s="151">
        <f t="shared" si="131"/>
        <v>0</v>
      </c>
      <c r="G656" s="182"/>
      <c r="H656" s="182"/>
      <c r="I656" s="182"/>
      <c r="J656" s="182"/>
      <c r="K656" s="182"/>
      <c r="L656" s="183"/>
      <c r="M656" s="183"/>
      <c r="N656" s="184"/>
      <c r="O656" s="123"/>
      <c r="P656" s="124"/>
      <c r="Q656" s="125"/>
      <c r="R656" s="125"/>
      <c r="S656" s="125"/>
      <c r="T656" s="125"/>
      <c r="U656" s="125"/>
      <c r="V656" s="125"/>
      <c r="W656" s="125"/>
      <c r="X656" s="125"/>
      <c r="Y656" s="125"/>
      <c r="Z656" s="125"/>
    </row>
    <row r="657" spans="1:26">
      <c r="A657" s="180"/>
      <c r="B657" s="180"/>
      <c r="C657" s="181"/>
      <c r="D657" s="182"/>
      <c r="E657" s="182"/>
      <c r="F657" s="151">
        <f t="shared" si="131"/>
        <v>0</v>
      </c>
      <c r="G657" s="182"/>
      <c r="H657" s="182"/>
      <c r="I657" s="182"/>
      <c r="J657" s="182"/>
      <c r="K657" s="182"/>
      <c r="L657" s="183"/>
      <c r="M657" s="183"/>
      <c r="N657" s="184"/>
      <c r="O657" s="123"/>
      <c r="P657" s="124"/>
      <c r="Q657" s="125"/>
      <c r="R657" s="125"/>
      <c r="S657" s="125"/>
      <c r="T657" s="125"/>
      <c r="U657" s="125"/>
      <c r="V657" s="125"/>
      <c r="W657" s="125"/>
      <c r="X657" s="125"/>
      <c r="Y657" s="125"/>
      <c r="Z657" s="125"/>
    </row>
    <row r="658" spans="1:26">
      <c r="A658" s="180"/>
      <c r="B658" s="180"/>
      <c r="C658" s="181"/>
      <c r="D658" s="182"/>
      <c r="E658" s="182"/>
      <c r="F658" s="151">
        <f t="shared" si="131"/>
        <v>0</v>
      </c>
      <c r="G658" s="182"/>
      <c r="H658" s="182"/>
      <c r="I658" s="182"/>
      <c r="J658" s="182"/>
      <c r="K658" s="182"/>
      <c r="L658" s="183"/>
      <c r="M658" s="183"/>
      <c r="N658" s="184"/>
      <c r="O658" s="123"/>
      <c r="P658" s="124"/>
      <c r="Q658" s="125"/>
      <c r="R658" s="125"/>
      <c r="S658" s="125"/>
      <c r="T658" s="125"/>
      <c r="U658" s="125"/>
      <c r="V658" s="125"/>
      <c r="W658" s="125"/>
      <c r="X658" s="125"/>
      <c r="Y658" s="125"/>
      <c r="Z658" s="125"/>
    </row>
    <row r="659" spans="1:26">
      <c r="A659" s="180"/>
      <c r="B659" s="180"/>
      <c r="C659" s="181"/>
      <c r="D659" s="182"/>
      <c r="E659" s="182"/>
      <c r="F659" s="151">
        <f t="shared" si="131"/>
        <v>0</v>
      </c>
      <c r="G659" s="182"/>
      <c r="H659" s="182"/>
      <c r="I659" s="182"/>
      <c r="J659" s="182"/>
      <c r="K659" s="182"/>
      <c r="L659" s="183"/>
      <c r="M659" s="183"/>
      <c r="N659" s="184"/>
      <c r="O659" s="123"/>
      <c r="P659" s="124"/>
      <c r="Q659" s="125"/>
      <c r="R659" s="125"/>
      <c r="S659" s="125"/>
      <c r="T659" s="125"/>
      <c r="U659" s="125"/>
      <c r="V659" s="125"/>
      <c r="W659" s="125"/>
      <c r="X659" s="125"/>
      <c r="Y659" s="125"/>
      <c r="Z659" s="125"/>
    </row>
    <row r="660" spans="1:26">
      <c r="A660" s="180"/>
      <c r="B660" s="180"/>
      <c r="C660" s="181"/>
      <c r="D660" s="182"/>
      <c r="E660" s="182"/>
      <c r="F660" s="151">
        <f t="shared" si="131"/>
        <v>0</v>
      </c>
      <c r="G660" s="182"/>
      <c r="H660" s="182"/>
      <c r="I660" s="182"/>
      <c r="J660" s="182"/>
      <c r="K660" s="182"/>
      <c r="L660" s="183"/>
      <c r="M660" s="183"/>
      <c r="N660" s="184"/>
      <c r="O660" s="123"/>
      <c r="P660" s="124"/>
      <c r="Q660" s="125"/>
      <c r="R660" s="125"/>
      <c r="S660" s="125"/>
      <c r="T660" s="125"/>
      <c r="U660" s="125"/>
      <c r="V660" s="125"/>
      <c r="W660" s="125"/>
      <c r="X660" s="125"/>
      <c r="Y660" s="125"/>
      <c r="Z660" s="125"/>
    </row>
    <row r="661" spans="1:26">
      <c r="A661" s="180"/>
      <c r="B661" s="180"/>
      <c r="C661" s="181"/>
      <c r="D661" s="182"/>
      <c r="E661" s="182"/>
      <c r="F661" s="151">
        <f t="shared" si="131"/>
        <v>0</v>
      </c>
      <c r="G661" s="182"/>
      <c r="H661" s="182"/>
      <c r="I661" s="182"/>
      <c r="J661" s="182"/>
      <c r="K661" s="182"/>
      <c r="L661" s="183"/>
      <c r="M661" s="183"/>
      <c r="N661" s="184"/>
      <c r="O661" s="123"/>
      <c r="P661" s="124"/>
      <c r="Q661" s="125"/>
      <c r="R661" s="125"/>
      <c r="S661" s="125"/>
      <c r="T661" s="125"/>
      <c r="U661" s="125"/>
      <c r="V661" s="125"/>
      <c r="W661" s="125"/>
      <c r="X661" s="125"/>
      <c r="Y661" s="125"/>
      <c r="Z661" s="125"/>
    </row>
    <row r="662" spans="1:26">
      <c r="A662" s="180"/>
      <c r="B662" s="180"/>
      <c r="C662" s="181"/>
      <c r="D662" s="182"/>
      <c r="E662" s="182"/>
      <c r="F662" s="151">
        <f t="shared" si="131"/>
        <v>0</v>
      </c>
      <c r="G662" s="182"/>
      <c r="H662" s="182"/>
      <c r="I662" s="182"/>
      <c r="J662" s="182"/>
      <c r="K662" s="182"/>
      <c r="L662" s="183"/>
      <c r="M662" s="183"/>
      <c r="N662" s="184"/>
      <c r="O662" s="123"/>
      <c r="P662" s="124"/>
      <c r="Q662" s="125"/>
      <c r="R662" s="125"/>
      <c r="S662" s="125"/>
      <c r="T662" s="125"/>
      <c r="U662" s="125"/>
      <c r="V662" s="125"/>
      <c r="W662" s="125"/>
      <c r="X662" s="125"/>
      <c r="Y662" s="125"/>
      <c r="Z662" s="125"/>
    </row>
    <row r="663" spans="1:26">
      <c r="A663" s="180"/>
      <c r="B663" s="180"/>
      <c r="C663" s="181"/>
      <c r="D663" s="182"/>
      <c r="E663" s="182"/>
      <c r="F663" s="151">
        <f t="shared" si="131"/>
        <v>0</v>
      </c>
      <c r="G663" s="182"/>
      <c r="H663" s="182"/>
      <c r="I663" s="182"/>
      <c r="J663" s="182"/>
      <c r="K663" s="182"/>
      <c r="L663" s="183"/>
      <c r="M663" s="183"/>
      <c r="N663" s="184"/>
      <c r="O663" s="123"/>
      <c r="P663" s="124"/>
      <c r="Q663" s="125"/>
      <c r="R663" s="125"/>
      <c r="S663" s="125"/>
      <c r="T663" s="125"/>
      <c r="U663" s="125"/>
      <c r="V663" s="125"/>
      <c r="W663" s="125"/>
      <c r="X663" s="125"/>
      <c r="Y663" s="125"/>
      <c r="Z663" s="125"/>
    </row>
    <row r="664" spans="1:26">
      <c r="A664" s="180"/>
      <c r="B664" s="180"/>
      <c r="C664" s="181"/>
      <c r="D664" s="182"/>
      <c r="E664" s="182"/>
      <c r="F664" s="151">
        <f t="shared" si="131"/>
        <v>0</v>
      </c>
      <c r="G664" s="182"/>
      <c r="H664" s="182"/>
      <c r="I664" s="182"/>
      <c r="J664" s="182"/>
      <c r="K664" s="182"/>
      <c r="L664" s="183"/>
      <c r="M664" s="183"/>
      <c r="N664" s="184"/>
      <c r="O664" s="123"/>
      <c r="P664" s="124"/>
      <c r="Q664" s="125"/>
      <c r="R664" s="125"/>
      <c r="S664" s="125"/>
      <c r="T664" s="125"/>
      <c r="U664" s="125"/>
      <c r="V664" s="125"/>
      <c r="W664" s="125"/>
      <c r="X664" s="125"/>
      <c r="Y664" s="125"/>
      <c r="Z664" s="125"/>
    </row>
    <row r="665" spans="1:26">
      <c r="A665" s="180"/>
      <c r="B665" s="180"/>
      <c r="C665" s="181"/>
      <c r="D665" s="182"/>
      <c r="E665" s="182"/>
      <c r="F665" s="151">
        <f t="shared" si="131"/>
        <v>0</v>
      </c>
      <c r="G665" s="182"/>
      <c r="H665" s="182"/>
      <c r="I665" s="182"/>
      <c r="J665" s="182"/>
      <c r="K665" s="182"/>
      <c r="L665" s="183"/>
      <c r="M665" s="183"/>
      <c r="N665" s="184"/>
      <c r="O665" s="123"/>
      <c r="P665" s="124"/>
      <c r="Q665" s="125"/>
      <c r="R665" s="125"/>
      <c r="S665" s="125"/>
      <c r="T665" s="125"/>
      <c r="U665" s="125"/>
      <c r="V665" s="125"/>
      <c r="W665" s="125"/>
      <c r="X665" s="125"/>
      <c r="Y665" s="125"/>
      <c r="Z665" s="125"/>
    </row>
    <row r="666" spans="1:26">
      <c r="A666" s="180"/>
      <c r="B666" s="180"/>
      <c r="C666" s="181"/>
      <c r="D666" s="182"/>
      <c r="E666" s="182"/>
      <c r="F666" s="151">
        <f t="shared" si="131"/>
        <v>0</v>
      </c>
      <c r="G666" s="182"/>
      <c r="H666" s="182"/>
      <c r="I666" s="182"/>
      <c r="J666" s="182"/>
      <c r="K666" s="182"/>
      <c r="L666" s="183"/>
      <c r="M666" s="183"/>
      <c r="N666" s="184"/>
      <c r="O666" s="123"/>
      <c r="P666" s="124"/>
      <c r="Q666" s="125"/>
      <c r="R666" s="125"/>
      <c r="S666" s="125"/>
      <c r="T666" s="125"/>
      <c r="U666" s="125"/>
      <c r="V666" s="125"/>
      <c r="W666" s="125"/>
      <c r="X666" s="125"/>
      <c r="Y666" s="125"/>
      <c r="Z666" s="125"/>
    </row>
    <row r="667" spans="1:26">
      <c r="A667" s="180"/>
      <c r="B667" s="180"/>
      <c r="C667" s="181"/>
      <c r="D667" s="182"/>
      <c r="E667" s="182"/>
      <c r="F667" s="151">
        <f t="shared" si="131"/>
        <v>0</v>
      </c>
      <c r="G667" s="182"/>
      <c r="H667" s="182"/>
      <c r="I667" s="182"/>
      <c r="J667" s="182"/>
      <c r="K667" s="182"/>
      <c r="L667" s="183"/>
      <c r="M667" s="183"/>
      <c r="N667" s="184"/>
      <c r="O667" s="123"/>
      <c r="P667" s="124"/>
      <c r="Q667" s="125"/>
      <c r="R667" s="125"/>
      <c r="S667" s="125"/>
      <c r="T667" s="125"/>
      <c r="U667" s="125"/>
      <c r="V667" s="125"/>
      <c r="W667" s="125"/>
      <c r="X667" s="125"/>
      <c r="Y667" s="125"/>
      <c r="Z667" s="125"/>
    </row>
    <row r="668" spans="1:26">
      <c r="A668" s="180"/>
      <c r="B668" s="180"/>
      <c r="C668" s="181"/>
      <c r="D668" s="182"/>
      <c r="E668" s="182"/>
      <c r="F668" s="151">
        <f t="shared" si="131"/>
        <v>0</v>
      </c>
      <c r="G668" s="182"/>
      <c r="H668" s="182"/>
      <c r="I668" s="182"/>
      <c r="J668" s="182"/>
      <c r="K668" s="182"/>
      <c r="L668" s="183"/>
      <c r="M668" s="183"/>
      <c r="N668" s="184"/>
      <c r="O668" s="123"/>
      <c r="P668" s="124"/>
      <c r="Q668" s="125"/>
      <c r="R668" s="125"/>
      <c r="S668" s="125"/>
      <c r="T668" s="125"/>
      <c r="U668" s="125"/>
      <c r="V668" s="125"/>
      <c r="W668" s="125"/>
      <c r="X668" s="125"/>
      <c r="Y668" s="125"/>
      <c r="Z668" s="125"/>
    </row>
    <row r="669" spans="1:26">
      <c r="A669" s="180"/>
      <c r="B669" s="180"/>
      <c r="C669" s="181"/>
      <c r="D669" s="182"/>
      <c r="E669" s="182"/>
      <c r="F669" s="151">
        <f t="shared" si="131"/>
        <v>0</v>
      </c>
      <c r="G669" s="182"/>
      <c r="H669" s="182"/>
      <c r="I669" s="182"/>
      <c r="J669" s="182"/>
      <c r="K669" s="182"/>
      <c r="L669" s="183"/>
      <c r="M669" s="183"/>
      <c r="N669" s="184"/>
      <c r="O669" s="123"/>
      <c r="P669" s="124"/>
      <c r="Q669" s="125"/>
      <c r="R669" s="125"/>
      <c r="S669" s="125"/>
      <c r="T669" s="125"/>
      <c r="U669" s="125"/>
      <c r="V669" s="125"/>
      <c r="W669" s="125"/>
      <c r="X669" s="125"/>
      <c r="Y669" s="125"/>
      <c r="Z669" s="125"/>
    </row>
    <row r="670" spans="1:26">
      <c r="A670" s="180"/>
      <c r="B670" s="180"/>
      <c r="C670" s="181"/>
      <c r="D670" s="182"/>
      <c r="E670" s="182"/>
      <c r="F670" s="151">
        <f t="shared" si="131"/>
        <v>0</v>
      </c>
      <c r="G670" s="182"/>
      <c r="H670" s="182"/>
      <c r="I670" s="182"/>
      <c r="J670" s="182"/>
      <c r="K670" s="182"/>
      <c r="L670" s="183"/>
      <c r="M670" s="183"/>
      <c r="N670" s="184"/>
      <c r="O670" s="123"/>
      <c r="P670" s="124"/>
      <c r="Q670" s="125"/>
      <c r="R670" s="125"/>
      <c r="S670" s="125"/>
      <c r="T670" s="125"/>
      <c r="U670" s="125"/>
      <c r="V670" s="125"/>
      <c r="W670" s="125"/>
      <c r="X670" s="125"/>
      <c r="Y670" s="125"/>
      <c r="Z670" s="125"/>
    </row>
    <row r="671" spans="1:26">
      <c r="A671" s="180"/>
      <c r="B671" s="180"/>
      <c r="C671" s="181"/>
      <c r="D671" s="182"/>
      <c r="E671" s="182"/>
      <c r="F671" s="151">
        <f t="shared" si="131"/>
        <v>0</v>
      </c>
      <c r="G671" s="182"/>
      <c r="H671" s="182"/>
      <c r="I671" s="182"/>
      <c r="J671" s="182"/>
      <c r="K671" s="182"/>
      <c r="L671" s="183"/>
      <c r="M671" s="183"/>
      <c r="N671" s="184"/>
      <c r="O671" s="123"/>
      <c r="P671" s="124"/>
      <c r="Q671" s="125"/>
      <c r="R671" s="125"/>
      <c r="S671" s="125"/>
      <c r="T671" s="125"/>
      <c r="U671" s="125"/>
      <c r="V671" s="125"/>
      <c r="W671" s="125"/>
      <c r="X671" s="125"/>
      <c r="Y671" s="125"/>
      <c r="Z671" s="125"/>
    </row>
    <row r="672" spans="1:26">
      <c r="A672" s="180"/>
      <c r="B672" s="180"/>
      <c r="C672" s="181"/>
      <c r="D672" s="182"/>
      <c r="E672" s="182"/>
      <c r="F672" s="151">
        <f t="shared" si="131"/>
        <v>0</v>
      </c>
      <c r="G672" s="182"/>
      <c r="H672" s="182"/>
      <c r="I672" s="182"/>
      <c r="J672" s="182"/>
      <c r="K672" s="182"/>
      <c r="L672" s="183"/>
      <c r="M672" s="183"/>
      <c r="N672" s="184"/>
      <c r="O672" s="123"/>
      <c r="P672" s="124"/>
      <c r="Q672" s="125"/>
      <c r="R672" s="125"/>
      <c r="S672" s="125"/>
      <c r="T672" s="125"/>
      <c r="U672" s="125"/>
      <c r="V672" s="125"/>
      <c r="W672" s="125"/>
      <c r="X672" s="125"/>
      <c r="Y672" s="125"/>
      <c r="Z672" s="125"/>
    </row>
    <row r="673" spans="1:26">
      <c r="A673" s="180"/>
      <c r="B673" s="180"/>
      <c r="C673" s="181"/>
      <c r="D673" s="182"/>
      <c r="E673" s="182"/>
      <c r="F673" s="151">
        <f t="shared" si="131"/>
        <v>0</v>
      </c>
      <c r="G673" s="182"/>
      <c r="H673" s="182"/>
      <c r="I673" s="182"/>
      <c r="J673" s="182"/>
      <c r="K673" s="182"/>
      <c r="L673" s="183"/>
      <c r="M673" s="183"/>
      <c r="N673" s="184"/>
      <c r="O673" s="123"/>
      <c r="P673" s="124"/>
      <c r="Q673" s="125"/>
      <c r="R673" s="125"/>
      <c r="S673" s="125"/>
      <c r="T673" s="125"/>
      <c r="U673" s="125"/>
      <c r="V673" s="125"/>
      <c r="W673" s="125"/>
      <c r="X673" s="125"/>
      <c r="Y673" s="125"/>
      <c r="Z673" s="125"/>
    </row>
    <row r="674" spans="1:26">
      <c r="A674" s="180"/>
      <c r="B674" s="180"/>
      <c r="C674" s="181"/>
      <c r="D674" s="182"/>
      <c r="E674" s="182"/>
      <c r="F674" s="151">
        <f t="shared" si="131"/>
        <v>0</v>
      </c>
      <c r="G674" s="182"/>
      <c r="H674" s="182"/>
      <c r="I674" s="182"/>
      <c r="J674" s="182"/>
      <c r="K674" s="182"/>
      <c r="L674" s="183"/>
      <c r="M674" s="183"/>
      <c r="N674" s="184"/>
      <c r="O674" s="123"/>
      <c r="P674" s="124"/>
      <c r="Q674" s="125"/>
      <c r="R674" s="125"/>
      <c r="S674" s="125"/>
      <c r="T674" s="125"/>
      <c r="U674" s="125"/>
      <c r="V674" s="125"/>
      <c r="W674" s="125"/>
      <c r="X674" s="125"/>
      <c r="Y674" s="125"/>
      <c r="Z674" s="125"/>
    </row>
    <row r="675" spans="1:26">
      <c r="A675" s="180"/>
      <c r="B675" s="180"/>
      <c r="C675" s="181"/>
      <c r="D675" s="182"/>
      <c r="E675" s="182"/>
      <c r="F675" s="151">
        <f t="shared" si="131"/>
        <v>0</v>
      </c>
      <c r="G675" s="182"/>
      <c r="H675" s="182"/>
      <c r="I675" s="182"/>
      <c r="J675" s="182"/>
      <c r="K675" s="182"/>
      <c r="L675" s="183"/>
      <c r="M675" s="183"/>
      <c r="N675" s="184"/>
      <c r="O675" s="123"/>
      <c r="P675" s="124"/>
      <c r="Q675" s="125"/>
      <c r="R675" s="125"/>
      <c r="S675" s="125"/>
      <c r="T675" s="125"/>
      <c r="U675" s="125"/>
      <c r="V675" s="125"/>
      <c r="W675" s="125"/>
      <c r="X675" s="125"/>
      <c r="Y675" s="125"/>
      <c r="Z675" s="125"/>
    </row>
    <row r="676" spans="1:26">
      <c r="A676" s="180"/>
      <c r="B676" s="180"/>
      <c r="C676" s="181"/>
      <c r="D676" s="182"/>
      <c r="E676" s="182"/>
      <c r="F676" s="151">
        <f t="shared" si="131"/>
        <v>0</v>
      </c>
      <c r="G676" s="182"/>
      <c r="H676" s="182"/>
      <c r="I676" s="182"/>
      <c r="J676" s="182"/>
      <c r="K676" s="182"/>
      <c r="L676" s="183"/>
      <c r="M676" s="183"/>
      <c r="N676" s="184"/>
      <c r="O676" s="123"/>
      <c r="P676" s="124"/>
      <c r="Q676" s="125"/>
      <c r="R676" s="125"/>
      <c r="S676" s="125"/>
      <c r="T676" s="125"/>
      <c r="U676" s="125"/>
      <c r="V676" s="125"/>
      <c r="W676" s="125"/>
      <c r="X676" s="125"/>
      <c r="Y676" s="125"/>
      <c r="Z676" s="125"/>
    </row>
    <row r="677" spans="1:26">
      <c r="A677" s="180"/>
      <c r="B677" s="180"/>
      <c r="C677" s="181"/>
      <c r="D677" s="182"/>
      <c r="E677" s="182"/>
      <c r="F677" s="151">
        <f t="shared" si="131"/>
        <v>0</v>
      </c>
      <c r="G677" s="182"/>
      <c r="H677" s="182"/>
      <c r="I677" s="182"/>
      <c r="J677" s="182"/>
      <c r="K677" s="182"/>
      <c r="L677" s="183"/>
      <c r="M677" s="183"/>
      <c r="N677" s="184"/>
      <c r="O677" s="123"/>
      <c r="P677" s="124"/>
      <c r="Q677" s="125"/>
      <c r="R677" s="125"/>
      <c r="S677" s="125"/>
      <c r="T677" s="125"/>
      <c r="U677" s="125"/>
      <c r="V677" s="125"/>
      <c r="W677" s="125"/>
      <c r="X677" s="125"/>
      <c r="Y677" s="125"/>
      <c r="Z677" s="125"/>
    </row>
    <row r="678" spans="1:26">
      <c r="A678" s="180"/>
      <c r="B678" s="180"/>
      <c r="C678" s="181"/>
      <c r="D678" s="182"/>
      <c r="E678" s="182"/>
      <c r="F678" s="151">
        <f t="shared" si="131"/>
        <v>0</v>
      </c>
      <c r="G678" s="182"/>
      <c r="H678" s="182"/>
      <c r="I678" s="182"/>
      <c r="J678" s="182"/>
      <c r="K678" s="182"/>
      <c r="L678" s="183"/>
      <c r="M678" s="183"/>
      <c r="N678" s="184"/>
      <c r="O678" s="123"/>
      <c r="P678" s="124"/>
      <c r="Q678" s="125"/>
      <c r="R678" s="125"/>
      <c r="S678" s="125"/>
      <c r="T678" s="125"/>
      <c r="U678" s="125"/>
      <c r="V678" s="125"/>
      <c r="W678" s="125"/>
      <c r="X678" s="125"/>
      <c r="Y678" s="125"/>
      <c r="Z678" s="125"/>
    </row>
    <row r="679" spans="1:26">
      <c r="A679" s="180"/>
      <c r="B679" s="180"/>
      <c r="C679" s="181"/>
      <c r="D679" s="182"/>
      <c r="E679" s="182"/>
      <c r="F679" s="151">
        <f t="shared" si="131"/>
        <v>0</v>
      </c>
      <c r="G679" s="182"/>
      <c r="H679" s="182"/>
      <c r="I679" s="182"/>
      <c r="J679" s="182"/>
      <c r="K679" s="182"/>
      <c r="L679" s="183"/>
      <c r="M679" s="183"/>
      <c r="N679" s="184"/>
      <c r="O679" s="123"/>
      <c r="P679" s="124"/>
      <c r="Q679" s="125"/>
      <c r="R679" s="125"/>
      <c r="S679" s="125"/>
      <c r="T679" s="125"/>
      <c r="U679" s="125"/>
      <c r="V679" s="125"/>
      <c r="W679" s="125"/>
      <c r="X679" s="125"/>
      <c r="Y679" s="125"/>
      <c r="Z679" s="125"/>
    </row>
    <row r="680" spans="1:26">
      <c r="A680" s="180"/>
      <c r="B680" s="180"/>
      <c r="C680" s="181"/>
      <c r="D680" s="182"/>
      <c r="E680" s="182"/>
      <c r="F680" s="151">
        <f t="shared" si="131"/>
        <v>0</v>
      </c>
      <c r="G680" s="182"/>
      <c r="H680" s="182"/>
      <c r="I680" s="182"/>
      <c r="J680" s="182"/>
      <c r="K680" s="182"/>
      <c r="L680" s="183"/>
      <c r="M680" s="183"/>
      <c r="N680" s="184"/>
      <c r="O680" s="123"/>
      <c r="P680" s="124"/>
      <c r="Q680" s="125"/>
      <c r="R680" s="125"/>
      <c r="S680" s="125"/>
      <c r="T680" s="125"/>
      <c r="U680" s="125"/>
      <c r="V680" s="125"/>
      <c r="W680" s="125"/>
      <c r="X680" s="125"/>
      <c r="Y680" s="125"/>
      <c r="Z680" s="125"/>
    </row>
    <row r="681" spans="1:26">
      <c r="A681" s="180"/>
      <c r="B681" s="180"/>
      <c r="C681" s="181"/>
      <c r="D681" s="182"/>
      <c r="E681" s="182"/>
      <c r="F681" s="151">
        <f t="shared" si="131"/>
        <v>0</v>
      </c>
      <c r="G681" s="182"/>
      <c r="H681" s="182"/>
      <c r="I681" s="182"/>
      <c r="J681" s="182"/>
      <c r="K681" s="182"/>
      <c r="L681" s="183"/>
      <c r="M681" s="183"/>
      <c r="N681" s="184"/>
      <c r="O681" s="123"/>
      <c r="P681" s="124"/>
      <c r="Q681" s="125"/>
      <c r="R681" s="125"/>
      <c r="S681" s="125"/>
      <c r="T681" s="125"/>
      <c r="U681" s="125"/>
      <c r="V681" s="125"/>
      <c r="W681" s="125"/>
      <c r="X681" s="125"/>
      <c r="Y681" s="125"/>
      <c r="Z681" s="125"/>
    </row>
    <row r="682" spans="1:26">
      <c r="A682" s="180"/>
      <c r="B682" s="180"/>
      <c r="C682" s="181"/>
      <c r="D682" s="182"/>
      <c r="E682" s="182"/>
      <c r="F682" s="151">
        <f t="shared" si="131"/>
        <v>0</v>
      </c>
      <c r="G682" s="182"/>
      <c r="H682" s="182"/>
      <c r="I682" s="182"/>
      <c r="J682" s="182"/>
      <c r="K682" s="182"/>
      <c r="L682" s="183"/>
      <c r="M682" s="183"/>
      <c r="N682" s="184"/>
      <c r="O682" s="123"/>
      <c r="P682" s="124"/>
      <c r="Q682" s="125"/>
      <c r="R682" s="125"/>
      <c r="S682" s="125"/>
      <c r="T682" s="125"/>
      <c r="U682" s="125"/>
      <c r="V682" s="125"/>
      <c r="W682" s="125"/>
      <c r="X682" s="125"/>
      <c r="Y682" s="125"/>
      <c r="Z682" s="125"/>
    </row>
    <row r="683" spans="1:26">
      <c r="A683" s="180"/>
      <c r="B683" s="180"/>
      <c r="C683" s="181"/>
      <c r="D683" s="182"/>
      <c r="E683" s="182"/>
      <c r="F683" s="151">
        <f t="shared" si="131"/>
        <v>0</v>
      </c>
      <c r="G683" s="182"/>
      <c r="H683" s="182"/>
      <c r="I683" s="182"/>
      <c r="J683" s="182"/>
      <c r="K683" s="182"/>
      <c r="L683" s="183"/>
      <c r="M683" s="183"/>
      <c r="N683" s="184"/>
      <c r="O683" s="123"/>
      <c r="P683" s="124"/>
      <c r="Q683" s="125"/>
      <c r="R683" s="125"/>
      <c r="S683" s="125"/>
      <c r="T683" s="125"/>
      <c r="U683" s="125"/>
      <c r="V683" s="125"/>
      <c r="W683" s="125"/>
      <c r="X683" s="125"/>
      <c r="Y683" s="125"/>
      <c r="Z683" s="125"/>
    </row>
    <row r="684" spans="1:26">
      <c r="A684" s="180"/>
      <c r="B684" s="180"/>
      <c r="C684" s="181"/>
      <c r="D684" s="182"/>
      <c r="E684" s="182"/>
      <c r="F684" s="151">
        <f t="shared" si="131"/>
        <v>0</v>
      </c>
      <c r="G684" s="182"/>
      <c r="H684" s="182"/>
      <c r="I684" s="182"/>
      <c r="J684" s="182"/>
      <c r="K684" s="182"/>
      <c r="L684" s="183"/>
      <c r="M684" s="183"/>
      <c r="N684" s="184"/>
      <c r="O684" s="123"/>
      <c r="P684" s="124"/>
      <c r="Q684" s="125"/>
      <c r="R684" s="125"/>
      <c r="S684" s="125"/>
      <c r="T684" s="125"/>
      <c r="U684" s="125"/>
      <c r="V684" s="125"/>
      <c r="W684" s="125"/>
      <c r="X684" s="125"/>
      <c r="Y684" s="125"/>
      <c r="Z684" s="125"/>
    </row>
    <row r="685" spans="1:26">
      <c r="A685" s="180"/>
      <c r="B685" s="180"/>
      <c r="C685" s="181"/>
      <c r="D685" s="182"/>
      <c r="E685" s="182"/>
      <c r="F685" s="151">
        <f t="shared" si="131"/>
        <v>0</v>
      </c>
      <c r="G685" s="182"/>
      <c r="H685" s="182"/>
      <c r="I685" s="182"/>
      <c r="J685" s="182"/>
      <c r="K685" s="182"/>
      <c r="L685" s="183"/>
      <c r="M685" s="183"/>
      <c r="N685" s="184"/>
      <c r="O685" s="123"/>
      <c r="P685" s="124"/>
      <c r="Q685" s="125"/>
      <c r="R685" s="125"/>
      <c r="S685" s="125"/>
      <c r="T685" s="125"/>
      <c r="U685" s="125"/>
      <c r="V685" s="125"/>
      <c r="W685" s="125"/>
      <c r="X685" s="125"/>
      <c r="Y685" s="125"/>
      <c r="Z685" s="125"/>
    </row>
    <row r="686" spans="1:26">
      <c r="A686" s="180"/>
      <c r="B686" s="180"/>
      <c r="C686" s="181"/>
      <c r="D686" s="182"/>
      <c r="E686" s="182"/>
      <c r="F686" s="151">
        <f t="shared" si="131"/>
        <v>0</v>
      </c>
      <c r="G686" s="182"/>
      <c r="H686" s="182"/>
      <c r="I686" s="182"/>
      <c r="J686" s="182"/>
      <c r="K686" s="182"/>
      <c r="L686" s="183"/>
      <c r="M686" s="183"/>
      <c r="N686" s="184"/>
      <c r="O686" s="123"/>
      <c r="P686" s="124"/>
      <c r="Q686" s="125"/>
      <c r="R686" s="125"/>
      <c r="S686" s="125"/>
      <c r="T686" s="125"/>
      <c r="U686" s="125"/>
      <c r="V686" s="125"/>
      <c r="W686" s="125"/>
      <c r="X686" s="125"/>
      <c r="Y686" s="125"/>
      <c r="Z686" s="125"/>
    </row>
    <row r="687" spans="1:26">
      <c r="A687" s="180"/>
      <c r="B687" s="180"/>
      <c r="C687" s="181"/>
      <c r="D687" s="182"/>
      <c r="E687" s="182"/>
      <c r="F687" s="151">
        <f t="shared" si="131"/>
        <v>0</v>
      </c>
      <c r="G687" s="182"/>
      <c r="H687" s="182"/>
      <c r="I687" s="182"/>
      <c r="J687" s="182"/>
      <c r="K687" s="182"/>
      <c r="L687" s="183"/>
      <c r="M687" s="183"/>
      <c r="N687" s="184"/>
      <c r="O687" s="123"/>
      <c r="P687" s="124"/>
      <c r="Q687" s="125"/>
      <c r="R687" s="125"/>
      <c r="S687" s="125"/>
      <c r="T687" s="125"/>
      <c r="U687" s="125"/>
      <c r="V687" s="125"/>
      <c r="W687" s="125"/>
      <c r="X687" s="125"/>
      <c r="Y687" s="125"/>
      <c r="Z687" s="125"/>
    </row>
    <row r="688" spans="1:26">
      <c r="A688" s="180"/>
      <c r="B688" s="180"/>
      <c r="C688" s="181"/>
      <c r="D688" s="182"/>
      <c r="E688" s="182"/>
      <c r="F688" s="151">
        <f t="shared" si="131"/>
        <v>0</v>
      </c>
      <c r="G688" s="182"/>
      <c r="H688" s="182"/>
      <c r="I688" s="182"/>
      <c r="J688" s="182"/>
      <c r="K688" s="182"/>
      <c r="L688" s="183"/>
      <c r="M688" s="183"/>
      <c r="N688" s="184"/>
      <c r="O688" s="123"/>
      <c r="P688" s="124"/>
      <c r="Q688" s="125"/>
      <c r="R688" s="125"/>
      <c r="S688" s="125"/>
      <c r="T688" s="125"/>
      <c r="U688" s="125"/>
      <c r="V688" s="125"/>
      <c r="W688" s="125"/>
      <c r="X688" s="125"/>
      <c r="Y688" s="125"/>
      <c r="Z688" s="125"/>
    </row>
    <row r="689" spans="1:26">
      <c r="A689" s="180"/>
      <c r="B689" s="180"/>
      <c r="C689" s="181"/>
      <c r="D689" s="182"/>
      <c r="E689" s="182"/>
      <c r="F689" s="151">
        <f t="shared" si="131"/>
        <v>0</v>
      </c>
      <c r="G689" s="182"/>
      <c r="H689" s="182"/>
      <c r="I689" s="182"/>
      <c r="J689" s="182"/>
      <c r="K689" s="182"/>
      <c r="L689" s="183"/>
      <c r="M689" s="183"/>
      <c r="N689" s="184"/>
      <c r="O689" s="123"/>
      <c r="P689" s="124"/>
      <c r="Q689" s="125"/>
      <c r="R689" s="125"/>
      <c r="S689" s="125"/>
      <c r="T689" s="125"/>
      <c r="U689" s="125"/>
      <c r="V689" s="125"/>
      <c r="W689" s="125"/>
      <c r="X689" s="125"/>
      <c r="Y689" s="125"/>
      <c r="Z689" s="125"/>
    </row>
    <row r="690" spans="1:26">
      <c r="A690" s="180"/>
      <c r="B690" s="180"/>
      <c r="C690" s="181"/>
      <c r="D690" s="182"/>
      <c r="E690" s="182"/>
      <c r="F690" s="151">
        <f t="shared" si="131"/>
        <v>0</v>
      </c>
      <c r="G690" s="182"/>
      <c r="H690" s="182"/>
      <c r="I690" s="182"/>
      <c r="J690" s="182"/>
      <c r="K690" s="182"/>
      <c r="L690" s="183"/>
      <c r="M690" s="183"/>
      <c r="N690" s="184"/>
      <c r="O690" s="123"/>
      <c r="P690" s="124"/>
      <c r="Q690" s="125"/>
      <c r="R690" s="125"/>
      <c r="S690" s="125"/>
      <c r="T690" s="125"/>
      <c r="U690" s="125"/>
      <c r="V690" s="125"/>
      <c r="W690" s="125"/>
      <c r="X690" s="125"/>
      <c r="Y690" s="125"/>
      <c r="Z690" s="125"/>
    </row>
    <row r="691" spans="1:26">
      <c r="A691" s="180"/>
      <c r="B691" s="180"/>
      <c r="C691" s="181"/>
      <c r="D691" s="182"/>
      <c r="E691" s="182"/>
      <c r="F691" s="151">
        <f t="shared" si="131"/>
        <v>0</v>
      </c>
      <c r="G691" s="182"/>
      <c r="H691" s="182"/>
      <c r="I691" s="182"/>
      <c r="J691" s="182"/>
      <c r="K691" s="182"/>
      <c r="L691" s="183"/>
      <c r="M691" s="183"/>
      <c r="N691" s="184"/>
      <c r="O691" s="123"/>
      <c r="P691" s="124"/>
      <c r="Q691" s="125"/>
      <c r="R691" s="125"/>
      <c r="S691" s="125"/>
      <c r="T691" s="125"/>
      <c r="U691" s="125"/>
      <c r="V691" s="125"/>
      <c r="W691" s="125"/>
      <c r="X691" s="125"/>
      <c r="Y691" s="125"/>
      <c r="Z691" s="125"/>
    </row>
    <row r="692" spans="1:26">
      <c r="A692" s="180"/>
      <c r="B692" s="180"/>
      <c r="C692" s="181"/>
      <c r="D692" s="182"/>
      <c r="E692" s="182"/>
      <c r="F692" s="151">
        <f t="shared" si="131"/>
        <v>0</v>
      </c>
      <c r="G692" s="182"/>
      <c r="H692" s="182"/>
      <c r="I692" s="182"/>
      <c r="J692" s="182"/>
      <c r="K692" s="182"/>
      <c r="L692" s="183"/>
      <c r="M692" s="183"/>
      <c r="N692" s="184"/>
      <c r="O692" s="123"/>
      <c r="P692" s="124"/>
      <c r="Q692" s="125"/>
      <c r="R692" s="125"/>
      <c r="S692" s="125"/>
      <c r="T692" s="125"/>
      <c r="U692" s="125"/>
      <c r="V692" s="125"/>
      <c r="W692" s="125"/>
      <c r="X692" s="125"/>
      <c r="Y692" s="125"/>
      <c r="Z692" s="125"/>
    </row>
    <row r="693" spans="1:26">
      <c r="A693" s="180"/>
      <c r="B693" s="180"/>
      <c r="C693" s="181"/>
      <c r="D693" s="182"/>
      <c r="E693" s="182"/>
      <c r="F693" s="151">
        <f t="shared" si="131"/>
        <v>0</v>
      </c>
      <c r="G693" s="182"/>
      <c r="H693" s="182"/>
      <c r="I693" s="182"/>
      <c r="J693" s="182"/>
      <c r="K693" s="182"/>
      <c r="L693" s="183"/>
      <c r="M693" s="183"/>
      <c r="N693" s="184"/>
      <c r="O693" s="123"/>
      <c r="P693" s="124"/>
      <c r="Q693" s="125"/>
      <c r="R693" s="125"/>
      <c r="S693" s="125"/>
      <c r="T693" s="125"/>
      <c r="U693" s="125"/>
      <c r="V693" s="125"/>
      <c r="W693" s="125"/>
      <c r="X693" s="125"/>
      <c r="Y693" s="125"/>
      <c r="Z693" s="125"/>
    </row>
    <row r="694" spans="1:26">
      <c r="A694" s="180"/>
      <c r="B694" s="180"/>
      <c r="C694" s="181"/>
      <c r="D694" s="182"/>
      <c r="E694" s="182"/>
      <c r="F694" s="151">
        <f t="shared" si="131"/>
        <v>0</v>
      </c>
      <c r="G694" s="182"/>
      <c r="H694" s="182"/>
      <c r="I694" s="182"/>
      <c r="J694" s="182"/>
      <c r="K694" s="182"/>
      <c r="L694" s="183"/>
      <c r="M694" s="183"/>
      <c r="N694" s="184"/>
      <c r="O694" s="123"/>
      <c r="P694" s="124"/>
      <c r="Q694" s="125"/>
      <c r="R694" s="125"/>
      <c r="S694" s="125"/>
      <c r="T694" s="125"/>
      <c r="U694" s="125"/>
      <c r="V694" s="125"/>
      <c r="W694" s="125"/>
      <c r="X694" s="125"/>
      <c r="Y694" s="125"/>
      <c r="Z694" s="125"/>
    </row>
    <row r="695" spans="1:26">
      <c r="A695" s="180"/>
      <c r="B695" s="180"/>
      <c r="C695" s="181"/>
      <c r="D695" s="182"/>
      <c r="E695" s="182"/>
      <c r="F695" s="151">
        <f t="shared" si="131"/>
        <v>0</v>
      </c>
      <c r="G695" s="182"/>
      <c r="H695" s="182"/>
      <c r="I695" s="182"/>
      <c r="J695" s="182"/>
      <c r="K695" s="182"/>
      <c r="L695" s="183"/>
      <c r="M695" s="183"/>
      <c r="N695" s="184"/>
      <c r="O695" s="123"/>
      <c r="P695" s="124"/>
      <c r="Q695" s="125"/>
      <c r="R695" s="125"/>
      <c r="S695" s="125"/>
      <c r="T695" s="125"/>
      <c r="U695" s="125"/>
      <c r="V695" s="125"/>
      <c r="W695" s="125"/>
      <c r="X695" s="125"/>
      <c r="Y695" s="125"/>
      <c r="Z695" s="125"/>
    </row>
    <row r="696" spans="1:26">
      <c r="A696" s="180"/>
      <c r="B696" s="180"/>
      <c r="C696" s="181"/>
      <c r="D696" s="182"/>
      <c r="E696" s="182"/>
      <c r="F696" s="151">
        <f t="shared" si="131"/>
        <v>0</v>
      </c>
      <c r="G696" s="182"/>
      <c r="H696" s="182"/>
      <c r="I696" s="182"/>
      <c r="J696" s="182"/>
      <c r="K696" s="182"/>
      <c r="L696" s="183"/>
      <c r="M696" s="183"/>
      <c r="N696" s="184"/>
      <c r="O696" s="123"/>
      <c r="P696" s="124"/>
      <c r="Q696" s="125"/>
      <c r="R696" s="125"/>
      <c r="S696" s="125"/>
      <c r="T696" s="125"/>
      <c r="U696" s="125"/>
      <c r="V696" s="125"/>
      <c r="W696" s="125"/>
      <c r="X696" s="125"/>
      <c r="Y696" s="125"/>
      <c r="Z696" s="125"/>
    </row>
    <row r="697" spans="1:26">
      <c r="A697" s="180"/>
      <c r="B697" s="180"/>
      <c r="C697" s="181"/>
      <c r="D697" s="182"/>
      <c r="E697" s="182"/>
      <c r="F697" s="151">
        <f t="shared" si="131"/>
        <v>0</v>
      </c>
      <c r="G697" s="182"/>
      <c r="H697" s="182"/>
      <c r="I697" s="182"/>
      <c r="J697" s="182"/>
      <c r="K697" s="182"/>
      <c r="L697" s="183"/>
      <c r="M697" s="183"/>
      <c r="N697" s="184"/>
      <c r="O697" s="123"/>
      <c r="P697" s="124"/>
      <c r="Q697" s="125"/>
      <c r="R697" s="125"/>
      <c r="S697" s="125"/>
      <c r="T697" s="125"/>
      <c r="U697" s="125"/>
      <c r="V697" s="125"/>
      <c r="W697" s="125"/>
      <c r="X697" s="125"/>
      <c r="Y697" s="125"/>
      <c r="Z697" s="125"/>
    </row>
    <row r="698" spans="1:26">
      <c r="A698" s="180"/>
      <c r="B698" s="180"/>
      <c r="C698" s="181"/>
      <c r="D698" s="182"/>
      <c r="E698" s="182"/>
      <c r="F698" s="151">
        <f t="shared" si="131"/>
        <v>0</v>
      </c>
      <c r="G698" s="182"/>
      <c r="H698" s="182"/>
      <c r="I698" s="182"/>
      <c r="J698" s="182"/>
      <c r="K698" s="182"/>
      <c r="L698" s="183"/>
      <c r="M698" s="183"/>
      <c r="N698" s="184"/>
      <c r="O698" s="123"/>
      <c r="P698" s="124"/>
      <c r="Q698" s="125"/>
      <c r="R698" s="125"/>
      <c r="S698" s="125"/>
      <c r="T698" s="125"/>
      <c r="U698" s="125"/>
      <c r="V698" s="125"/>
      <c r="W698" s="125"/>
      <c r="X698" s="125"/>
      <c r="Y698" s="125"/>
      <c r="Z698" s="125"/>
    </row>
    <row r="699" spans="1:26">
      <c r="A699" s="180"/>
      <c r="B699" s="180"/>
      <c r="C699" s="181"/>
      <c r="D699" s="182"/>
      <c r="E699" s="182"/>
      <c r="F699" s="151">
        <f t="shared" si="131"/>
        <v>0</v>
      </c>
      <c r="G699" s="182"/>
      <c r="H699" s="182"/>
      <c r="I699" s="182"/>
      <c r="J699" s="182"/>
      <c r="K699" s="182"/>
      <c r="L699" s="183"/>
      <c r="M699" s="183"/>
      <c r="N699" s="184"/>
      <c r="O699" s="123"/>
      <c r="P699" s="124"/>
      <c r="Q699" s="125"/>
      <c r="R699" s="125"/>
      <c r="S699" s="125"/>
      <c r="T699" s="125"/>
      <c r="U699" s="125"/>
      <c r="V699" s="125"/>
      <c r="W699" s="125"/>
      <c r="X699" s="125"/>
      <c r="Y699" s="125"/>
      <c r="Z699" s="125"/>
    </row>
    <row r="700" spans="1:26">
      <c r="A700" s="180"/>
      <c r="B700" s="180"/>
      <c r="C700" s="181"/>
      <c r="D700" s="182"/>
      <c r="E700" s="182"/>
      <c r="F700" s="151">
        <f t="shared" si="131"/>
        <v>0</v>
      </c>
      <c r="G700" s="182"/>
      <c r="H700" s="182"/>
      <c r="I700" s="182"/>
      <c r="J700" s="182"/>
      <c r="K700" s="182"/>
      <c r="L700" s="183"/>
      <c r="M700" s="183"/>
      <c r="N700" s="184"/>
      <c r="O700" s="123"/>
      <c r="P700" s="124"/>
      <c r="Q700" s="125"/>
      <c r="R700" s="125"/>
      <c r="S700" s="125"/>
      <c r="T700" s="125"/>
      <c r="U700" s="125"/>
      <c r="V700" s="125"/>
      <c r="W700" s="125"/>
      <c r="X700" s="125"/>
      <c r="Y700" s="125"/>
      <c r="Z700" s="125"/>
    </row>
    <row r="701" spans="1:26">
      <c r="A701" s="180"/>
      <c r="B701" s="180"/>
      <c r="C701" s="181"/>
      <c r="D701" s="182"/>
      <c r="E701" s="182"/>
      <c r="F701" s="151">
        <f t="shared" si="131"/>
        <v>0</v>
      </c>
      <c r="G701" s="182"/>
      <c r="H701" s="182"/>
      <c r="I701" s="182"/>
      <c r="J701" s="182"/>
      <c r="K701" s="182"/>
      <c r="L701" s="183"/>
      <c r="M701" s="183"/>
      <c r="N701" s="184"/>
      <c r="O701" s="123"/>
      <c r="P701" s="124"/>
      <c r="Q701" s="125"/>
      <c r="R701" s="125"/>
      <c r="S701" s="125"/>
      <c r="T701" s="125"/>
      <c r="U701" s="125"/>
      <c r="V701" s="125"/>
      <c r="W701" s="125"/>
      <c r="X701" s="125"/>
      <c r="Y701" s="125"/>
      <c r="Z701" s="125"/>
    </row>
    <row r="702" spans="1:26">
      <c r="A702" s="180"/>
      <c r="B702" s="180"/>
      <c r="C702" s="181"/>
      <c r="D702" s="182"/>
      <c r="E702" s="182"/>
      <c r="F702" s="151">
        <f t="shared" si="131"/>
        <v>0</v>
      </c>
      <c r="G702" s="182"/>
      <c r="H702" s="182"/>
      <c r="I702" s="182"/>
      <c r="J702" s="182"/>
      <c r="K702" s="182"/>
      <c r="L702" s="183"/>
      <c r="M702" s="183"/>
      <c r="N702" s="184"/>
      <c r="O702" s="123"/>
      <c r="P702" s="124"/>
      <c r="Q702" s="125"/>
      <c r="R702" s="125"/>
      <c r="S702" s="125"/>
      <c r="T702" s="125"/>
      <c r="U702" s="125"/>
      <c r="V702" s="125"/>
      <c r="W702" s="125"/>
      <c r="X702" s="125"/>
      <c r="Y702" s="125"/>
      <c r="Z702" s="125"/>
    </row>
    <row r="703" spans="1:26">
      <c r="A703" s="180"/>
      <c r="B703" s="180"/>
      <c r="C703" s="181"/>
      <c r="D703" s="182"/>
      <c r="E703" s="182"/>
      <c r="F703" s="151">
        <f t="shared" si="131"/>
        <v>0</v>
      </c>
      <c r="G703" s="182"/>
      <c r="H703" s="182"/>
      <c r="I703" s="182"/>
      <c r="J703" s="182"/>
      <c r="K703" s="182"/>
      <c r="L703" s="183"/>
      <c r="M703" s="183"/>
      <c r="N703" s="184"/>
      <c r="O703" s="123"/>
      <c r="P703" s="124"/>
      <c r="Q703" s="125"/>
      <c r="R703" s="125"/>
      <c r="S703" s="125"/>
      <c r="T703" s="125"/>
      <c r="U703" s="125"/>
      <c r="V703" s="125"/>
      <c r="W703" s="125"/>
      <c r="X703" s="125"/>
      <c r="Y703" s="125"/>
      <c r="Z703" s="125"/>
    </row>
    <row r="704" spans="1:26">
      <c r="A704" s="180"/>
      <c r="B704" s="180"/>
      <c r="C704" s="181"/>
      <c r="D704" s="182"/>
      <c r="E704" s="182"/>
      <c r="F704" s="151">
        <f t="shared" si="131"/>
        <v>0</v>
      </c>
      <c r="G704" s="182"/>
      <c r="H704" s="182"/>
      <c r="I704" s="182"/>
      <c r="J704" s="182"/>
      <c r="K704" s="182"/>
      <c r="L704" s="183"/>
      <c r="M704" s="183"/>
      <c r="N704" s="184"/>
      <c r="O704" s="123"/>
      <c r="P704" s="124"/>
      <c r="Q704" s="125"/>
      <c r="R704" s="125"/>
      <c r="S704" s="125"/>
      <c r="T704" s="125"/>
      <c r="U704" s="125"/>
      <c r="V704" s="125"/>
      <c r="W704" s="125"/>
      <c r="X704" s="125"/>
      <c r="Y704" s="125"/>
      <c r="Z704" s="125"/>
    </row>
  </sheetData>
  <mergeCells count="10">
    <mergeCell ref="D5:G5"/>
    <mergeCell ref="H5:K5"/>
    <mergeCell ref="L5:M5"/>
    <mergeCell ref="A1:C1"/>
    <mergeCell ref="A2:C2"/>
    <mergeCell ref="A3:C3"/>
    <mergeCell ref="A4:C4"/>
    <mergeCell ref="A5:A6"/>
    <mergeCell ref="B5:B6"/>
    <mergeCell ref="C5:C6"/>
  </mergeCells>
  <conditionalFormatting sqref="K2 A8:E607 F8:F704 G33:N607 G8:K32 N8:N32">
    <cfRule type="expression" dxfId="0" priority="1" stopIfTrue="1">
      <formula>IF($D2+$H2=0,1,0)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E106"/>
  <sheetViews>
    <sheetView topLeftCell="A84" zoomScale="70" zoomScaleNormal="70" workbookViewId="0">
      <selection activeCell="E88" sqref="E88"/>
    </sheetView>
  </sheetViews>
  <sheetFormatPr defaultRowHeight="15"/>
  <cols>
    <col min="1" max="4" width="9.140625" style="241"/>
    <col min="5" max="5" width="11.5703125" style="241" bestFit="1" customWidth="1"/>
    <col min="6" max="6" width="9.85546875" style="241" bestFit="1" customWidth="1"/>
    <col min="7" max="13" width="9.140625" style="241"/>
    <col min="14" max="14" width="11.5703125" style="241" bestFit="1" customWidth="1"/>
    <col min="15" max="15" width="14.85546875" style="241" customWidth="1"/>
    <col min="16" max="16" width="18.140625" style="241" customWidth="1"/>
    <col min="17" max="17" width="14.42578125" style="241" customWidth="1"/>
    <col min="18" max="18" width="12.85546875" style="241" customWidth="1"/>
    <col min="19" max="19" width="17.5703125" style="241" customWidth="1"/>
    <col min="20" max="25" width="12.28515625" style="241" bestFit="1" customWidth="1"/>
    <col min="26" max="26" width="10" style="241" bestFit="1" customWidth="1"/>
    <col min="27" max="27" width="9" style="241" bestFit="1" customWidth="1"/>
    <col min="28" max="32" width="10" style="241" bestFit="1" customWidth="1"/>
    <col min="33" max="33" width="11.140625" style="241" bestFit="1" customWidth="1"/>
    <col min="34" max="57" width="10" style="241" bestFit="1" customWidth="1"/>
    <col min="58" max="16384" width="9.140625" style="241"/>
  </cols>
  <sheetData>
    <row r="3" spans="1:57">
      <c r="C3" s="302">
        <v>0.01</v>
      </c>
      <c r="F3" s="303">
        <v>0.02</v>
      </c>
    </row>
    <row r="6" spans="1:57">
      <c r="A6" s="303">
        <v>0.74</v>
      </c>
      <c r="B6" s="303">
        <f>A6+2%</f>
        <v>0.76</v>
      </c>
      <c r="C6" s="303">
        <f>B6+3%</f>
        <v>0.79</v>
      </c>
      <c r="D6" s="303">
        <f>C6+4%</f>
        <v>0.83000000000000007</v>
      </c>
      <c r="E6" s="303">
        <f>D6+2%</f>
        <v>0.85000000000000009</v>
      </c>
      <c r="F6" s="303">
        <f>E6+3%</f>
        <v>0.88000000000000012</v>
      </c>
      <c r="G6" s="303">
        <f>F6+4%</f>
        <v>0.92000000000000015</v>
      </c>
      <c r="H6" s="303">
        <f>G6+2%</f>
        <v>0.94000000000000017</v>
      </c>
      <c r="I6" s="303">
        <f>H6+3%</f>
        <v>0.9700000000000002</v>
      </c>
      <c r="J6" s="303">
        <f>I6+4%</f>
        <v>1.0100000000000002</v>
      </c>
      <c r="K6" s="303">
        <f>J6+2%</f>
        <v>1.0300000000000002</v>
      </c>
      <c r="L6" s="303">
        <f>K6+3%</f>
        <v>1.0600000000000003</v>
      </c>
      <c r="M6" s="303">
        <f>L6+4%</f>
        <v>1.1000000000000003</v>
      </c>
      <c r="N6" s="303">
        <f>M6+2%</f>
        <v>1.1200000000000003</v>
      </c>
      <c r="O6" s="303">
        <f>N6+2%+$C$3</f>
        <v>1.1500000000000004</v>
      </c>
      <c r="P6" s="303">
        <f>O6+2%</f>
        <v>1.1700000000000004</v>
      </c>
      <c r="Q6" s="303">
        <f>P6+2%</f>
        <v>1.1900000000000004</v>
      </c>
      <c r="R6" s="303">
        <f t="shared" ref="R6:Y6" si="0">S6-1%</f>
        <v>0.90999999999999992</v>
      </c>
      <c r="S6" s="303">
        <f t="shared" si="0"/>
        <v>0.91999999999999993</v>
      </c>
      <c r="T6" s="303">
        <f t="shared" si="0"/>
        <v>0.92999999999999994</v>
      </c>
      <c r="U6" s="303">
        <f t="shared" si="0"/>
        <v>0.94</v>
      </c>
      <c r="V6" s="303">
        <f t="shared" si="0"/>
        <v>0.95</v>
      </c>
      <c r="W6" s="303">
        <f t="shared" si="0"/>
        <v>0.96</v>
      </c>
      <c r="X6" s="303">
        <f t="shared" si="0"/>
        <v>0.97</v>
      </c>
      <c r="Y6" s="303">
        <f t="shared" si="0"/>
        <v>0.98</v>
      </c>
      <c r="Z6" s="303">
        <f>AA6-1%</f>
        <v>0.99</v>
      </c>
      <c r="AA6" s="303">
        <v>1</v>
      </c>
      <c r="AB6" s="303">
        <f>AA6+1%</f>
        <v>1.01</v>
      </c>
      <c r="AC6" s="303">
        <f t="shared" ref="AC6:AR8" si="1">AB6+1%</f>
        <v>1.02</v>
      </c>
      <c r="AD6" s="303">
        <f t="shared" si="1"/>
        <v>1.03</v>
      </c>
      <c r="AE6" s="303">
        <f t="shared" si="1"/>
        <v>1.04</v>
      </c>
      <c r="AF6" s="303">
        <f t="shared" si="1"/>
        <v>1.05</v>
      </c>
      <c r="AG6" s="303">
        <f t="shared" si="1"/>
        <v>1.06</v>
      </c>
      <c r="AH6" s="303"/>
      <c r="AI6" s="303"/>
      <c r="AJ6" s="303"/>
      <c r="AK6" s="303"/>
      <c r="AL6" s="303"/>
      <c r="AM6" s="303">
        <f t="shared" si="1"/>
        <v>0.01</v>
      </c>
      <c r="AN6" s="303">
        <f t="shared" si="1"/>
        <v>0.02</v>
      </c>
      <c r="AO6" s="303">
        <f t="shared" si="1"/>
        <v>0.03</v>
      </c>
      <c r="AP6" s="303">
        <f t="shared" si="1"/>
        <v>0.04</v>
      </c>
      <c r="AQ6" s="303">
        <f t="shared" si="1"/>
        <v>0.05</v>
      </c>
      <c r="AR6" s="303">
        <f t="shared" si="1"/>
        <v>6.0000000000000005E-2</v>
      </c>
      <c r="AS6" s="303">
        <f t="shared" ref="AS6:BE8" si="2">AR6+1%</f>
        <v>7.0000000000000007E-2</v>
      </c>
      <c r="AT6" s="303">
        <f t="shared" si="2"/>
        <v>0.08</v>
      </c>
      <c r="AU6" s="303">
        <f t="shared" si="2"/>
        <v>0.09</v>
      </c>
      <c r="AV6" s="303">
        <f t="shared" si="2"/>
        <v>9.9999999999999992E-2</v>
      </c>
      <c r="AW6" s="303">
        <f t="shared" si="2"/>
        <v>0.10999999999999999</v>
      </c>
      <c r="AX6" s="303">
        <f t="shared" si="2"/>
        <v>0.11999999999999998</v>
      </c>
      <c r="AY6" s="303">
        <f t="shared" si="2"/>
        <v>0.12999999999999998</v>
      </c>
      <c r="AZ6" s="303">
        <f t="shared" si="2"/>
        <v>0.13999999999999999</v>
      </c>
      <c r="BA6" s="303">
        <f t="shared" si="2"/>
        <v>0.15</v>
      </c>
      <c r="BB6" s="303">
        <f t="shared" si="2"/>
        <v>0.16</v>
      </c>
      <c r="BC6" s="303">
        <f t="shared" si="2"/>
        <v>0.17</v>
      </c>
      <c r="BD6" s="303">
        <f t="shared" si="2"/>
        <v>0.18000000000000002</v>
      </c>
      <c r="BE6" s="303">
        <f t="shared" si="2"/>
        <v>0.19000000000000003</v>
      </c>
    </row>
    <row r="7" spans="1:57">
      <c r="A7" s="303">
        <f t="shared" ref="A7:P8" si="3">B7-1%</f>
        <v>0.73999999999999977</v>
      </c>
      <c r="B7" s="303">
        <f t="shared" si="3"/>
        <v>0.74999999999999978</v>
      </c>
      <c r="C7" s="303">
        <f t="shared" si="3"/>
        <v>0.75999999999999979</v>
      </c>
      <c r="D7" s="303">
        <f t="shared" si="3"/>
        <v>0.7699999999999998</v>
      </c>
      <c r="E7" s="303">
        <f t="shared" si="3"/>
        <v>0.7799999999999998</v>
      </c>
      <c r="F7" s="303">
        <f t="shared" si="3"/>
        <v>0.78999999999999981</v>
      </c>
      <c r="G7" s="303">
        <f t="shared" si="3"/>
        <v>0.79999999999999982</v>
      </c>
      <c r="H7" s="303">
        <f t="shared" si="3"/>
        <v>0.80999999999999983</v>
      </c>
      <c r="I7" s="303">
        <f t="shared" si="3"/>
        <v>0.81999999999999984</v>
      </c>
      <c r="J7" s="303">
        <f t="shared" si="3"/>
        <v>0.82999999999999985</v>
      </c>
      <c r="K7" s="303">
        <f t="shared" si="3"/>
        <v>0.83999999999999986</v>
      </c>
      <c r="L7" s="303">
        <f t="shared" si="3"/>
        <v>0.84999999999999987</v>
      </c>
      <c r="M7" s="303">
        <f t="shared" si="3"/>
        <v>0.85999999999999988</v>
      </c>
      <c r="N7" s="303">
        <f t="shared" si="3"/>
        <v>0.86999999999999988</v>
      </c>
      <c r="O7" s="303">
        <f t="shared" si="3"/>
        <v>0.87999999999999989</v>
      </c>
      <c r="P7" s="303">
        <f t="shared" si="3"/>
        <v>0.8899999999999999</v>
      </c>
      <c r="Q7" s="303">
        <f t="shared" ref="Q7:Y8" si="4">R7-1%</f>
        <v>0.89999999999999991</v>
      </c>
      <c r="R7" s="303">
        <f t="shared" si="4"/>
        <v>0.90999999999999992</v>
      </c>
      <c r="S7" s="303">
        <f t="shared" si="4"/>
        <v>0.91999999999999993</v>
      </c>
      <c r="T7" s="303">
        <f t="shared" si="4"/>
        <v>0.92999999999999994</v>
      </c>
      <c r="U7" s="303">
        <f t="shared" si="4"/>
        <v>0.94</v>
      </c>
      <c r="V7" s="303">
        <f t="shared" si="4"/>
        <v>0.95</v>
      </c>
      <c r="W7" s="303">
        <f t="shared" si="4"/>
        <v>0.96</v>
      </c>
      <c r="X7" s="303">
        <f t="shared" si="4"/>
        <v>0.97</v>
      </c>
      <c r="Y7" s="303">
        <f t="shared" si="4"/>
        <v>0.98</v>
      </c>
      <c r="Z7" s="303">
        <f>AA7-1%</f>
        <v>0.99</v>
      </c>
      <c r="AA7" s="303">
        <v>1</v>
      </c>
      <c r="AB7" s="303">
        <f>AA7+1%</f>
        <v>1.01</v>
      </c>
      <c r="AC7" s="303">
        <f t="shared" si="1"/>
        <v>1.02</v>
      </c>
      <c r="AD7" s="303">
        <f t="shared" si="1"/>
        <v>1.03</v>
      </c>
      <c r="AE7" s="303">
        <f t="shared" si="1"/>
        <v>1.04</v>
      </c>
      <c r="AF7" s="303">
        <f t="shared" si="1"/>
        <v>1.05</v>
      </c>
      <c r="AG7" s="303">
        <f t="shared" si="1"/>
        <v>1.06</v>
      </c>
      <c r="AH7" s="303"/>
      <c r="AI7" s="303"/>
      <c r="AJ7" s="303"/>
      <c r="AK7" s="303"/>
      <c r="AL7" s="303"/>
      <c r="AM7" s="303">
        <f t="shared" si="1"/>
        <v>0.01</v>
      </c>
      <c r="AN7" s="303">
        <f t="shared" si="1"/>
        <v>0.02</v>
      </c>
      <c r="AO7" s="303">
        <f t="shared" si="1"/>
        <v>0.03</v>
      </c>
      <c r="AP7" s="303">
        <f t="shared" si="1"/>
        <v>0.04</v>
      </c>
      <c r="AQ7" s="303">
        <f t="shared" si="1"/>
        <v>0.05</v>
      </c>
      <c r="AR7" s="303">
        <f t="shared" si="1"/>
        <v>6.0000000000000005E-2</v>
      </c>
      <c r="AS7" s="303">
        <f t="shared" si="2"/>
        <v>7.0000000000000007E-2</v>
      </c>
      <c r="AT7" s="303">
        <f t="shared" si="2"/>
        <v>0.08</v>
      </c>
      <c r="AU7" s="303">
        <f t="shared" si="2"/>
        <v>0.09</v>
      </c>
      <c r="AV7" s="303">
        <f t="shared" si="2"/>
        <v>9.9999999999999992E-2</v>
      </c>
      <c r="AW7" s="303">
        <f t="shared" si="2"/>
        <v>0.10999999999999999</v>
      </c>
      <c r="AX7" s="303">
        <f t="shared" si="2"/>
        <v>0.11999999999999998</v>
      </c>
      <c r="AY7" s="303">
        <f t="shared" si="2"/>
        <v>0.12999999999999998</v>
      </c>
      <c r="AZ7" s="303">
        <f t="shared" si="2"/>
        <v>0.13999999999999999</v>
      </c>
      <c r="BA7" s="303">
        <f t="shared" si="2"/>
        <v>0.15</v>
      </c>
      <c r="BB7" s="303">
        <f t="shared" si="2"/>
        <v>0.16</v>
      </c>
      <c r="BC7" s="303">
        <f t="shared" si="2"/>
        <v>0.17</v>
      </c>
      <c r="BD7" s="303">
        <f t="shared" si="2"/>
        <v>0.18000000000000002</v>
      </c>
      <c r="BE7" s="303">
        <f t="shared" si="2"/>
        <v>0.19000000000000003</v>
      </c>
    </row>
    <row r="8" spans="1:57">
      <c r="A8" s="303">
        <f t="shared" si="3"/>
        <v>0.73999999999999977</v>
      </c>
      <c r="B8" s="303">
        <f t="shared" si="3"/>
        <v>0.74999999999999978</v>
      </c>
      <c r="C8" s="303">
        <f t="shared" si="3"/>
        <v>0.75999999999999979</v>
      </c>
      <c r="D8" s="303">
        <f t="shared" si="3"/>
        <v>0.7699999999999998</v>
      </c>
      <c r="E8" s="303">
        <f t="shared" si="3"/>
        <v>0.7799999999999998</v>
      </c>
      <c r="F8" s="303">
        <f t="shared" si="3"/>
        <v>0.78999999999999981</v>
      </c>
      <c r="G8" s="303">
        <f t="shared" si="3"/>
        <v>0.79999999999999982</v>
      </c>
      <c r="H8" s="303">
        <f t="shared" si="3"/>
        <v>0.80999999999999983</v>
      </c>
      <c r="I8" s="303">
        <f t="shared" si="3"/>
        <v>0.81999999999999984</v>
      </c>
      <c r="J8" s="303">
        <f t="shared" si="3"/>
        <v>0.82999999999999985</v>
      </c>
      <c r="K8" s="303">
        <f t="shared" si="3"/>
        <v>0.83999999999999986</v>
      </c>
      <c r="L8" s="303">
        <f t="shared" si="3"/>
        <v>0.84999999999999987</v>
      </c>
      <c r="M8" s="303">
        <f t="shared" si="3"/>
        <v>0.85999999999999988</v>
      </c>
      <c r="N8" s="303">
        <f t="shared" si="3"/>
        <v>0.86999999999999988</v>
      </c>
      <c r="O8" s="303">
        <f t="shared" si="3"/>
        <v>0.87999999999999989</v>
      </c>
      <c r="P8" s="303">
        <f t="shared" si="3"/>
        <v>0.8899999999999999</v>
      </c>
      <c r="Q8" s="303">
        <f t="shared" si="4"/>
        <v>0.89999999999999991</v>
      </c>
      <c r="R8" s="303">
        <f t="shared" si="4"/>
        <v>0.90999999999999992</v>
      </c>
      <c r="S8" s="303">
        <f t="shared" si="4"/>
        <v>0.91999999999999993</v>
      </c>
      <c r="T8" s="303">
        <f t="shared" si="4"/>
        <v>0.92999999999999994</v>
      </c>
      <c r="U8" s="303">
        <f t="shared" si="4"/>
        <v>0.94</v>
      </c>
      <c r="V8" s="303">
        <f t="shared" si="4"/>
        <v>0.95</v>
      </c>
      <c r="W8" s="303">
        <f t="shared" si="4"/>
        <v>0.96</v>
      </c>
      <c r="X8" s="303">
        <f t="shared" si="4"/>
        <v>0.97</v>
      </c>
      <c r="Y8" s="303">
        <f t="shared" si="4"/>
        <v>0.98</v>
      </c>
      <c r="Z8" s="303">
        <f>AA8-1%</f>
        <v>0.99</v>
      </c>
      <c r="AA8" s="303">
        <v>1</v>
      </c>
      <c r="AB8" s="303">
        <f>AA8+1%</f>
        <v>1.01</v>
      </c>
      <c r="AC8" s="303">
        <f t="shared" si="1"/>
        <v>1.02</v>
      </c>
      <c r="AD8" s="303">
        <f t="shared" si="1"/>
        <v>1.03</v>
      </c>
      <c r="AE8" s="303">
        <f t="shared" si="1"/>
        <v>1.04</v>
      </c>
      <c r="AF8" s="303">
        <f t="shared" si="1"/>
        <v>1.05</v>
      </c>
      <c r="AG8" s="303">
        <f t="shared" si="1"/>
        <v>1.06</v>
      </c>
      <c r="AH8" s="303"/>
      <c r="AI8" s="303"/>
      <c r="AJ8" s="303"/>
      <c r="AK8" s="303"/>
      <c r="AL8" s="303"/>
      <c r="AM8" s="303">
        <f t="shared" si="1"/>
        <v>0.01</v>
      </c>
      <c r="AN8" s="303">
        <f t="shared" si="1"/>
        <v>0.02</v>
      </c>
      <c r="AO8" s="303">
        <f t="shared" si="1"/>
        <v>0.03</v>
      </c>
      <c r="AP8" s="303">
        <f t="shared" si="1"/>
        <v>0.04</v>
      </c>
      <c r="AQ8" s="303">
        <f t="shared" si="1"/>
        <v>0.05</v>
      </c>
      <c r="AR8" s="303">
        <f t="shared" si="1"/>
        <v>6.0000000000000005E-2</v>
      </c>
      <c r="AS8" s="303">
        <f t="shared" si="2"/>
        <v>7.0000000000000007E-2</v>
      </c>
      <c r="AT8" s="303">
        <f t="shared" si="2"/>
        <v>0.08</v>
      </c>
      <c r="AU8" s="303">
        <f t="shared" si="2"/>
        <v>0.09</v>
      </c>
      <c r="AV8" s="303">
        <f t="shared" si="2"/>
        <v>9.9999999999999992E-2</v>
      </c>
      <c r="AW8" s="303">
        <f t="shared" si="2"/>
        <v>0.10999999999999999</v>
      </c>
      <c r="AX8" s="303">
        <f t="shared" si="2"/>
        <v>0.11999999999999998</v>
      </c>
      <c r="AY8" s="303">
        <f t="shared" si="2"/>
        <v>0.12999999999999998</v>
      </c>
      <c r="AZ8" s="303">
        <f t="shared" si="2"/>
        <v>0.13999999999999999</v>
      </c>
      <c r="BA8" s="303">
        <f t="shared" si="2"/>
        <v>0.15</v>
      </c>
      <c r="BB8" s="303">
        <f t="shared" si="2"/>
        <v>0.16</v>
      </c>
      <c r="BC8" s="303">
        <f t="shared" si="2"/>
        <v>0.17</v>
      </c>
      <c r="BD8" s="303">
        <f t="shared" si="2"/>
        <v>0.18000000000000002</v>
      </c>
      <c r="BE8" s="303">
        <f t="shared" si="2"/>
        <v>0.19000000000000003</v>
      </c>
    </row>
    <row r="9" spans="1:57">
      <c r="A9" s="304">
        <v>134421932.43243244</v>
      </c>
      <c r="B9" s="304">
        <v>130884513.15789476</v>
      </c>
      <c r="C9" s="304">
        <v>125914215.18987343</v>
      </c>
      <c r="D9" s="304">
        <v>119846060.24096386</v>
      </c>
      <c r="E9" s="304">
        <v>117026152.94117647</v>
      </c>
      <c r="F9" s="304">
        <v>113036625</v>
      </c>
      <c r="G9" s="304">
        <v>108121989.13043478</v>
      </c>
      <c r="H9" s="304">
        <v>105821521.27659574</v>
      </c>
      <c r="I9" s="304">
        <v>102548690.72164948</v>
      </c>
      <c r="J9" s="304">
        <v>98487356.435643554</v>
      </c>
      <c r="K9" s="304">
        <v>96574980.58252427</v>
      </c>
      <c r="L9" s="304">
        <v>93841726.415094331</v>
      </c>
      <c r="M9" s="304">
        <v>90429299.999999985</v>
      </c>
      <c r="N9" s="304">
        <v>88814491.071428552</v>
      </c>
      <c r="O9" s="304">
        <v>86497591.304347813</v>
      </c>
      <c r="P9" s="304">
        <v>85018999.999999985</v>
      </c>
      <c r="Q9" s="304">
        <v>83590109.243697464</v>
      </c>
      <c r="R9" s="304">
        <v>109310142.85714288</v>
      </c>
      <c r="S9" s="304">
        <v>108121989.13043481</v>
      </c>
      <c r="T9" s="304">
        <v>106959387.09677422</v>
      </c>
      <c r="U9" s="304">
        <v>105821521.27659577</v>
      </c>
      <c r="V9" s="304">
        <v>104707610.52631581</v>
      </c>
      <c r="W9" s="304">
        <v>103616906.25000001</v>
      </c>
      <c r="X9" s="304">
        <v>102548690.7216495</v>
      </c>
      <c r="Y9" s="304">
        <v>101502275.51020409</v>
      </c>
      <c r="Z9" s="304">
        <v>100477000.00000001</v>
      </c>
      <c r="AA9" s="304">
        <v>99472230.000000015</v>
      </c>
      <c r="AB9" s="304">
        <v>100466952.30000001</v>
      </c>
      <c r="AC9" s="304">
        <v>101461674.60000002</v>
      </c>
      <c r="AD9" s="304">
        <v>102456396.90000002</v>
      </c>
      <c r="AE9" s="304">
        <v>103451119.20000002</v>
      </c>
      <c r="AF9" s="304">
        <v>104445841.50000001</v>
      </c>
      <c r="AG9" s="304">
        <v>105440563.80000003</v>
      </c>
      <c r="AH9" s="304"/>
      <c r="AI9" s="304"/>
      <c r="AJ9" s="304"/>
      <c r="AK9" s="304"/>
      <c r="AL9" s="304"/>
      <c r="AM9" s="304">
        <v>994722.30000000016</v>
      </c>
      <c r="AN9" s="304">
        <v>1989444.6000000003</v>
      </c>
      <c r="AO9" s="304">
        <v>2984166.9000000004</v>
      </c>
      <c r="AP9" s="304">
        <v>3978889.2000000007</v>
      </c>
      <c r="AQ9" s="304">
        <v>4973611.5000000009</v>
      </c>
      <c r="AR9" s="304">
        <v>5968333.8000000017</v>
      </c>
      <c r="AS9" s="304">
        <v>6963056.1000000015</v>
      </c>
      <c r="AT9" s="304">
        <v>7957778.4000000013</v>
      </c>
      <c r="AU9" s="304">
        <v>8952500.7000000011</v>
      </c>
      <c r="AV9" s="304">
        <v>9947223</v>
      </c>
      <c r="AW9" s="304">
        <v>10941945.300000001</v>
      </c>
      <c r="AX9" s="304">
        <v>11936667.6</v>
      </c>
      <c r="AY9" s="304">
        <v>12931389.9</v>
      </c>
      <c r="AZ9" s="304">
        <v>13926112.200000001</v>
      </c>
      <c r="BA9" s="304">
        <v>14920834.500000002</v>
      </c>
      <c r="BB9" s="304">
        <v>15915556.800000003</v>
      </c>
      <c r="BC9" s="304">
        <v>16910279.100000005</v>
      </c>
      <c r="BD9" s="304">
        <v>17905001.400000006</v>
      </c>
      <c r="BE9" s="304">
        <v>18899723.700000007</v>
      </c>
    </row>
    <row r="10" spans="1:57">
      <c r="A10" s="304">
        <v>48048970.369600013</v>
      </c>
      <c r="B10" s="304">
        <v>48698280.780000016</v>
      </c>
      <c r="C10" s="304">
        <v>49347591.190400012</v>
      </c>
      <c r="D10" s="304">
        <v>49996901.600800015</v>
      </c>
      <c r="E10" s="304">
        <v>50646212.011200018</v>
      </c>
      <c r="F10" s="304">
        <v>51295522.421600014</v>
      </c>
      <c r="G10" s="304">
        <v>51944832.832000017</v>
      </c>
      <c r="H10" s="304">
        <v>52594143.24240002</v>
      </c>
      <c r="I10" s="304">
        <v>53243453.652800016</v>
      </c>
      <c r="J10" s="304">
        <v>53892764.063200019</v>
      </c>
      <c r="K10" s="304">
        <v>54542074.473600022</v>
      </c>
      <c r="L10" s="304">
        <v>55191384.884000026</v>
      </c>
      <c r="M10" s="304">
        <v>55840695.294400021</v>
      </c>
      <c r="N10" s="304">
        <v>56490005.704800025</v>
      </c>
      <c r="O10" s="304">
        <v>57139316.115200028</v>
      </c>
      <c r="P10" s="304">
        <v>57788626.525600024</v>
      </c>
      <c r="Q10" s="304">
        <v>58437936.936000027</v>
      </c>
      <c r="R10" s="304">
        <v>59087247.34640003</v>
      </c>
      <c r="S10" s="304">
        <v>59736557.756800026</v>
      </c>
      <c r="T10" s="304">
        <v>60385868.167200029</v>
      </c>
      <c r="U10" s="304">
        <v>61035178.577600032</v>
      </c>
      <c r="V10" s="304">
        <v>61684488.988000035</v>
      </c>
      <c r="W10" s="304">
        <v>62333799.398400031</v>
      </c>
      <c r="X10" s="304">
        <v>62983109.808800034</v>
      </c>
      <c r="Y10" s="304">
        <v>63632420.219200037</v>
      </c>
      <c r="Z10" s="304">
        <v>64281730.629600033</v>
      </c>
      <c r="AA10" s="304">
        <v>64931041.040000036</v>
      </c>
      <c r="AB10" s="304">
        <v>65580351.45040004</v>
      </c>
      <c r="AC10" s="304">
        <v>66229661.860800035</v>
      </c>
      <c r="AD10" s="304">
        <v>66878972.271200038</v>
      </c>
      <c r="AE10" s="304">
        <v>67528282.681600034</v>
      </c>
      <c r="AF10" s="304">
        <v>68177593.092000037</v>
      </c>
      <c r="AG10" s="304">
        <v>68826903.502400041</v>
      </c>
      <c r="AH10" s="304"/>
      <c r="AI10" s="304"/>
      <c r="AJ10" s="304"/>
      <c r="AK10" s="304"/>
      <c r="AL10" s="304"/>
      <c r="AM10" s="304">
        <v>649310.4104000004</v>
      </c>
      <c r="AN10" s="304">
        <v>1298620.8208000008</v>
      </c>
      <c r="AO10" s="304">
        <v>1947931.231200001</v>
      </c>
      <c r="AP10" s="304">
        <v>2597241.6416000016</v>
      </c>
      <c r="AQ10" s="304">
        <v>3246552.052000002</v>
      </c>
      <c r="AR10" s="304">
        <v>3895862.4624000024</v>
      </c>
      <c r="AS10" s="304">
        <v>4545172.8728000028</v>
      </c>
      <c r="AT10" s="304">
        <v>5194483.2832000032</v>
      </c>
      <c r="AU10" s="304">
        <v>5843793.6936000027</v>
      </c>
      <c r="AV10" s="304">
        <v>6493104.1040000031</v>
      </c>
      <c r="AW10" s="304">
        <v>7142414.5144000035</v>
      </c>
      <c r="AX10" s="304">
        <v>7791724.9248000029</v>
      </c>
      <c r="AY10" s="304">
        <v>8441035.3352000024</v>
      </c>
      <c r="AZ10" s="304">
        <v>9090345.7456000037</v>
      </c>
      <c r="BA10" s="304">
        <v>9739656.1560000051</v>
      </c>
      <c r="BB10" s="304">
        <v>10388966.566400006</v>
      </c>
      <c r="BC10" s="304">
        <v>11038276.976800008</v>
      </c>
      <c r="BD10" s="304">
        <v>11687587.387200007</v>
      </c>
      <c r="BE10" s="304">
        <v>12336897.797600009</v>
      </c>
    </row>
    <row r="11" spans="1:57">
      <c r="A11" s="304">
        <v>20368434.810580131</v>
      </c>
      <c r="B11" s="304">
        <v>20643683.929642025</v>
      </c>
      <c r="C11" s="304">
        <v>20918933.04870392</v>
      </c>
      <c r="D11" s="304">
        <v>21194182.167765811</v>
      </c>
      <c r="E11" s="304">
        <v>21469431.286827706</v>
      </c>
      <c r="F11" s="304">
        <v>21744680.405889601</v>
      </c>
      <c r="G11" s="304">
        <v>22019929.524951495</v>
      </c>
      <c r="H11" s="304">
        <v>22295178.64401339</v>
      </c>
      <c r="I11" s="304">
        <v>22570427.763075281</v>
      </c>
      <c r="J11" s="304">
        <v>22845676.882137176</v>
      </c>
      <c r="K11" s="304">
        <v>23120926.00119907</v>
      </c>
      <c r="L11" s="304">
        <v>23396175.120260965</v>
      </c>
      <c r="M11" s="304">
        <v>23671424.23932286</v>
      </c>
      <c r="N11" s="304">
        <v>23946673.358384755</v>
      </c>
      <c r="O11" s="304">
        <v>24221922.477446645</v>
      </c>
      <c r="P11" s="304">
        <v>24497171.59650854</v>
      </c>
      <c r="Q11" s="304">
        <v>24772420.715570435</v>
      </c>
      <c r="R11" s="304">
        <v>25047669.83463233</v>
      </c>
      <c r="S11" s="304">
        <v>25322918.953694224</v>
      </c>
      <c r="T11" s="304">
        <v>25598168.072756115</v>
      </c>
      <c r="U11" s="304">
        <v>25873417.19181801</v>
      </c>
      <c r="V11" s="304">
        <v>26148666.310879905</v>
      </c>
      <c r="W11" s="304">
        <v>26423915.429941799</v>
      </c>
      <c r="X11" s="304">
        <v>26699164.549003694</v>
      </c>
      <c r="Y11" s="304">
        <v>26974413.668065585</v>
      </c>
      <c r="Z11" s="304">
        <v>27249662.78712748</v>
      </c>
      <c r="AA11" s="304">
        <v>27524911.906189375</v>
      </c>
      <c r="AB11" s="304">
        <v>27800161.025251269</v>
      </c>
      <c r="AC11" s="304">
        <v>28075410.144313164</v>
      </c>
      <c r="AD11" s="304">
        <v>28350659.263375055</v>
      </c>
      <c r="AE11" s="304">
        <v>28625908.38243695</v>
      </c>
      <c r="AF11" s="304">
        <v>28901157.501498844</v>
      </c>
      <c r="AG11" s="304">
        <v>29176406.620560739</v>
      </c>
      <c r="AH11" s="304"/>
      <c r="AI11" s="304"/>
      <c r="AJ11" s="304"/>
      <c r="AK11" s="304"/>
      <c r="AL11" s="304"/>
      <c r="AM11" s="304">
        <v>275249.11906189373</v>
      </c>
      <c r="AN11" s="304">
        <v>550498.23812378745</v>
      </c>
      <c r="AO11" s="304">
        <v>825747.35718568123</v>
      </c>
      <c r="AP11" s="304">
        <v>1100996.4762475749</v>
      </c>
      <c r="AQ11" s="304">
        <v>1376245.5953094689</v>
      </c>
      <c r="AR11" s="304">
        <v>1651494.7143713627</v>
      </c>
      <c r="AS11" s="304">
        <v>1926743.8334332565</v>
      </c>
      <c r="AT11" s="304">
        <v>2201992.9524951498</v>
      </c>
      <c r="AU11" s="304">
        <v>2477242.0715570436</v>
      </c>
      <c r="AV11" s="304">
        <v>2752491.1906189374</v>
      </c>
      <c r="AW11" s="304">
        <v>3027740.3096808307</v>
      </c>
      <c r="AX11" s="304">
        <v>3302989.4287427245</v>
      </c>
      <c r="AY11" s="304">
        <v>3578238.5478046183</v>
      </c>
      <c r="AZ11" s="304">
        <v>3853487.666866512</v>
      </c>
      <c r="BA11" s="304">
        <v>4128736.7859284058</v>
      </c>
      <c r="BB11" s="304">
        <v>4403985.9049902996</v>
      </c>
      <c r="BC11" s="304">
        <v>4679235.0240521943</v>
      </c>
      <c r="BD11" s="304">
        <v>4954484.1431140881</v>
      </c>
      <c r="BE11" s="304">
        <v>5229733.2621759819</v>
      </c>
    </row>
    <row r="12" spans="1:57">
      <c r="R12" s="241">
        <v>1</v>
      </c>
    </row>
    <row r="13" spans="1:57">
      <c r="P13" s="241">
        <v>2</v>
      </c>
      <c r="R13" s="241">
        <v>1</v>
      </c>
    </row>
    <row r="14" spans="1:57">
      <c r="P14" s="241">
        <f t="shared" ref="P14:P21" si="5">P15+0.2</f>
        <v>3.8000000000000016</v>
      </c>
      <c r="Q14" s="241">
        <f>R14/P14</f>
        <v>0.26315789473684198</v>
      </c>
      <c r="R14" s="241">
        <v>1</v>
      </c>
    </row>
    <row r="15" spans="1:57">
      <c r="P15" s="241">
        <f t="shared" si="5"/>
        <v>3.6000000000000014</v>
      </c>
      <c r="Q15" s="241">
        <f>R15/P15</f>
        <v>0.27777777777777768</v>
      </c>
      <c r="R15" s="241">
        <v>1</v>
      </c>
    </row>
    <row r="16" spans="1:57">
      <c r="P16" s="241">
        <f t="shared" si="5"/>
        <v>3.4000000000000012</v>
      </c>
      <c r="Q16" s="241">
        <f>10+(P16+2)^2</f>
        <v>39.160000000000011</v>
      </c>
      <c r="R16" s="241">
        <v>1</v>
      </c>
    </row>
    <row r="17" spans="16:19">
      <c r="P17" s="241">
        <f t="shared" si="5"/>
        <v>3.2000000000000011</v>
      </c>
      <c r="Q17" s="241">
        <f>10+(P17+2)^2</f>
        <v>37.040000000000006</v>
      </c>
      <c r="R17" s="241">
        <v>1</v>
      </c>
    </row>
    <row r="18" spans="16:19">
      <c r="P18" s="241">
        <f t="shared" si="5"/>
        <v>3.0000000000000009</v>
      </c>
      <c r="Q18" s="241">
        <f>10+(P18+2)^2</f>
        <v>35.000000000000007</v>
      </c>
      <c r="R18" s="241">
        <v>1</v>
      </c>
    </row>
    <row r="19" spans="16:19">
      <c r="P19" s="241">
        <f t="shared" si="5"/>
        <v>2.8000000000000007</v>
      </c>
      <c r="Q19" s="241">
        <f>10+(P19+2)^2</f>
        <v>33.040000000000006</v>
      </c>
      <c r="R19" s="241">
        <f>R20+0.2</f>
        <v>14.2</v>
      </c>
    </row>
    <row r="20" spans="16:19">
      <c r="P20" s="241">
        <f t="shared" si="5"/>
        <v>2.6000000000000005</v>
      </c>
      <c r="Q20" s="241">
        <f>10+(P20+3-$S$26)^2</f>
        <v>36.010000000000005</v>
      </c>
      <c r="R20" s="241">
        <f t="shared" ref="R20:R30" si="6">R21+1</f>
        <v>14</v>
      </c>
    </row>
    <row r="21" spans="16:19">
      <c r="P21" s="241">
        <f t="shared" si="5"/>
        <v>2.4000000000000004</v>
      </c>
      <c r="Q21" s="241">
        <f>10+(P21+3-$S$26)^2</f>
        <v>34.010000000000005</v>
      </c>
      <c r="R21" s="241">
        <f t="shared" si="6"/>
        <v>13</v>
      </c>
      <c r="S21" s="241">
        <v>1</v>
      </c>
    </row>
    <row r="22" spans="16:19">
      <c r="P22" s="241">
        <f>P23+0.2</f>
        <v>2.2000000000000002</v>
      </c>
      <c r="Q22" s="241">
        <f>10+(P22+S21-$S$26)^2</f>
        <v>17.29</v>
      </c>
      <c r="R22" s="241">
        <f t="shared" si="6"/>
        <v>12</v>
      </c>
      <c r="S22" s="241">
        <v>1.5</v>
      </c>
    </row>
    <row r="23" spans="16:19">
      <c r="P23" s="241">
        <v>2</v>
      </c>
      <c r="Q23" s="241">
        <f>10+(P23+S22-$S$26)^2</f>
        <v>19</v>
      </c>
      <c r="R23" s="241">
        <f t="shared" si="6"/>
        <v>11</v>
      </c>
      <c r="S23" s="241">
        <v>2</v>
      </c>
    </row>
    <row r="24" spans="16:19">
      <c r="P24" s="241">
        <f t="shared" ref="P24:P32" si="7">P23-0.2</f>
        <v>1.8</v>
      </c>
      <c r="Q24" s="241">
        <f>10+(P24+S23-$S$26)^2</f>
        <v>20.89</v>
      </c>
      <c r="R24" s="241">
        <f t="shared" si="6"/>
        <v>10</v>
      </c>
      <c r="S24" s="241">
        <v>2.5</v>
      </c>
    </row>
    <row r="25" spans="16:19">
      <c r="P25" s="241">
        <f t="shared" si="7"/>
        <v>1.6</v>
      </c>
      <c r="Q25" s="241">
        <f>10+(P25+S24-$S$26)^2</f>
        <v>22.959999999999997</v>
      </c>
      <c r="R25" s="241">
        <f t="shared" si="6"/>
        <v>9</v>
      </c>
      <c r="S25" s="241">
        <v>3</v>
      </c>
    </row>
    <row r="26" spans="16:19">
      <c r="P26" s="241">
        <f t="shared" si="7"/>
        <v>1.4000000000000001</v>
      </c>
      <c r="Q26" s="241">
        <f>10+(P26+S25-$S$26)^2</f>
        <v>25.21</v>
      </c>
      <c r="R26" s="241">
        <f t="shared" si="6"/>
        <v>8</v>
      </c>
      <c r="S26" s="241">
        <v>0.5</v>
      </c>
    </row>
    <row r="27" spans="16:19">
      <c r="P27" s="241">
        <f t="shared" si="7"/>
        <v>1.2000000000000002</v>
      </c>
      <c r="Q27" s="241">
        <f t="shared" ref="Q27:Q32" si="8">10+(P27+4)^2</f>
        <v>37.040000000000006</v>
      </c>
      <c r="R27" s="241">
        <f t="shared" si="6"/>
        <v>7</v>
      </c>
    </row>
    <row r="28" spans="16:19">
      <c r="P28" s="241">
        <f t="shared" si="7"/>
        <v>1.0000000000000002</v>
      </c>
      <c r="Q28" s="241">
        <f t="shared" si="8"/>
        <v>35</v>
      </c>
      <c r="R28" s="241">
        <f t="shared" si="6"/>
        <v>6</v>
      </c>
    </row>
    <row r="29" spans="16:19">
      <c r="P29" s="241">
        <f t="shared" si="7"/>
        <v>0.80000000000000027</v>
      </c>
      <c r="Q29" s="241">
        <f t="shared" si="8"/>
        <v>33.040000000000006</v>
      </c>
      <c r="R29" s="241">
        <f t="shared" si="6"/>
        <v>5</v>
      </c>
    </row>
    <row r="30" spans="16:19">
      <c r="P30" s="241">
        <f t="shared" si="7"/>
        <v>0.60000000000000031</v>
      </c>
      <c r="Q30" s="241">
        <f t="shared" si="8"/>
        <v>31.160000000000004</v>
      </c>
      <c r="R30" s="241">
        <f t="shared" si="6"/>
        <v>4</v>
      </c>
    </row>
    <row r="31" spans="16:19">
      <c r="P31" s="241">
        <f t="shared" si="7"/>
        <v>0.4000000000000003</v>
      </c>
      <c r="Q31" s="241">
        <f t="shared" si="8"/>
        <v>29.360000000000003</v>
      </c>
      <c r="R31" s="241">
        <f>R32+1</f>
        <v>3</v>
      </c>
    </row>
    <row r="32" spans="16:19">
      <c r="P32" s="241">
        <f t="shared" si="7"/>
        <v>0.20000000000000029</v>
      </c>
      <c r="Q32" s="241">
        <f t="shared" si="8"/>
        <v>27.64</v>
      </c>
      <c r="R32" s="241">
        <v>2</v>
      </c>
    </row>
    <row r="41" spans="3:17">
      <c r="C41" s="241">
        <v>1</v>
      </c>
      <c r="D41" s="241">
        <f>2</f>
        <v>2</v>
      </c>
      <c r="E41" s="241">
        <f>SUM(C41:D41)</f>
        <v>3</v>
      </c>
      <c r="F41" s="241">
        <f t="shared" ref="F41:Q41" si="9">SUM(D41:E41)</f>
        <v>5</v>
      </c>
      <c r="G41" s="241">
        <f t="shared" si="9"/>
        <v>8</v>
      </c>
      <c r="H41" s="241">
        <f t="shared" si="9"/>
        <v>13</v>
      </c>
      <c r="I41" s="241">
        <f t="shared" si="9"/>
        <v>21</v>
      </c>
      <c r="J41" s="241">
        <f t="shared" si="9"/>
        <v>34</v>
      </c>
      <c r="K41" s="241">
        <f t="shared" si="9"/>
        <v>55</v>
      </c>
      <c r="L41" s="241">
        <f t="shared" si="9"/>
        <v>89</v>
      </c>
      <c r="M41" s="241">
        <f t="shared" si="9"/>
        <v>144</v>
      </c>
      <c r="N41" s="241">
        <f t="shared" si="9"/>
        <v>233</v>
      </c>
      <c r="O41" s="241">
        <f t="shared" si="9"/>
        <v>377</v>
      </c>
      <c r="P41" s="241">
        <f t="shared" si="9"/>
        <v>610</v>
      </c>
      <c r="Q41" s="241">
        <f t="shared" si="9"/>
        <v>987</v>
      </c>
    </row>
    <row r="44" spans="3:17">
      <c r="F44" s="241">
        <v>987</v>
      </c>
      <c r="G44" s="241">
        <v>810</v>
      </c>
      <c r="H44" s="241">
        <v>400</v>
      </c>
      <c r="I44" s="241">
        <v>233</v>
      </c>
      <c r="M44" s="241">
        <v>2</v>
      </c>
    </row>
    <row r="53" spans="1:38">
      <c r="A53" s="303">
        <f t="shared" ref="A53:L53" si="10">B53-3%</f>
        <v>0.60999999999999965</v>
      </c>
      <c r="B53" s="303">
        <f t="shared" si="10"/>
        <v>0.63999999999999968</v>
      </c>
      <c r="C53" s="303">
        <f t="shared" si="10"/>
        <v>0.66999999999999971</v>
      </c>
      <c r="D53" s="303">
        <f t="shared" si="10"/>
        <v>0.69999999999999973</v>
      </c>
      <c r="E53" s="303">
        <f t="shared" si="10"/>
        <v>0.72999999999999976</v>
      </c>
      <c r="F53" s="303">
        <f t="shared" si="10"/>
        <v>0.75999999999999979</v>
      </c>
      <c r="G53" s="303">
        <f t="shared" si="10"/>
        <v>0.78999999999999981</v>
      </c>
      <c r="H53" s="303">
        <f t="shared" si="10"/>
        <v>0.81999999999999984</v>
      </c>
      <c r="I53" s="303">
        <f t="shared" si="10"/>
        <v>0.84999999999999987</v>
      </c>
      <c r="J53" s="303">
        <f t="shared" si="10"/>
        <v>0.87999999999999989</v>
      </c>
      <c r="K53" s="303">
        <f t="shared" si="10"/>
        <v>0.90999999999999992</v>
      </c>
      <c r="L53" s="303">
        <f t="shared" si="10"/>
        <v>0.94</v>
      </c>
      <c r="M53" s="303">
        <f>N53-3%</f>
        <v>0.97</v>
      </c>
      <c r="N53" s="303">
        <v>1</v>
      </c>
      <c r="O53" s="303">
        <f>N53+3%</f>
        <v>1.03</v>
      </c>
      <c r="P53" s="303">
        <f t="shared" ref="P53:AG53" si="11">O53+3%</f>
        <v>1.06</v>
      </c>
      <c r="Q53" s="303">
        <f t="shared" si="11"/>
        <v>1.0900000000000001</v>
      </c>
      <c r="R53" s="303">
        <f t="shared" si="11"/>
        <v>1.1200000000000001</v>
      </c>
      <c r="S53" s="303">
        <f t="shared" si="11"/>
        <v>1.1500000000000001</v>
      </c>
      <c r="T53" s="303">
        <f t="shared" si="11"/>
        <v>1.1800000000000002</v>
      </c>
      <c r="U53" s="303">
        <f t="shared" si="11"/>
        <v>1.2100000000000002</v>
      </c>
      <c r="V53" s="303">
        <f t="shared" si="11"/>
        <v>1.2400000000000002</v>
      </c>
      <c r="W53" s="303">
        <f t="shared" si="11"/>
        <v>1.2700000000000002</v>
      </c>
      <c r="X53" s="303">
        <f t="shared" si="11"/>
        <v>1.3000000000000003</v>
      </c>
      <c r="Y53" s="303">
        <f t="shared" si="11"/>
        <v>1.3300000000000003</v>
      </c>
      <c r="Z53" s="303">
        <f t="shared" si="11"/>
        <v>1.3600000000000003</v>
      </c>
      <c r="AA53" s="303">
        <f t="shared" si="11"/>
        <v>1.3900000000000003</v>
      </c>
      <c r="AB53" s="303">
        <f t="shared" si="11"/>
        <v>1.4200000000000004</v>
      </c>
      <c r="AC53" s="303">
        <f t="shared" si="11"/>
        <v>1.4500000000000004</v>
      </c>
      <c r="AD53" s="303">
        <f t="shared" si="11"/>
        <v>1.4800000000000004</v>
      </c>
      <c r="AE53" s="303">
        <f t="shared" si="11"/>
        <v>1.5100000000000005</v>
      </c>
      <c r="AF53" s="303">
        <f t="shared" si="11"/>
        <v>1.5400000000000005</v>
      </c>
      <c r="AG53" s="303">
        <f t="shared" si="11"/>
        <v>1.5700000000000005</v>
      </c>
    </row>
    <row r="54" spans="1:38">
      <c r="F54" s="305">
        <v>0.02</v>
      </c>
      <c r="G54" s="305">
        <v>0.03</v>
      </c>
      <c r="H54" s="305">
        <v>2.5000000000000001E-2</v>
      </c>
      <c r="I54" s="305">
        <v>0.02</v>
      </c>
      <c r="J54" s="305">
        <v>1.4999999999999999E-2</v>
      </c>
      <c r="K54" s="305">
        <v>0.01</v>
      </c>
      <c r="L54" s="305">
        <v>5.0000000000000001E-3</v>
      </c>
      <c r="M54" s="305">
        <v>0</v>
      </c>
      <c r="N54" s="305">
        <v>-5.0000000000000001E-3</v>
      </c>
      <c r="O54" s="305">
        <v>-0.01</v>
      </c>
      <c r="P54" s="305">
        <v>-1.4999999999999999E-2</v>
      </c>
      <c r="Q54" s="305">
        <v>-0.02</v>
      </c>
      <c r="R54" s="305">
        <v>-2.5000000000000001E-2</v>
      </c>
      <c r="S54" s="305">
        <v>-0.03</v>
      </c>
      <c r="T54" s="305">
        <v>-3.5000000000000003E-2</v>
      </c>
      <c r="U54" s="305">
        <v>-0.04</v>
      </c>
      <c r="V54" s="305">
        <v>-4.4999999999999998E-2</v>
      </c>
      <c r="W54" s="305">
        <v>-0.05</v>
      </c>
      <c r="X54" s="305">
        <v>-5.5E-2</v>
      </c>
      <c r="Y54" s="305">
        <v>-0.06</v>
      </c>
      <c r="Z54" s="305">
        <v>-6.4999999999999905E-2</v>
      </c>
      <c r="AA54" s="305">
        <v>-7.0000000000000007E-2</v>
      </c>
      <c r="AB54" s="305">
        <v>-7.4999999999999997E-2</v>
      </c>
      <c r="AC54" s="305">
        <v>-0.08</v>
      </c>
      <c r="AD54" s="305">
        <v>-8.5000000000000006E-2</v>
      </c>
      <c r="AE54" s="305">
        <v>-0.09</v>
      </c>
      <c r="AF54" s="305">
        <v>-9.5000000000000001E-2</v>
      </c>
      <c r="AG54" s="305">
        <v>-0.1</v>
      </c>
      <c r="AH54" s="305"/>
      <c r="AI54" s="305"/>
      <c r="AJ54" s="305"/>
      <c r="AK54" s="305"/>
      <c r="AL54" s="305"/>
    </row>
    <row r="55" spans="1:38">
      <c r="E55" s="303">
        <v>0.74</v>
      </c>
      <c r="F55" s="303">
        <f>E55+F54</f>
        <v>0.76</v>
      </c>
      <c r="G55" s="303">
        <f t="shared" ref="G55:Q55" si="12">F55+G54</f>
        <v>0.79</v>
      </c>
      <c r="H55" s="303">
        <f t="shared" si="12"/>
        <v>0.81500000000000006</v>
      </c>
      <c r="I55" s="303">
        <f t="shared" si="12"/>
        <v>0.83500000000000008</v>
      </c>
      <c r="J55" s="303">
        <f t="shared" si="12"/>
        <v>0.85000000000000009</v>
      </c>
      <c r="K55" s="303">
        <f t="shared" si="12"/>
        <v>0.8600000000000001</v>
      </c>
      <c r="L55" s="303">
        <f t="shared" si="12"/>
        <v>0.8650000000000001</v>
      </c>
      <c r="M55" s="303">
        <f t="shared" si="12"/>
        <v>0.8650000000000001</v>
      </c>
      <c r="N55" s="303">
        <f t="shared" si="12"/>
        <v>0.8600000000000001</v>
      </c>
      <c r="O55" s="303">
        <f t="shared" si="12"/>
        <v>0.85000000000000009</v>
      </c>
      <c r="P55" s="303">
        <f t="shared" si="12"/>
        <v>0.83500000000000008</v>
      </c>
      <c r="Q55" s="303">
        <f t="shared" si="12"/>
        <v>0.81500000000000006</v>
      </c>
      <c r="R55" s="303">
        <f>Q55+R54</f>
        <v>0.79</v>
      </c>
      <c r="S55" s="303">
        <f t="shared" ref="S55:AG55" si="13">R55+S54</f>
        <v>0.76</v>
      </c>
      <c r="T55" s="303">
        <f t="shared" si="13"/>
        <v>0.72499999999999998</v>
      </c>
      <c r="U55" s="303">
        <f t="shared" si="13"/>
        <v>0.68499999999999994</v>
      </c>
      <c r="V55" s="303">
        <f t="shared" si="13"/>
        <v>0.6399999999999999</v>
      </c>
      <c r="W55" s="303">
        <f t="shared" si="13"/>
        <v>0.58999999999999986</v>
      </c>
      <c r="X55" s="303">
        <f t="shared" si="13"/>
        <v>0.53499999999999981</v>
      </c>
      <c r="Y55" s="303">
        <f t="shared" si="13"/>
        <v>0.47499999999999981</v>
      </c>
      <c r="Z55" s="303">
        <f t="shared" si="13"/>
        <v>0.40999999999999992</v>
      </c>
      <c r="AA55" s="303">
        <f t="shared" si="13"/>
        <v>0.33999999999999991</v>
      </c>
      <c r="AB55" s="303">
        <f t="shared" si="13"/>
        <v>0.2649999999999999</v>
      </c>
      <c r="AC55" s="303">
        <f t="shared" si="13"/>
        <v>0.18499999999999989</v>
      </c>
      <c r="AD55" s="303">
        <f t="shared" si="13"/>
        <v>9.9999999999999881E-2</v>
      </c>
      <c r="AE55" s="303">
        <f t="shared" si="13"/>
        <v>9.999999999999884E-3</v>
      </c>
      <c r="AF55" s="303">
        <f t="shared" si="13"/>
        <v>-8.5000000000000117E-2</v>
      </c>
      <c r="AG55" s="303">
        <f t="shared" si="13"/>
        <v>-0.18500000000000011</v>
      </c>
      <c r="AH55" s="303"/>
      <c r="AI55" s="303"/>
      <c r="AJ55" s="303"/>
      <c r="AK55" s="303"/>
      <c r="AL55" s="303"/>
    </row>
    <row r="56" spans="1:38">
      <c r="E56" s="241">
        <f>Прибыль_окупаемость!$D$16*E55</f>
        <v>6573326.9820000008</v>
      </c>
      <c r="F56" s="241">
        <f>Прибыль_окупаемость!$D$16*F55</f>
        <v>6750984.4680000003</v>
      </c>
      <c r="G56" s="241">
        <f>Прибыль_окупаемость!$D$16*G55</f>
        <v>7017470.6970000006</v>
      </c>
      <c r="H56" s="241">
        <f>Прибыль_окупаемость!$D$16*H55</f>
        <v>7239542.5545000015</v>
      </c>
      <c r="I56" s="241">
        <f>Прибыль_окупаемость!$D$16*I55</f>
        <v>7417200.0405000011</v>
      </c>
      <c r="J56" s="241">
        <f>Прибыль_окупаемость!$D$16*J55</f>
        <v>7550443.1550000012</v>
      </c>
      <c r="K56" s="241">
        <f>Прибыль_окупаемость!$D$16*K55</f>
        <v>7639271.8980000019</v>
      </c>
      <c r="L56" s="241">
        <f>Прибыль_окупаемость!$D$16*L55</f>
        <v>7683686.2695000013</v>
      </c>
      <c r="M56" s="241">
        <f>Прибыль_окупаемость!$D$16*M55</f>
        <v>7683686.2695000013</v>
      </c>
      <c r="N56" s="241">
        <f>Прибыль_окупаемость!$D$16*N55</f>
        <v>7639271.8980000019</v>
      </c>
      <c r="O56" s="241">
        <f>Прибыль_окупаемость!$D$16*O55</f>
        <v>7550443.1550000012</v>
      </c>
      <c r="P56" s="241">
        <f>Прибыль_окупаемость!$D$16*P55</f>
        <v>7417200.0405000011</v>
      </c>
      <c r="Q56" s="241">
        <f>Прибыль_окупаемость!$D$16*Q55</f>
        <v>7239542.5545000015</v>
      </c>
      <c r="R56" s="241">
        <f>Прибыль_окупаемость!$D$16*R55</f>
        <v>7017470.6970000006</v>
      </c>
      <c r="S56" s="241">
        <f>Прибыль_окупаемость!$D$16*S55</f>
        <v>6750984.4680000003</v>
      </c>
      <c r="T56" s="241">
        <f>Прибыль_окупаемость!$D$16*T55</f>
        <v>6440083.8675000006</v>
      </c>
      <c r="U56" s="241">
        <f>Прибыль_окупаемость!$D$16*U55</f>
        <v>6084768.8954999996</v>
      </c>
      <c r="V56" s="241">
        <f>Прибыль_окупаемость!$D$16*V55</f>
        <v>5685039.5519999992</v>
      </c>
      <c r="W56" s="241">
        <f>Прибыль_окупаемость!$D$16*W55</f>
        <v>5240895.8369999994</v>
      </c>
      <c r="X56" s="241">
        <f>Прибыль_окупаемость!$D$16*X55</f>
        <v>4752337.7504999992</v>
      </c>
      <c r="Y56" s="241">
        <f>Прибыль_окупаемость!$D$16*Y55</f>
        <v>4219365.2924999986</v>
      </c>
      <c r="Z56" s="241">
        <f>Прибыль_окупаемость!$D$16*Z55</f>
        <v>3641978.4629999995</v>
      </c>
      <c r="AA56" s="241">
        <f>Прибыль_окупаемость!$D$16*AA55</f>
        <v>3020177.2619999996</v>
      </c>
      <c r="AB56" s="241">
        <f>Прибыль_окупаемость!$D$16*AB55</f>
        <v>2353961.6894999994</v>
      </c>
      <c r="AC56" s="241">
        <f>Прибыль_окупаемость!$D$16*AC55</f>
        <v>1643331.745499999</v>
      </c>
      <c r="AD56" s="241">
        <f>Прибыль_окупаемость!$D$16*AD55</f>
        <v>888287.429999999</v>
      </c>
      <c r="AE56" s="241">
        <f>Прибыль_окупаемость!$D$16*AE55</f>
        <v>88828.742999998984</v>
      </c>
      <c r="AF56" s="241">
        <f>Прибыль_окупаемость!$D$16*AF55</f>
        <v>-755044.31550000107</v>
      </c>
      <c r="AG56" s="241">
        <f>Прибыль_окупаемость!$D$16*AG55</f>
        <v>-1643331.7455000011</v>
      </c>
    </row>
    <row r="57" spans="1:38">
      <c r="F57" s="305">
        <v>0.02</v>
      </c>
      <c r="G57" s="305">
        <v>0.03</v>
      </c>
      <c r="H57" s="305">
        <v>2.5000000000000001E-2</v>
      </c>
      <c r="I57" s="305">
        <v>0.02</v>
      </c>
      <c r="J57" s="305">
        <v>1.4999999999999999E-2</v>
      </c>
      <c r="K57" s="305">
        <v>0.01</v>
      </c>
      <c r="L57" s="305">
        <v>5.0000000000000001E-3</v>
      </c>
      <c r="M57" s="305">
        <v>0</v>
      </c>
      <c r="N57" s="305">
        <v>-5.0000000000000001E-3</v>
      </c>
      <c r="O57" s="305">
        <v>-0.01</v>
      </c>
      <c r="P57" s="305">
        <v>-1.4999999999999999E-2</v>
      </c>
      <c r="Q57" s="305">
        <v>-0.02</v>
      </c>
      <c r="R57" s="305">
        <v>-2.5000000000000001E-2</v>
      </c>
      <c r="S57" s="305">
        <v>-0.03</v>
      </c>
      <c r="T57" s="305">
        <v>-3.5000000000000003E-2</v>
      </c>
      <c r="U57" s="305">
        <v>-0.04</v>
      </c>
      <c r="V57" s="305">
        <v>-4.4999999999999998E-2</v>
      </c>
      <c r="W57" s="305">
        <v>-0.05</v>
      </c>
      <c r="X57" s="305">
        <v>-5.5E-2</v>
      </c>
      <c r="Y57" s="305">
        <v>-0.06</v>
      </c>
      <c r="Z57" s="305">
        <v>-5.5E-2</v>
      </c>
      <c r="AA57" s="305">
        <v>-0.06</v>
      </c>
      <c r="AB57" s="305">
        <v>-5.5E-2</v>
      </c>
      <c r="AC57" s="305">
        <v>-0.06</v>
      </c>
      <c r="AD57" s="305">
        <v>-5.5E-2</v>
      </c>
      <c r="AE57" s="305">
        <v>-0.06</v>
      </c>
      <c r="AF57" s="305">
        <v>-5.5E-2</v>
      </c>
      <c r="AG57" s="305">
        <v>-0.06</v>
      </c>
      <c r="AH57" s="305"/>
      <c r="AI57" s="305"/>
      <c r="AJ57" s="305"/>
      <c r="AK57" s="305"/>
      <c r="AL57" s="305"/>
    </row>
    <row r="58" spans="1:38" s="306" customFormat="1">
      <c r="E58" s="306">
        <v>0.74</v>
      </c>
      <c r="F58" s="306">
        <f>E58+F57</f>
        <v>0.76</v>
      </c>
      <c r="G58" s="306">
        <f>F58+G57</f>
        <v>0.79</v>
      </c>
      <c r="H58" s="306">
        <f t="shared" ref="H58:AG58" si="14">G58+H57</f>
        <v>0.81500000000000006</v>
      </c>
      <c r="I58" s="306">
        <f t="shared" si="14"/>
        <v>0.83500000000000008</v>
      </c>
      <c r="J58" s="306">
        <f t="shared" si="14"/>
        <v>0.85000000000000009</v>
      </c>
      <c r="K58" s="306">
        <f t="shared" si="14"/>
        <v>0.8600000000000001</v>
      </c>
      <c r="L58" s="306">
        <f t="shared" si="14"/>
        <v>0.8650000000000001</v>
      </c>
      <c r="M58" s="306">
        <f t="shared" si="14"/>
        <v>0.8650000000000001</v>
      </c>
      <c r="N58" s="306">
        <f t="shared" si="14"/>
        <v>0.8600000000000001</v>
      </c>
      <c r="O58" s="306">
        <f t="shared" si="14"/>
        <v>0.85000000000000009</v>
      </c>
      <c r="P58" s="306">
        <f t="shared" si="14"/>
        <v>0.83500000000000008</v>
      </c>
      <c r="Q58" s="306">
        <f t="shared" si="14"/>
        <v>0.81500000000000006</v>
      </c>
      <c r="R58" s="306">
        <f t="shared" si="14"/>
        <v>0.79</v>
      </c>
      <c r="S58" s="306">
        <f t="shared" si="14"/>
        <v>0.76</v>
      </c>
      <c r="T58" s="306">
        <f t="shared" si="14"/>
        <v>0.72499999999999998</v>
      </c>
      <c r="U58" s="306">
        <f t="shared" si="14"/>
        <v>0.68499999999999994</v>
      </c>
      <c r="V58" s="306">
        <f t="shared" si="14"/>
        <v>0.6399999999999999</v>
      </c>
      <c r="W58" s="306">
        <f t="shared" si="14"/>
        <v>0.58999999999999986</v>
      </c>
      <c r="X58" s="306">
        <f t="shared" si="14"/>
        <v>0.53499999999999981</v>
      </c>
      <c r="Y58" s="306">
        <f t="shared" si="14"/>
        <v>0.47499999999999981</v>
      </c>
      <c r="Z58" s="306">
        <f t="shared" si="14"/>
        <v>0.41999999999999982</v>
      </c>
      <c r="AA58" s="306">
        <f t="shared" si="14"/>
        <v>0.35999999999999982</v>
      </c>
      <c r="AB58" s="306">
        <f t="shared" si="14"/>
        <v>0.30499999999999983</v>
      </c>
      <c r="AC58" s="306">
        <f t="shared" si="14"/>
        <v>0.24499999999999983</v>
      </c>
      <c r="AD58" s="306">
        <f t="shared" si="14"/>
        <v>0.18999999999999984</v>
      </c>
      <c r="AE58" s="306">
        <f t="shared" si="14"/>
        <v>0.12999999999999984</v>
      </c>
      <c r="AF58" s="306">
        <f t="shared" si="14"/>
        <v>7.4999999999999845E-2</v>
      </c>
      <c r="AG58" s="306">
        <f t="shared" si="14"/>
        <v>1.4999999999999847E-2</v>
      </c>
    </row>
    <row r="59" spans="1:38">
      <c r="E59" s="241">
        <f>Прибыль_окупаемость!$D$17*E58</f>
        <v>3557180</v>
      </c>
      <c r="F59" s="241">
        <f>Прибыль_окупаемость!$D$17*F58</f>
        <v>3653320</v>
      </c>
      <c r="G59" s="241">
        <f>Прибыль_окупаемость!$D$17*G58</f>
        <v>3797530</v>
      </c>
      <c r="H59" s="241">
        <f>Прибыль_окупаемость!$D$17*H58</f>
        <v>3917705.0000000005</v>
      </c>
      <c r="I59" s="241">
        <f>Прибыль_окупаемость!$D$17*I58</f>
        <v>4013845.0000000005</v>
      </c>
      <c r="J59" s="241">
        <f>Прибыль_окупаемость!$D$17*J58</f>
        <v>4085950.0000000005</v>
      </c>
      <c r="K59" s="241">
        <f>Прибыль_окупаемость!$D$17*K58</f>
        <v>4134020.0000000005</v>
      </c>
      <c r="L59" s="241">
        <f>Прибыль_окупаемость!$D$17*L58</f>
        <v>4158055.0000000005</v>
      </c>
      <c r="M59" s="241">
        <f>Прибыль_окупаемость!$D$17*M58</f>
        <v>4158055.0000000005</v>
      </c>
      <c r="N59" s="241">
        <f>Прибыль_окупаемость!$D$17*N58</f>
        <v>4134020.0000000005</v>
      </c>
      <c r="O59" s="241">
        <f>Прибыль_окупаемость!$D$17*O58</f>
        <v>4085950.0000000005</v>
      </c>
      <c r="P59" s="241">
        <f>Прибыль_окупаемость!$D$17*P58</f>
        <v>4013845.0000000005</v>
      </c>
      <c r="Q59" s="241">
        <f>Прибыль_окупаемость!$D$17*Q58</f>
        <v>3917705.0000000005</v>
      </c>
      <c r="R59" s="241">
        <f>Прибыль_окупаемость!$D$17*R58</f>
        <v>3797530</v>
      </c>
      <c r="S59" s="241">
        <f>Прибыль_окупаемость!$D$17*S58</f>
        <v>3653320</v>
      </c>
      <c r="T59" s="241">
        <f>Прибыль_окупаемость!$D$17*T58</f>
        <v>3485075</v>
      </c>
      <c r="U59" s="241">
        <f>Прибыль_окупаемость!$D$17*U58</f>
        <v>3292794.9999999995</v>
      </c>
      <c r="V59" s="241">
        <f>Прибыль_окупаемость!$D$17*V58</f>
        <v>3076479.9999999995</v>
      </c>
      <c r="W59" s="241">
        <f>Прибыль_окупаемость!$D$17*W58</f>
        <v>2836129.9999999995</v>
      </c>
      <c r="X59" s="241">
        <f>Прибыль_окупаемость!$D$17*X58</f>
        <v>2571744.9999999991</v>
      </c>
      <c r="Y59" s="241">
        <f>Прибыль_окупаемость!$D$17*Y58</f>
        <v>2283324.9999999991</v>
      </c>
      <c r="Z59" s="241">
        <f>Прибыль_окупаемость!$D$17*Z58</f>
        <v>2018939.9999999991</v>
      </c>
      <c r="AA59" s="241">
        <f>Прибыль_окупаемость!$D$17*AA58</f>
        <v>1730519.9999999991</v>
      </c>
      <c r="AB59" s="241">
        <f>Прибыль_окупаемость!$D$17*AB58</f>
        <v>1466134.9999999991</v>
      </c>
      <c r="AC59" s="241">
        <f>Прибыль_окупаемость!$D$17*AC58</f>
        <v>1177714.9999999991</v>
      </c>
      <c r="AD59" s="241">
        <f>Прибыль_окупаемость!$D$17*AD58</f>
        <v>913329.99999999919</v>
      </c>
      <c r="AE59" s="241">
        <f>Прибыль_окупаемость!$D$17*AE58</f>
        <v>624909.99999999919</v>
      </c>
      <c r="AF59" s="241">
        <f>Прибыль_окупаемость!$D$17*AF58</f>
        <v>360524.99999999924</v>
      </c>
      <c r="AG59" s="241">
        <f>Прибыль_окупаемость!$D$17*AG58</f>
        <v>72104.999999999258</v>
      </c>
    </row>
    <row r="60" spans="1:38" s="302" customFormat="1">
      <c r="F60" s="307">
        <v>0.02</v>
      </c>
      <c r="G60" s="307">
        <v>2.8000000000000001E-2</v>
      </c>
      <c r="H60" s="307">
        <v>0.02</v>
      </c>
      <c r="I60" s="307">
        <v>1.2E-2</v>
      </c>
      <c r="J60" s="307">
        <v>4.0000000000000001E-3</v>
      </c>
      <c r="K60" s="307">
        <v>-4.0000000000000001E-3</v>
      </c>
      <c r="L60" s="307">
        <v>-1.2E-2</v>
      </c>
      <c r="M60" s="307">
        <v>-0.02</v>
      </c>
      <c r="N60" s="307">
        <v>-2.8000000000000001E-2</v>
      </c>
      <c r="O60" s="307">
        <v>-3.5999999999999997E-2</v>
      </c>
      <c r="P60" s="307">
        <v>-4.3999999999999997E-2</v>
      </c>
      <c r="Q60" s="307">
        <v>-5.1999999999999998E-2</v>
      </c>
      <c r="R60" s="307">
        <v>-0.06</v>
      </c>
      <c r="S60" s="307">
        <v>-6.8000000000000005E-2</v>
      </c>
      <c r="T60" s="307">
        <v>-7.5999999999999998E-2</v>
      </c>
      <c r="U60" s="307">
        <v>-8.4000000000000005E-2</v>
      </c>
      <c r="V60" s="307">
        <v>-9.1999999999999998E-2</v>
      </c>
      <c r="W60" s="307">
        <v>-0.1</v>
      </c>
      <c r="X60" s="307">
        <v>-0.108</v>
      </c>
      <c r="Y60" s="307">
        <v>-0.11600000000000001</v>
      </c>
      <c r="Z60" s="307">
        <v>-0.124</v>
      </c>
      <c r="AA60" s="307">
        <v>-0.13200000000000001</v>
      </c>
      <c r="AB60" s="307">
        <v>-0.14000000000000001</v>
      </c>
      <c r="AC60" s="307">
        <v>-0.14799999999999999</v>
      </c>
      <c r="AD60" s="307">
        <v>-0.156</v>
      </c>
      <c r="AE60" s="307">
        <v>-0.16400000000000001</v>
      </c>
      <c r="AF60" s="307">
        <v>-0.17199999999999999</v>
      </c>
      <c r="AG60" s="307">
        <v>-0.18</v>
      </c>
      <c r="AH60" s="307"/>
      <c r="AI60" s="307"/>
      <c r="AJ60" s="307"/>
      <c r="AK60" s="307"/>
      <c r="AL60" s="307"/>
    </row>
    <row r="61" spans="1:38" s="306" customFormat="1">
      <c r="E61" s="306">
        <v>0.74</v>
      </c>
      <c r="F61" s="306">
        <f>E61+F60</f>
        <v>0.76</v>
      </c>
      <c r="G61" s="306">
        <f>F61+G60</f>
        <v>0.78800000000000003</v>
      </c>
      <c r="H61" s="306">
        <f t="shared" ref="H61:AG61" si="15">G61+H60</f>
        <v>0.80800000000000005</v>
      </c>
      <c r="I61" s="306">
        <f t="shared" si="15"/>
        <v>0.82000000000000006</v>
      </c>
      <c r="J61" s="306">
        <f t="shared" si="15"/>
        <v>0.82400000000000007</v>
      </c>
      <c r="K61" s="306">
        <f t="shared" si="15"/>
        <v>0.82000000000000006</v>
      </c>
      <c r="L61" s="306">
        <f t="shared" si="15"/>
        <v>0.80800000000000005</v>
      </c>
      <c r="M61" s="306">
        <f t="shared" si="15"/>
        <v>0.78800000000000003</v>
      </c>
      <c r="N61" s="306">
        <f t="shared" si="15"/>
        <v>0.76</v>
      </c>
      <c r="O61" s="306">
        <f t="shared" si="15"/>
        <v>0.72399999999999998</v>
      </c>
      <c r="P61" s="306">
        <f t="shared" si="15"/>
        <v>0.67999999999999994</v>
      </c>
      <c r="Q61" s="306">
        <f t="shared" si="15"/>
        <v>0.62799999999999989</v>
      </c>
      <c r="R61" s="306">
        <f t="shared" si="15"/>
        <v>0.56799999999999984</v>
      </c>
      <c r="S61" s="306">
        <f t="shared" si="15"/>
        <v>0.49999999999999983</v>
      </c>
      <c r="T61" s="306">
        <f t="shared" si="15"/>
        <v>0.42399999999999982</v>
      </c>
      <c r="U61" s="306">
        <f t="shared" si="15"/>
        <v>0.3399999999999998</v>
      </c>
      <c r="V61" s="306">
        <f t="shared" si="15"/>
        <v>0.2479999999999998</v>
      </c>
      <c r="W61" s="306">
        <f t="shared" si="15"/>
        <v>0.1479999999999998</v>
      </c>
      <c r="X61" s="306">
        <f t="shared" si="15"/>
        <v>3.99999999999998E-2</v>
      </c>
      <c r="Y61" s="306">
        <f t="shared" si="15"/>
        <v>-7.6000000000000206E-2</v>
      </c>
      <c r="Z61" s="306">
        <f t="shared" si="15"/>
        <v>-0.20000000000000021</v>
      </c>
      <c r="AA61" s="306">
        <f t="shared" si="15"/>
        <v>-0.33200000000000018</v>
      </c>
      <c r="AB61" s="306">
        <f t="shared" si="15"/>
        <v>-0.4720000000000002</v>
      </c>
      <c r="AC61" s="306">
        <f t="shared" si="15"/>
        <v>-0.62000000000000022</v>
      </c>
      <c r="AD61" s="306">
        <f t="shared" si="15"/>
        <v>-0.77600000000000025</v>
      </c>
      <c r="AE61" s="306">
        <f t="shared" si="15"/>
        <v>-0.94000000000000028</v>
      </c>
      <c r="AF61" s="306">
        <f t="shared" si="15"/>
        <v>-1.1120000000000003</v>
      </c>
      <c r="AG61" s="306">
        <f t="shared" si="15"/>
        <v>-1.2920000000000003</v>
      </c>
    </row>
    <row r="62" spans="1:38">
      <c r="E62" s="241">
        <f>E61*Прибыль_окупаемость!$F$41</f>
        <v>1171339.1503053191</v>
      </c>
      <c r="F62" s="241">
        <f>F61*Прибыль_окупаемость!$F$41</f>
        <v>1202996.9651784359</v>
      </c>
      <c r="G62" s="241">
        <f>G61*Прибыль_окупаемость!$F$41</f>
        <v>1247317.9060007993</v>
      </c>
      <c r="H62" s="241">
        <f>H61*Прибыль_окупаемость!$F$41</f>
        <v>1278975.7208739161</v>
      </c>
      <c r="I62" s="241">
        <f>I61*Прибыль_окупаемость!$F$41</f>
        <v>1297970.4097977863</v>
      </c>
      <c r="J62" s="241">
        <f>J61*Прибыль_окупаемость!$F$41</f>
        <v>1304301.9727724094</v>
      </c>
      <c r="K62" s="241">
        <f>K61*Прибыль_окупаемость!$F$41</f>
        <v>1297970.4097977863</v>
      </c>
      <c r="L62" s="241">
        <f>L61*Прибыль_окупаемость!$F$41</f>
        <v>1278975.7208739161</v>
      </c>
      <c r="M62" s="241">
        <f>M61*Прибыль_окупаемость!$F$41</f>
        <v>1247317.9060007993</v>
      </c>
      <c r="N62" s="241">
        <f>N61*Прибыль_окупаемость!$F$41</f>
        <v>1202996.9651784359</v>
      </c>
      <c r="O62" s="241">
        <f>O61*Прибыль_окупаемость!$F$41</f>
        <v>1146012.8984068257</v>
      </c>
      <c r="P62" s="241">
        <f>P61*Прибыль_окупаемость!$F$41</f>
        <v>1076365.7056859687</v>
      </c>
      <c r="Q62" s="241">
        <f>Q61*Прибыль_окупаемость!$F$41</f>
        <v>994055.3870158653</v>
      </c>
      <c r="R62" s="241">
        <f>R61*Прибыль_окупаемость!$F$41</f>
        <v>899081.94239651493</v>
      </c>
      <c r="S62" s="241">
        <f>S61*Прибыль_окупаемость!$F$41</f>
        <v>791445.3718279181</v>
      </c>
      <c r="T62" s="241">
        <f>T61*Прибыль_окупаемость!$F$41</f>
        <v>671145.67531007447</v>
      </c>
      <c r="U62" s="241">
        <f>U61*Прибыль_окупаемость!$F$41</f>
        <v>538182.85284298414</v>
      </c>
      <c r="V62" s="241">
        <f>V61*Прибыль_окупаемость!$F$41</f>
        <v>392556.90442664718</v>
      </c>
      <c r="W62" s="241">
        <f>W61*Прибыль_окупаемость!$F$41</f>
        <v>234267.83006106352</v>
      </c>
      <c r="X62" s="241">
        <f>X61*Прибыль_окупаемость!$F$41</f>
        <v>63315.629746233149</v>
      </c>
      <c r="Y62" s="241">
        <f>Y61*Прибыль_окупаемость!$F$41</f>
        <v>-120299.69651784391</v>
      </c>
      <c r="Z62" s="241">
        <f>Z61*Прибыль_окупаемость!$F$41</f>
        <v>-316578.14873116766</v>
      </c>
      <c r="AA62" s="241">
        <f>AA61*Прибыль_окупаемость!$F$41</f>
        <v>-525519.72689373803</v>
      </c>
      <c r="AB62" s="241">
        <f>AB61*Прибыль_окупаемость!$F$41</f>
        <v>-747124.43100555521</v>
      </c>
      <c r="AC62" s="241">
        <f>AC61*Прибыль_окупаемость!$F$41</f>
        <v>-981392.26106661907</v>
      </c>
      <c r="AD62" s="241">
        <f>AD61*Прибыль_окупаемость!$F$41</f>
        <v>-1228323.2170769298</v>
      </c>
      <c r="AE62" s="241">
        <f>AE61*Прибыль_окупаемость!$F$41</f>
        <v>-1487917.299036487</v>
      </c>
      <c r="AF62" s="241">
        <f>AF61*Прибыль_окупаемость!$F$41</f>
        <v>-1760174.5069452908</v>
      </c>
      <c r="AG62" s="241">
        <f>AG61*Прибыль_окупаемость!$F$41</f>
        <v>-2045094.8408033415</v>
      </c>
    </row>
    <row r="67" spans="14:25">
      <c r="N67" s="241">
        <f>K56/3</f>
        <v>2546423.9660000005</v>
      </c>
    </row>
    <row r="68" spans="14:25">
      <c r="N68" s="241">
        <v>100000</v>
      </c>
    </row>
    <row r="78" spans="14:25">
      <c r="P78" s="308"/>
      <c r="Q78" s="309"/>
      <c r="R78" s="309"/>
      <c r="S78" s="309"/>
      <c r="T78" s="309"/>
      <c r="U78" s="309"/>
      <c r="V78" s="309"/>
      <c r="W78" s="309"/>
      <c r="X78" s="309"/>
      <c r="Y78" s="309"/>
    </row>
    <row r="79" spans="14:25">
      <c r="P79" s="310"/>
      <c r="Q79" s="309"/>
      <c r="R79" s="309"/>
      <c r="S79" s="309"/>
      <c r="T79" s="309"/>
      <c r="U79" s="309"/>
      <c r="V79" s="309"/>
      <c r="W79" s="309"/>
      <c r="X79" s="309"/>
      <c r="Y79" s="309"/>
    </row>
    <row r="80" spans="14:25">
      <c r="P80" s="310"/>
      <c r="Q80" s="309"/>
      <c r="R80" s="309"/>
      <c r="S80" s="309"/>
      <c r="T80" s="309"/>
      <c r="U80" s="309"/>
      <c r="V80" s="309"/>
      <c r="W80" s="309"/>
      <c r="X80" s="309"/>
      <c r="Y80" s="309"/>
    </row>
    <row r="81" spans="1:38">
      <c r="P81" s="488"/>
      <c r="Q81" s="311"/>
      <c r="R81" s="311"/>
      <c r="S81" s="311"/>
      <c r="T81" s="311"/>
      <c r="U81" s="311"/>
      <c r="V81" s="311"/>
      <c r="W81" s="311"/>
      <c r="X81" s="311"/>
      <c r="Y81" s="311"/>
    </row>
    <row r="82" spans="1:38">
      <c r="P82" s="489"/>
      <c r="Q82" s="490"/>
      <c r="R82" s="490"/>
      <c r="S82" s="490"/>
      <c r="T82" s="490"/>
      <c r="U82" s="490"/>
      <c r="V82" s="490"/>
      <c r="W82" s="490"/>
      <c r="X82" s="490"/>
      <c r="Y82" s="490"/>
    </row>
    <row r="85" spans="1:38">
      <c r="A85" s="303">
        <f t="shared" ref="A85:L85" si="16">B85-3%</f>
        <v>0.60999999999999965</v>
      </c>
      <c r="B85" s="303">
        <f t="shared" si="16"/>
        <v>0.63999999999999968</v>
      </c>
      <c r="C85" s="303">
        <f t="shared" si="16"/>
        <v>0.66999999999999971</v>
      </c>
      <c r="D85" s="303">
        <f t="shared" si="16"/>
        <v>0.69999999999999973</v>
      </c>
      <c r="E85" s="303">
        <f t="shared" si="16"/>
        <v>0.72999999999999976</v>
      </c>
      <c r="F85" s="303">
        <f t="shared" si="16"/>
        <v>0.75999999999999979</v>
      </c>
      <c r="G85" s="303">
        <f t="shared" si="16"/>
        <v>0.78999999999999981</v>
      </c>
      <c r="H85" s="303">
        <f t="shared" si="16"/>
        <v>0.81999999999999984</v>
      </c>
      <c r="I85" s="303">
        <f t="shared" si="16"/>
        <v>0.84999999999999987</v>
      </c>
      <c r="J85" s="303">
        <f t="shared" si="16"/>
        <v>0.87999999999999989</v>
      </c>
      <c r="K85" s="303">
        <f t="shared" si="16"/>
        <v>0.90999999999999992</v>
      </c>
      <c r="L85" s="303">
        <f t="shared" si="16"/>
        <v>0.94</v>
      </c>
      <c r="M85" s="303">
        <f>N85-3%</f>
        <v>0.97</v>
      </c>
      <c r="N85" s="303">
        <v>1</v>
      </c>
      <c r="O85" s="303">
        <f>N85+3%</f>
        <v>1.03</v>
      </c>
      <c r="P85" s="303">
        <f t="shared" ref="P85:AG85" si="17">O85+3%</f>
        <v>1.06</v>
      </c>
      <c r="Q85" s="303">
        <f t="shared" si="17"/>
        <v>1.0900000000000001</v>
      </c>
      <c r="R85" s="303">
        <f t="shared" si="17"/>
        <v>1.1200000000000001</v>
      </c>
      <c r="S85" s="303">
        <f t="shared" si="17"/>
        <v>1.1500000000000001</v>
      </c>
      <c r="T85" s="303">
        <f t="shared" si="17"/>
        <v>1.1800000000000002</v>
      </c>
      <c r="U85" s="303">
        <f t="shared" si="17"/>
        <v>1.2100000000000002</v>
      </c>
      <c r="V85" s="303">
        <f t="shared" si="17"/>
        <v>1.2400000000000002</v>
      </c>
      <c r="W85" s="303">
        <f t="shared" si="17"/>
        <v>1.2700000000000002</v>
      </c>
      <c r="X85" s="303">
        <f t="shared" si="17"/>
        <v>1.3000000000000003</v>
      </c>
      <c r="Y85" s="303">
        <f t="shared" si="17"/>
        <v>1.3300000000000003</v>
      </c>
      <c r="Z85" s="303">
        <f t="shared" si="17"/>
        <v>1.3600000000000003</v>
      </c>
      <c r="AA85" s="303">
        <f t="shared" si="17"/>
        <v>1.3900000000000003</v>
      </c>
      <c r="AB85" s="303">
        <f t="shared" si="17"/>
        <v>1.4200000000000004</v>
      </c>
      <c r="AC85" s="303">
        <f t="shared" si="17"/>
        <v>1.4500000000000004</v>
      </c>
      <c r="AD85" s="303">
        <f t="shared" si="17"/>
        <v>1.4800000000000004</v>
      </c>
      <c r="AE85" s="303">
        <f t="shared" si="17"/>
        <v>1.5100000000000005</v>
      </c>
      <c r="AF85" s="303">
        <f t="shared" si="17"/>
        <v>1.5400000000000005</v>
      </c>
      <c r="AG85" s="303">
        <f t="shared" si="17"/>
        <v>1.5700000000000005</v>
      </c>
    </row>
    <row r="86" spans="1:38" s="312" customFormat="1">
      <c r="F86" s="313">
        <v>0.02</v>
      </c>
      <c r="G86" s="313">
        <v>2.5000000000000001E-2</v>
      </c>
      <c r="H86" s="313">
        <v>0.03</v>
      </c>
      <c r="I86" s="313">
        <v>2.5000000000000001E-2</v>
      </c>
      <c r="J86" s="313">
        <v>0.02</v>
      </c>
      <c r="K86" s="313">
        <v>1.4999999999999999E-2</v>
      </c>
      <c r="L86" s="313">
        <v>0.01</v>
      </c>
      <c r="M86" s="313">
        <v>5.0000000000000001E-3</v>
      </c>
      <c r="N86" s="313">
        <v>0</v>
      </c>
      <c r="O86" s="313">
        <v>-5.0000000000000001E-3</v>
      </c>
      <c r="P86" s="313">
        <v>-0.01</v>
      </c>
      <c r="Q86" s="313">
        <v>-1.4999999999999999E-2</v>
      </c>
      <c r="R86" s="313">
        <v>-0.02</v>
      </c>
      <c r="S86" s="313">
        <v>-2.5000000000000001E-2</v>
      </c>
      <c r="T86" s="313">
        <v>-0.03</v>
      </c>
      <c r="U86" s="313">
        <v>-3.5000000000000003E-2</v>
      </c>
      <c r="V86" s="313">
        <v>-0.04</v>
      </c>
      <c r="W86" s="313">
        <v>-4.4999999999999998E-2</v>
      </c>
      <c r="X86" s="313">
        <v>-0.05</v>
      </c>
      <c r="Y86" s="313">
        <v>-5.5E-2</v>
      </c>
      <c r="Z86" s="313">
        <v>-0.06</v>
      </c>
      <c r="AA86" s="313">
        <v>-6.4999999999999905E-2</v>
      </c>
      <c r="AB86" s="313">
        <v>-7.0000000000000007E-2</v>
      </c>
      <c r="AC86" s="313">
        <v>-7.4999999999999997E-2</v>
      </c>
      <c r="AD86" s="313">
        <v>-0.08</v>
      </c>
      <c r="AE86" s="313">
        <v>-8.5000000000000006E-2</v>
      </c>
      <c r="AF86" s="313">
        <v>-0.09</v>
      </c>
      <c r="AG86" s="313">
        <v>-9.5000000000000001E-2</v>
      </c>
      <c r="AH86" s="313"/>
      <c r="AI86" s="313"/>
      <c r="AJ86" s="313"/>
      <c r="AK86" s="313"/>
      <c r="AL86" s="313"/>
    </row>
    <row r="87" spans="1:38" s="312" customFormat="1">
      <c r="E87" s="312">
        <v>0.74</v>
      </c>
      <c r="F87" s="312">
        <f>E87+F86</f>
        <v>0.76</v>
      </c>
      <c r="G87" s="312">
        <f t="shared" ref="G87:Q87" si="18">F87+G86</f>
        <v>0.78500000000000003</v>
      </c>
      <c r="H87" s="312">
        <f t="shared" si="18"/>
        <v>0.81500000000000006</v>
      </c>
      <c r="I87" s="312">
        <f t="shared" si="18"/>
        <v>0.84000000000000008</v>
      </c>
      <c r="J87" s="312">
        <f t="shared" si="18"/>
        <v>0.8600000000000001</v>
      </c>
      <c r="K87" s="312">
        <f t="shared" si="18"/>
        <v>0.87500000000000011</v>
      </c>
      <c r="L87" s="312">
        <f t="shared" si="18"/>
        <v>0.88500000000000012</v>
      </c>
      <c r="M87" s="312">
        <f t="shared" si="18"/>
        <v>0.89000000000000012</v>
      </c>
      <c r="N87" s="312">
        <f t="shared" si="18"/>
        <v>0.89000000000000012</v>
      </c>
      <c r="O87" s="312">
        <f t="shared" si="18"/>
        <v>0.88500000000000012</v>
      </c>
      <c r="P87" s="312">
        <f t="shared" si="18"/>
        <v>0.87500000000000011</v>
      </c>
      <c r="Q87" s="312">
        <f t="shared" si="18"/>
        <v>0.8600000000000001</v>
      </c>
      <c r="R87" s="312">
        <f>Q87+R86</f>
        <v>0.84000000000000008</v>
      </c>
      <c r="S87" s="312">
        <f t="shared" ref="S87:AG87" si="19">R87+S86</f>
        <v>0.81500000000000006</v>
      </c>
      <c r="T87" s="312">
        <f t="shared" si="19"/>
        <v>0.78500000000000003</v>
      </c>
      <c r="U87" s="312">
        <f t="shared" si="19"/>
        <v>0.75</v>
      </c>
      <c r="V87" s="312">
        <f t="shared" si="19"/>
        <v>0.71</v>
      </c>
      <c r="W87" s="312">
        <f t="shared" si="19"/>
        <v>0.66499999999999992</v>
      </c>
      <c r="X87" s="312">
        <f t="shared" si="19"/>
        <v>0.61499999999999988</v>
      </c>
      <c r="Y87" s="312">
        <f t="shared" si="19"/>
        <v>0.55999999999999983</v>
      </c>
      <c r="Z87" s="312">
        <f t="shared" si="19"/>
        <v>0.49999999999999983</v>
      </c>
      <c r="AA87" s="312">
        <f t="shared" si="19"/>
        <v>0.43499999999999994</v>
      </c>
      <c r="AB87" s="312">
        <f t="shared" si="19"/>
        <v>0.36499999999999994</v>
      </c>
      <c r="AC87" s="312">
        <f t="shared" si="19"/>
        <v>0.28999999999999992</v>
      </c>
      <c r="AD87" s="312">
        <f t="shared" si="19"/>
        <v>0.20999999999999991</v>
      </c>
      <c r="AE87" s="312">
        <f t="shared" si="19"/>
        <v>0.1249999999999999</v>
      </c>
      <c r="AF87" s="312">
        <f t="shared" si="19"/>
        <v>3.4999999999999906E-2</v>
      </c>
      <c r="AG87" s="312">
        <f t="shared" si="19"/>
        <v>-6.0000000000000095E-2</v>
      </c>
    </row>
    <row r="88" spans="1:38">
      <c r="E88" s="241">
        <f>Прибыль_окупаемость!$D$16*Лист1!E87</f>
        <v>6573326.9820000008</v>
      </c>
      <c r="F88" s="241">
        <f>Прибыль_окупаемость!$D$16*Лист1!F87</f>
        <v>6750984.4680000003</v>
      </c>
      <c r="G88" s="241">
        <f>Прибыль_окупаемость!$D$16*Лист1!G87</f>
        <v>6973056.3255000012</v>
      </c>
      <c r="H88" s="241">
        <f>Прибыль_окупаемость!$D$16*Лист1!H87</f>
        <v>7239542.5545000015</v>
      </c>
      <c r="I88" s="241">
        <f>Прибыль_окупаемость!$D$16*Лист1!I87</f>
        <v>7461614.4120000014</v>
      </c>
      <c r="J88" s="241">
        <f>Прибыль_окупаемость!$D$16*Лист1!J87</f>
        <v>7639271.8980000019</v>
      </c>
      <c r="K88" s="241">
        <f>Прибыль_окупаемость!$D$16*Лист1!K87</f>
        <v>7772515.012500002</v>
      </c>
      <c r="L88" s="241">
        <f>Прибыль_окупаемость!$D$16*Лист1!L87</f>
        <v>7861343.7555000018</v>
      </c>
      <c r="M88" s="241">
        <f>Прибыль_окупаемость!$D$16*Лист1!M87</f>
        <v>7905758.1270000022</v>
      </c>
      <c r="N88" s="241">
        <f>Прибыль_окупаемость!$D$16*Лист1!N87</f>
        <v>7905758.1270000022</v>
      </c>
      <c r="O88" s="241">
        <f>Прибыль_окупаемость!$D$16*Лист1!O87</f>
        <v>7861343.7555000018</v>
      </c>
      <c r="P88" s="241">
        <f>Прибыль_окупаемость!$D$16*Лист1!P87</f>
        <v>7772515.012500002</v>
      </c>
      <c r="Q88" s="241">
        <f>Прибыль_окупаемость!$D$16*Лист1!Q87</f>
        <v>7639271.8980000019</v>
      </c>
      <c r="R88" s="241">
        <f>Прибыль_окупаемость!$D$16*Лист1!R87</f>
        <v>7461614.4120000014</v>
      </c>
      <c r="S88" s="241">
        <f>Прибыль_окупаемость!$D$16*Лист1!S87</f>
        <v>7239542.5545000015</v>
      </c>
      <c r="T88" s="241">
        <f>Прибыль_окупаемость!$D$16*Лист1!T87</f>
        <v>6973056.3255000012</v>
      </c>
      <c r="U88" s="241">
        <f>Прибыль_окупаемость!$D$16*Лист1!U87</f>
        <v>6662155.7250000006</v>
      </c>
      <c r="V88" s="241">
        <f>Прибыль_окупаемость!$D$16*Лист1!V87</f>
        <v>6306840.7530000005</v>
      </c>
      <c r="W88" s="241">
        <f>Прибыль_окупаемость!$D$16*Лист1!W87</f>
        <v>5907111.4095000001</v>
      </c>
      <c r="X88" s="241">
        <f>Прибыль_окупаемость!$D$16*Лист1!X87</f>
        <v>5462967.6944999993</v>
      </c>
      <c r="Y88" s="241">
        <f>Прибыль_окупаемость!$D$16*Лист1!Y87</f>
        <v>4974409.6079999991</v>
      </c>
      <c r="Z88" s="241">
        <f>Прибыль_окупаемость!$D$16*Лист1!Z87</f>
        <v>4441437.1499999985</v>
      </c>
      <c r="AA88" s="241">
        <f>Прибыль_окупаемость!$D$16*Лист1!AA87</f>
        <v>3864050.3204999999</v>
      </c>
      <c r="AB88" s="241">
        <f>Прибыль_окупаемость!$D$16*Лист1!AB87</f>
        <v>3242249.1194999996</v>
      </c>
      <c r="AC88" s="241">
        <f>Прибыль_окупаемость!$D$16*Лист1!AC87</f>
        <v>2576033.5469999993</v>
      </c>
      <c r="AD88" s="241">
        <f>Прибыль_окупаемость!$D$16*Лист1!AD87</f>
        <v>1865403.6029999994</v>
      </c>
      <c r="AE88" s="241">
        <f>Прибыль_окупаемость!$D$16*Лист1!AE87</f>
        <v>1110359.2874999992</v>
      </c>
      <c r="AF88" s="241">
        <f>Прибыль_окупаемость!$D$16*Лист1!AF87</f>
        <v>310900.60049999919</v>
      </c>
      <c r="AG88" s="241">
        <f>Прибыль_окупаемость!$D$16*Лист1!AG87</f>
        <v>-532972.45800000092</v>
      </c>
    </row>
    <row r="89" spans="1:38" s="302" customFormat="1">
      <c r="F89" s="307">
        <v>0.02</v>
      </c>
      <c r="G89" s="307">
        <v>2.1000000000000001E-2</v>
      </c>
      <c r="H89" s="307">
        <v>2.1999999999999999E-2</v>
      </c>
      <c r="I89" s="307">
        <v>2.3E-2</v>
      </c>
      <c r="J89" s="307">
        <v>2.4E-2</v>
      </c>
      <c r="K89" s="307">
        <v>2.5000000000000001E-2</v>
      </c>
      <c r="L89" s="307">
        <v>2.5999999999999999E-2</v>
      </c>
      <c r="M89" s="307">
        <v>2.7E-2</v>
      </c>
      <c r="N89" s="307">
        <v>2.8000000000000001E-2</v>
      </c>
      <c r="O89" s="307">
        <v>2.9000000000000001E-2</v>
      </c>
      <c r="P89" s="307">
        <v>0.03</v>
      </c>
      <c r="Q89" s="307">
        <v>3.1E-2</v>
      </c>
      <c r="R89" s="307">
        <v>3.2000000000000001E-2</v>
      </c>
      <c r="S89" s="307">
        <v>3.3000000000000002E-2</v>
      </c>
      <c r="T89" s="307">
        <v>3.4000000000000002E-2</v>
      </c>
      <c r="U89" s="307">
        <v>3.5000000000000003E-2</v>
      </c>
      <c r="V89" s="307">
        <v>3.5999999999999997E-2</v>
      </c>
      <c r="W89" s="307">
        <v>3.6999999999999998E-2</v>
      </c>
      <c r="X89" s="307">
        <v>3.7999999999999999E-2</v>
      </c>
      <c r="Y89" s="307">
        <v>3.9E-2</v>
      </c>
      <c r="Z89" s="307">
        <v>0.04</v>
      </c>
      <c r="AA89" s="307">
        <v>4.1000000000000002E-2</v>
      </c>
      <c r="AB89" s="307">
        <v>4.2000000000000003E-2</v>
      </c>
      <c r="AC89" s="307">
        <v>4.2999999999999997E-2</v>
      </c>
      <c r="AD89" s="307">
        <v>4.3999999999999997E-2</v>
      </c>
      <c r="AE89" s="307">
        <v>4.4999999999999998E-2</v>
      </c>
      <c r="AF89" s="307">
        <v>4.5999999999999999E-2</v>
      </c>
      <c r="AG89" s="307">
        <v>4.7E-2</v>
      </c>
      <c r="AH89" s="307"/>
      <c r="AI89" s="307"/>
      <c r="AJ89" s="307"/>
      <c r="AK89" s="307"/>
      <c r="AL89" s="307"/>
    </row>
    <row r="90" spans="1:38" s="306" customFormat="1">
      <c r="E90" s="306">
        <v>0.74</v>
      </c>
      <c r="F90" s="306">
        <f>E90+F89</f>
        <v>0.76</v>
      </c>
      <c r="G90" s="306">
        <f>F90+G89</f>
        <v>0.78100000000000003</v>
      </c>
      <c r="H90" s="306">
        <f t="shared" ref="H90:AG90" si="20">G90+H89</f>
        <v>0.80300000000000005</v>
      </c>
      <c r="I90" s="306">
        <f t="shared" si="20"/>
        <v>0.82600000000000007</v>
      </c>
      <c r="J90" s="306">
        <f t="shared" si="20"/>
        <v>0.85000000000000009</v>
      </c>
      <c r="K90" s="306">
        <f t="shared" si="20"/>
        <v>0.87500000000000011</v>
      </c>
      <c r="L90" s="306">
        <f t="shared" si="20"/>
        <v>0.90100000000000013</v>
      </c>
      <c r="M90" s="306">
        <f t="shared" si="20"/>
        <v>0.92800000000000016</v>
      </c>
      <c r="N90" s="306">
        <f t="shared" si="20"/>
        <v>0.95600000000000018</v>
      </c>
      <c r="O90" s="306">
        <f t="shared" si="20"/>
        <v>0.98500000000000021</v>
      </c>
      <c r="P90" s="306">
        <f t="shared" si="20"/>
        <v>1.0150000000000001</v>
      </c>
      <c r="Q90" s="306">
        <f t="shared" si="20"/>
        <v>1.046</v>
      </c>
      <c r="R90" s="306">
        <f t="shared" si="20"/>
        <v>1.0780000000000001</v>
      </c>
      <c r="S90" s="306">
        <f t="shared" si="20"/>
        <v>1.111</v>
      </c>
      <c r="T90" s="306">
        <f t="shared" si="20"/>
        <v>1.145</v>
      </c>
      <c r="U90" s="306">
        <f t="shared" si="20"/>
        <v>1.18</v>
      </c>
      <c r="V90" s="306">
        <f t="shared" si="20"/>
        <v>1.216</v>
      </c>
      <c r="W90" s="306">
        <f t="shared" si="20"/>
        <v>1.2529999999999999</v>
      </c>
      <c r="X90" s="306">
        <f t="shared" si="20"/>
        <v>1.2909999999999999</v>
      </c>
      <c r="Y90" s="306">
        <f t="shared" si="20"/>
        <v>1.3299999999999998</v>
      </c>
      <c r="Z90" s="306">
        <f t="shared" si="20"/>
        <v>1.3699999999999999</v>
      </c>
      <c r="AA90" s="306">
        <f t="shared" si="20"/>
        <v>1.4109999999999998</v>
      </c>
      <c r="AB90" s="306">
        <f t="shared" si="20"/>
        <v>1.4529999999999998</v>
      </c>
      <c r="AC90" s="306">
        <f t="shared" si="20"/>
        <v>1.4959999999999998</v>
      </c>
      <c r="AD90" s="306">
        <f t="shared" si="20"/>
        <v>1.5399999999999998</v>
      </c>
      <c r="AE90" s="306">
        <f t="shared" si="20"/>
        <v>1.5849999999999997</v>
      </c>
      <c r="AF90" s="306">
        <f t="shared" si="20"/>
        <v>1.6309999999999998</v>
      </c>
      <c r="AG90" s="306">
        <f t="shared" si="20"/>
        <v>1.6779999999999997</v>
      </c>
    </row>
    <row r="91" spans="1:38">
      <c r="E91" s="241">
        <f>E90*Прибыль_окупаемость!$D$17</f>
        <v>3557180</v>
      </c>
      <c r="F91" s="241">
        <f>F90*Прибыль_окупаемость!$D$17</f>
        <v>3653320</v>
      </c>
      <c r="G91" s="241">
        <f>G90*Прибыль_окупаемость!$D$17</f>
        <v>3754267</v>
      </c>
      <c r="H91" s="241">
        <f>H90*Прибыль_окупаемость!$D$17</f>
        <v>3860021</v>
      </c>
      <c r="I91" s="241">
        <f>I90*Прибыль_окупаемость!$D$17</f>
        <v>3970582.0000000005</v>
      </c>
      <c r="J91" s="241">
        <f>J90*Прибыль_окупаемость!$D$17</f>
        <v>4085950.0000000005</v>
      </c>
      <c r="K91" s="241">
        <f>K90*Прибыль_окупаемость!$D$17</f>
        <v>4206125.0000000009</v>
      </c>
      <c r="L91" s="241">
        <f>L90*Прибыль_окупаемость!$D$17</f>
        <v>4331107.0000000009</v>
      </c>
      <c r="M91" s="241">
        <f>M90*Прибыль_окупаемость!$D$17</f>
        <v>4460896.0000000009</v>
      </c>
      <c r="N91" s="241">
        <f>N90*Прибыль_окупаемость!$D$17</f>
        <v>4595492.0000000009</v>
      </c>
      <c r="O91" s="241">
        <f>O90*Прибыль_окупаемость!$D$17</f>
        <v>4734895.0000000009</v>
      </c>
      <c r="P91" s="241">
        <f>P90*Прибыль_окупаемость!$D$17</f>
        <v>4879105.0000000009</v>
      </c>
      <c r="Q91" s="241">
        <f>Q90*Прибыль_окупаемость!$D$17</f>
        <v>5028122</v>
      </c>
      <c r="R91" s="241">
        <f>R90*Прибыль_окупаемость!$D$17</f>
        <v>5181946</v>
      </c>
      <c r="S91" s="241">
        <f>S90*Прибыль_окупаемость!$D$17</f>
        <v>5340577</v>
      </c>
      <c r="T91" s="241">
        <f>T90*Прибыль_окупаемость!$D$17</f>
        <v>5504015</v>
      </c>
      <c r="U91" s="241">
        <f>U90*Прибыль_окупаемость!$D$17</f>
        <v>5672260</v>
      </c>
      <c r="V91" s="241">
        <f>V90*Прибыль_окупаемость!$D$17</f>
        <v>5845312</v>
      </c>
      <c r="W91" s="241">
        <f>W90*Прибыль_окупаемость!$D$17</f>
        <v>6023170.9999999991</v>
      </c>
      <c r="X91" s="241">
        <f>X90*Прибыль_окупаемость!$D$17</f>
        <v>6205837</v>
      </c>
      <c r="Y91" s="241">
        <f>Y90*Прибыль_окупаемость!$D$17</f>
        <v>6393309.9999999991</v>
      </c>
      <c r="Z91" s="241">
        <f>Z90*Прибыль_окупаемость!$D$17</f>
        <v>6585589.9999999991</v>
      </c>
      <c r="AA91" s="241">
        <f>AA90*Прибыль_окупаемость!$D$17</f>
        <v>6782676.9999999991</v>
      </c>
      <c r="AB91" s="241">
        <f>AB90*Прибыль_окупаемость!$D$17</f>
        <v>6984570.9999999991</v>
      </c>
      <c r="AC91" s="241">
        <f>AC90*Прибыль_окупаемость!$D$17</f>
        <v>7191271.9999999991</v>
      </c>
      <c r="AD91" s="241">
        <f>AD90*Прибыль_окупаемость!$D$17</f>
        <v>7402779.9999999991</v>
      </c>
      <c r="AE91" s="241">
        <f>AE90*Прибыль_окупаемость!$D$17</f>
        <v>7619094.9999999991</v>
      </c>
      <c r="AF91" s="241">
        <f>AF90*Прибыль_окупаемость!$D$17</f>
        <v>7840216.9999999991</v>
      </c>
      <c r="AG91" s="241">
        <f>AG90*Прибыль_окупаемость!$D$17</f>
        <v>8066145.9999999991</v>
      </c>
    </row>
    <row r="92" spans="1:38" s="302" customFormat="1">
      <c r="F92" s="307">
        <v>0.02</v>
      </c>
      <c r="G92" s="307">
        <v>3.5000000000000003E-2</v>
      </c>
      <c r="H92" s="307">
        <v>0.05</v>
      </c>
      <c r="I92" s="307">
        <v>6.5000000000000002E-2</v>
      </c>
      <c r="J92" s="307">
        <v>0.08</v>
      </c>
      <c r="K92" s="307">
        <v>6.5000000000000002E-2</v>
      </c>
      <c r="L92" s="307">
        <v>0.05</v>
      </c>
      <c r="M92" s="307">
        <v>3.5000000000000003E-2</v>
      </c>
      <c r="N92" s="307">
        <v>0.02</v>
      </c>
      <c r="O92" s="307">
        <v>5.0000000000000001E-3</v>
      </c>
      <c r="P92" s="307">
        <v>-0.01</v>
      </c>
      <c r="Q92" s="307">
        <v>-2.5000000000000001E-2</v>
      </c>
      <c r="R92" s="307">
        <v>-0.04</v>
      </c>
      <c r="S92" s="307">
        <v>-5.5E-2</v>
      </c>
      <c r="T92" s="307">
        <v>-7.0000000000000007E-2</v>
      </c>
      <c r="U92" s="307">
        <v>-8.5000000000000006E-2</v>
      </c>
      <c r="V92" s="307">
        <v>-0.1</v>
      </c>
      <c r="W92" s="307">
        <v>-0.115</v>
      </c>
      <c r="X92" s="307">
        <v>-0.13</v>
      </c>
      <c r="Y92" s="307">
        <v>-0.14499999999999999</v>
      </c>
      <c r="Z92" s="307">
        <v>-0.16</v>
      </c>
      <c r="AA92" s="307">
        <v>-0.17499999999999999</v>
      </c>
      <c r="AB92" s="307">
        <v>-0.19</v>
      </c>
      <c r="AC92" s="307">
        <v>-0.20499999999999999</v>
      </c>
      <c r="AD92" s="307">
        <v>-0.22</v>
      </c>
      <c r="AE92" s="307">
        <v>-0.23499999999999999</v>
      </c>
      <c r="AF92" s="307">
        <v>-0.25</v>
      </c>
      <c r="AG92" s="307">
        <v>-0.26500000000000001</v>
      </c>
      <c r="AH92" s="307">
        <v>0.44</v>
      </c>
      <c r="AI92" s="307"/>
      <c r="AJ92" s="307"/>
      <c r="AK92" s="307"/>
      <c r="AL92" s="307"/>
    </row>
    <row r="93" spans="1:38" s="306" customFormat="1">
      <c r="E93" s="306">
        <v>0.74</v>
      </c>
      <c r="F93" s="306">
        <f>E93+F92</f>
        <v>0.76</v>
      </c>
      <c r="G93" s="306">
        <f>F93+G92</f>
        <v>0.79500000000000004</v>
      </c>
      <c r="H93" s="306">
        <f t="shared" ref="H93:AG93" si="21">G93+H92</f>
        <v>0.84500000000000008</v>
      </c>
      <c r="I93" s="306">
        <f t="shared" si="21"/>
        <v>0.91000000000000014</v>
      </c>
      <c r="J93" s="306">
        <f t="shared" si="21"/>
        <v>0.9900000000000001</v>
      </c>
      <c r="K93" s="306">
        <f t="shared" si="21"/>
        <v>1.0550000000000002</v>
      </c>
      <c r="L93" s="306">
        <f t="shared" si="21"/>
        <v>1.1050000000000002</v>
      </c>
      <c r="M93" s="306">
        <f t="shared" si="21"/>
        <v>1.1400000000000001</v>
      </c>
      <c r="N93" s="306">
        <f t="shared" si="21"/>
        <v>1.1600000000000001</v>
      </c>
      <c r="O93" s="306">
        <f t="shared" si="21"/>
        <v>1.165</v>
      </c>
      <c r="P93" s="306">
        <f t="shared" si="21"/>
        <v>1.155</v>
      </c>
      <c r="Q93" s="306">
        <f t="shared" si="21"/>
        <v>1.1300000000000001</v>
      </c>
      <c r="R93" s="306">
        <f t="shared" si="21"/>
        <v>1.0900000000000001</v>
      </c>
      <c r="S93" s="306">
        <f t="shared" si="21"/>
        <v>1.0350000000000001</v>
      </c>
      <c r="T93" s="306">
        <f t="shared" si="21"/>
        <v>0.96500000000000008</v>
      </c>
      <c r="U93" s="306">
        <f t="shared" si="21"/>
        <v>0.88000000000000012</v>
      </c>
      <c r="V93" s="306">
        <f t="shared" si="21"/>
        <v>0.78000000000000014</v>
      </c>
      <c r="W93" s="306">
        <f t="shared" si="21"/>
        <v>0.66500000000000015</v>
      </c>
      <c r="X93" s="306">
        <f t="shared" si="21"/>
        <v>0.53500000000000014</v>
      </c>
      <c r="Y93" s="306">
        <f t="shared" si="21"/>
        <v>0.39000000000000012</v>
      </c>
      <c r="Z93" s="306">
        <f t="shared" si="21"/>
        <v>0.23000000000000012</v>
      </c>
      <c r="AA93" s="306">
        <f t="shared" si="21"/>
        <v>5.5000000000000132E-2</v>
      </c>
      <c r="AB93" s="306">
        <f t="shared" si="21"/>
        <v>-0.13499999999999987</v>
      </c>
      <c r="AC93" s="306">
        <f t="shared" si="21"/>
        <v>-0.33999999999999986</v>
      </c>
      <c r="AD93" s="306">
        <f t="shared" si="21"/>
        <v>-0.55999999999999983</v>
      </c>
      <c r="AE93" s="306">
        <f t="shared" si="21"/>
        <v>-0.79499999999999982</v>
      </c>
      <c r="AF93" s="306">
        <f t="shared" si="21"/>
        <v>-1.0449999999999999</v>
      </c>
      <c r="AG93" s="306">
        <f t="shared" si="21"/>
        <v>-1.31</v>
      </c>
    </row>
    <row r="94" spans="1:38">
      <c r="E94" s="241">
        <f>Прибыль_окупаемость!$F$41*Лист1!E93</f>
        <v>1171339.1503053191</v>
      </c>
      <c r="F94" s="241">
        <f>Прибыль_окупаемость!$F$41*Лист1!F93</f>
        <v>1202996.9651784359</v>
      </c>
      <c r="G94" s="241">
        <f>Прибыль_окупаемость!$F$41*Лист1!G93</f>
        <v>1258398.1412063902</v>
      </c>
      <c r="H94" s="241">
        <f>Прибыль_окупаемость!$F$41*Лист1!H93</f>
        <v>1337542.6783891821</v>
      </c>
      <c r="I94" s="241">
        <f>Прибыль_окупаемость!$F$41*Лист1!I93</f>
        <v>1440430.5767268117</v>
      </c>
      <c r="J94" s="241">
        <f>Прибыль_окупаемость!$F$41*Лист1!J93</f>
        <v>1567061.8362192784</v>
      </c>
      <c r="K94" s="241">
        <f>Прибыль_окупаемость!$F$41*Лист1!K93</f>
        <v>1669949.734556908</v>
      </c>
      <c r="L94" s="241">
        <f>Прибыль_окупаемость!$F$41*Лист1!L93</f>
        <v>1749094.2717396999</v>
      </c>
      <c r="M94" s="241">
        <f>Прибыль_окупаемость!$F$41*Лист1!M93</f>
        <v>1804495.447767654</v>
      </c>
      <c r="N94" s="241">
        <f>Прибыль_окупаемость!$F$41*Лист1!N93</f>
        <v>1836153.2626407708</v>
      </c>
      <c r="O94" s="241">
        <f>Прибыль_окупаемость!$F$41*Лист1!O93</f>
        <v>1844067.7163590498</v>
      </c>
      <c r="P94" s="241">
        <f>Прибыль_окупаемость!$F$41*Лист1!P93</f>
        <v>1828238.8089224915</v>
      </c>
      <c r="Q94" s="241">
        <f>Прибыль_окупаемость!$F$41*Лист1!Q93</f>
        <v>1788666.5403310957</v>
      </c>
      <c r="R94" s="241">
        <f>Прибыль_окупаемость!$F$41*Лист1!R93</f>
        <v>1725350.9105848621</v>
      </c>
      <c r="S94" s="241">
        <f>Прибыль_окупаемость!$F$41*Лист1!S93</f>
        <v>1638291.9196837912</v>
      </c>
      <c r="T94" s="241">
        <f>Прибыль_окупаемость!$F$41*Лист1!T93</f>
        <v>1527489.5676278826</v>
      </c>
      <c r="U94" s="241">
        <f>Прибыль_окупаемость!$F$41*Лист1!U93</f>
        <v>1392943.8544171364</v>
      </c>
      <c r="V94" s="241">
        <f>Прибыль_окупаемость!$F$41*Лист1!V93</f>
        <v>1234654.7800515529</v>
      </c>
      <c r="W94" s="241">
        <f>Прибыль_окупаемость!$F$41*Лист1!W93</f>
        <v>1052622.3445311317</v>
      </c>
      <c r="X94" s="241">
        <f>Прибыль_окупаемость!$F$41*Лист1!X93</f>
        <v>846846.54785587289</v>
      </c>
      <c r="Y94" s="241">
        <f>Прибыль_окупаемость!$F$41*Лист1!Y93</f>
        <v>617327.39002577646</v>
      </c>
      <c r="Z94" s="241">
        <f>Прибыль_окупаемость!$F$41*Лист1!Z93</f>
        <v>364064.87104084261</v>
      </c>
      <c r="AA94" s="241">
        <f>Прибыль_окупаемость!$F$41*Лист1!AA93</f>
        <v>87058.990901071229</v>
      </c>
      <c r="AB94" s="241">
        <f>Прибыль_окупаемость!$F$41*Лист1!AB93</f>
        <v>-213690.25039353775</v>
      </c>
      <c r="AC94" s="241">
        <f>Прибыль_окупаемость!$F$41*Лист1!AC93</f>
        <v>-538182.85284298426</v>
      </c>
      <c r="AD94" s="241">
        <f>Прибыль_окупаемость!$F$41*Лист1!AD93</f>
        <v>-886418.81644726824</v>
      </c>
      <c r="AE94" s="241">
        <f>Прибыль_окупаемость!$F$41*Лист1!AE93</f>
        <v>-1258398.1412063898</v>
      </c>
      <c r="AF94" s="241">
        <f>Прибыль_окупаемость!$F$41*Лист1!AF93</f>
        <v>-1654120.8271203493</v>
      </c>
      <c r="AG94" s="241">
        <f>Прибыль_окупаемость!$F$41*Лист1!AG93</f>
        <v>-2073586.8741891461</v>
      </c>
    </row>
    <row r="101" spans="17:25">
      <c r="Q101" s="303">
        <v>0.2</v>
      </c>
      <c r="R101" s="303">
        <v>0.4</v>
      </c>
      <c r="S101" s="303">
        <v>0.6</v>
      </c>
      <c r="T101" s="303">
        <v>0.8</v>
      </c>
      <c r="U101" s="303">
        <v>1</v>
      </c>
      <c r="V101" s="303">
        <v>1.2</v>
      </c>
      <c r="W101" s="303">
        <v>1.4</v>
      </c>
      <c r="X101" s="303">
        <v>1.6</v>
      </c>
      <c r="Y101" s="303">
        <v>1.8</v>
      </c>
    </row>
    <row r="102" spans="17:25">
      <c r="Q102" s="314">
        <f>Q101*Прибыль_окупаемость!$D$16</f>
        <v>1776574.8600000003</v>
      </c>
      <c r="R102" s="314">
        <f>R101*Прибыль_окупаемость!$D$16</f>
        <v>3553149.7200000007</v>
      </c>
      <c r="S102" s="314">
        <f>S101*Прибыль_окупаемость!$D$16</f>
        <v>5329724.58</v>
      </c>
      <c r="T102" s="314">
        <f>T101*Прибыль_окупаемость!$D$16</f>
        <v>7106299.4400000013</v>
      </c>
      <c r="U102" s="314">
        <f>U101*Прибыль_окупаемость!$D$16</f>
        <v>8882874.3000000007</v>
      </c>
      <c r="V102" s="314">
        <f>V101*Прибыль_окупаемость!$D$16</f>
        <v>10659449.16</v>
      </c>
      <c r="W102" s="314">
        <f>W101*Прибыль_окупаемость!$D$16</f>
        <v>12436024.02</v>
      </c>
      <c r="X102" s="314">
        <f>X101*Прибыль_окупаемость!$D$16</f>
        <v>14212598.880000003</v>
      </c>
      <c r="Y102" s="314">
        <f>Y101*Прибыль_окупаемость!$D$16</f>
        <v>15989173.740000002</v>
      </c>
    </row>
    <row r="103" spans="17:25">
      <c r="Q103" s="303">
        <v>0.38</v>
      </c>
      <c r="R103" s="303">
        <v>0.5</v>
      </c>
      <c r="S103" s="303">
        <v>0.65</v>
      </c>
      <c r="T103" s="303">
        <v>0.81</v>
      </c>
      <c r="U103" s="303">
        <v>1</v>
      </c>
      <c r="V103" s="303">
        <v>1.2</v>
      </c>
      <c r="W103" s="303">
        <v>1.45</v>
      </c>
      <c r="X103" s="303">
        <v>1.7</v>
      </c>
      <c r="Y103" s="303">
        <v>2</v>
      </c>
    </row>
    <row r="104" spans="17:25">
      <c r="Q104" s="241">
        <f>Q103*Прибыль_окупаемость!$D$17</f>
        <v>1826660</v>
      </c>
      <c r="R104" s="241">
        <f>R103*Прибыль_окупаемость!$D$17</f>
        <v>2403500</v>
      </c>
      <c r="S104" s="241">
        <f>S103*Прибыль_окупаемость!$D$17</f>
        <v>3124550</v>
      </c>
      <c r="T104" s="241">
        <f>T103*Прибыль_окупаемость!$D$17</f>
        <v>3893670.0000000005</v>
      </c>
      <c r="U104" s="241">
        <f>U103*Прибыль_окупаемость!$D$17</f>
        <v>4807000</v>
      </c>
      <c r="V104" s="241">
        <f>V103*Прибыль_окупаемость!$D$17</f>
        <v>5768400</v>
      </c>
      <c r="W104" s="241">
        <f>W103*Прибыль_окупаемость!$D$17</f>
        <v>6970150</v>
      </c>
      <c r="X104" s="241">
        <f>X103*Прибыль_окупаемость!$D$17</f>
        <v>8171900</v>
      </c>
      <c r="Y104" s="241">
        <f>Y103*Прибыль_окупаемость!$D$17</f>
        <v>9614000</v>
      </c>
    </row>
    <row r="105" spans="17:25">
      <c r="Q105" s="303">
        <v>0.2</v>
      </c>
      <c r="R105" s="303">
        <v>0.4</v>
      </c>
      <c r="S105" s="303">
        <v>0.63</v>
      </c>
      <c r="T105" s="303">
        <v>0.86</v>
      </c>
      <c r="U105" s="303">
        <v>1</v>
      </c>
      <c r="V105" s="303">
        <v>1.1499999999999999</v>
      </c>
      <c r="W105" s="303">
        <v>1.2</v>
      </c>
      <c r="X105" s="303">
        <v>1.25</v>
      </c>
      <c r="Y105" s="303">
        <v>1.26</v>
      </c>
    </row>
    <row r="106" spans="17:25">
      <c r="Q106" s="241">
        <f>Q105*Прибыль_окупаемость!$F$41</f>
        <v>316578.14873116737</v>
      </c>
      <c r="R106" s="241">
        <f>R105*Прибыль_окупаемость!$F$41</f>
        <v>633156.29746233474</v>
      </c>
      <c r="S106" s="241">
        <f>S105*Прибыль_окупаемость!$F$41</f>
        <v>997221.16850317712</v>
      </c>
      <c r="T106" s="241">
        <f>T105*Прибыль_окупаемость!$F$41</f>
        <v>1361286.0395440196</v>
      </c>
      <c r="U106" s="241">
        <f>U105*Прибыль_окупаемость!$F$41</f>
        <v>1582890.7436558367</v>
      </c>
      <c r="V106" s="241">
        <f>V105*Прибыль_окупаемость!$F$41</f>
        <v>1820324.355204212</v>
      </c>
      <c r="W106" s="241">
        <f>W105*Прибыль_окупаемость!$F$41</f>
        <v>1899468.8923870039</v>
      </c>
      <c r="X106" s="241">
        <f>X105*Прибыль_окупаемость!$F$41</f>
        <v>1978613.4295697957</v>
      </c>
      <c r="Y106" s="241">
        <f>Y105*Прибыль_окупаемость!$F$41</f>
        <v>1994442.3370063542</v>
      </c>
    </row>
  </sheetData>
  <mergeCells count="2">
    <mergeCell ref="P81:P82"/>
    <mergeCell ref="Q82:Y8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55" zoomScaleNormal="55" workbookViewId="0"/>
  </sheetViews>
  <sheetFormatPr defaultRowHeight="15"/>
  <cols>
    <col min="1" max="16384" width="9.140625" style="226"/>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1"/>
  <sheetViews>
    <sheetView showGridLines="0" zoomScale="70" zoomScaleNormal="70" workbookViewId="0"/>
  </sheetViews>
  <sheetFormatPr defaultColWidth="15.140625" defaultRowHeight="15" customHeight="1"/>
  <cols>
    <col min="1" max="1" width="6.7109375" style="1" customWidth="1"/>
    <col min="2" max="2" width="3.42578125" style="1" customWidth="1"/>
    <col min="3" max="3" width="30.7109375" style="34" customWidth="1"/>
    <col min="4" max="4" width="7.85546875" style="34" bestFit="1" customWidth="1"/>
    <col min="5" max="5" width="19.28515625" style="34" customWidth="1"/>
    <col min="6" max="6" width="40.42578125" style="34" customWidth="1"/>
    <col min="7" max="7" width="28.5703125" style="1" customWidth="1"/>
    <col min="8" max="8" width="15.140625" style="1"/>
    <col min="9" max="16384" width="15.140625" style="34"/>
  </cols>
  <sheetData>
    <row r="1" spans="1:15" ht="15.75" thickBot="1">
      <c r="C1" s="2"/>
      <c r="D1" s="2"/>
      <c r="E1" s="3"/>
      <c r="F1" s="3"/>
      <c r="G1" s="3"/>
    </row>
    <row r="2" spans="1:15">
      <c r="B2" s="4"/>
      <c r="C2" s="5"/>
      <c r="D2" s="5"/>
      <c r="E2" s="6"/>
      <c r="F2" s="6"/>
      <c r="G2" s="7"/>
    </row>
    <row r="3" spans="1:15" ht="20.25">
      <c r="B3" s="406"/>
      <c r="C3" s="407"/>
      <c r="D3" s="407"/>
      <c r="E3" s="407"/>
      <c r="F3" s="407"/>
      <c r="G3" s="408"/>
    </row>
    <row r="4" spans="1:15" ht="20.25">
      <c r="B4" s="406"/>
      <c r="C4" s="407"/>
      <c r="D4" s="407"/>
      <c r="E4" s="407"/>
      <c r="F4" s="407"/>
      <c r="G4" s="408"/>
    </row>
    <row r="5" spans="1:15" ht="135.75" customHeight="1">
      <c r="B5" s="8"/>
      <c r="C5" s="2"/>
      <c r="D5" s="2"/>
      <c r="E5" s="3"/>
      <c r="F5" s="3"/>
      <c r="G5" s="9"/>
      <c r="I5"/>
      <c r="M5" s="223"/>
    </row>
    <row r="6" spans="1:15" s="229" customFormat="1" ht="42" customHeight="1">
      <c r="A6" s="221"/>
      <c r="B6" s="222"/>
      <c r="C6" s="2"/>
      <c r="D6" s="2"/>
      <c r="E6" s="3"/>
      <c r="F6" s="3"/>
      <c r="G6" s="9"/>
      <c r="H6" s="221"/>
      <c r="I6"/>
    </row>
    <row r="7" spans="1:15">
      <c r="B7" s="8"/>
      <c r="C7" s="43"/>
      <c r="D7" s="44"/>
      <c r="E7" s="409" t="s">
        <v>8</v>
      </c>
      <c r="F7" s="409"/>
      <c r="G7" s="10"/>
    </row>
    <row r="8" spans="1:15">
      <c r="B8" s="8"/>
      <c r="C8" s="43"/>
      <c r="D8" s="1"/>
      <c r="E8" s="385"/>
      <c r="F8" s="404" t="s">
        <v>5</v>
      </c>
      <c r="G8" s="405"/>
    </row>
    <row r="9" spans="1:15">
      <c r="B9" s="8"/>
      <c r="C9" s="43"/>
      <c r="D9" s="1"/>
      <c r="E9" s="195"/>
      <c r="F9" s="404" t="s">
        <v>6</v>
      </c>
      <c r="G9" s="405"/>
    </row>
    <row r="10" spans="1:15">
      <c r="B10" s="8"/>
      <c r="C10" s="1"/>
      <c r="D10" s="3"/>
      <c r="E10" s="3"/>
      <c r="F10" s="3"/>
      <c r="G10" s="10"/>
      <c r="I10"/>
    </row>
    <row r="11" spans="1:15" ht="30" customHeight="1">
      <c r="B11" s="8"/>
      <c r="C11" s="210" t="s">
        <v>74</v>
      </c>
      <c r="D11" s="16" t="s">
        <v>0</v>
      </c>
      <c r="E11" s="16" t="s">
        <v>1</v>
      </c>
      <c r="F11" s="11"/>
      <c r="G11" s="10"/>
    </row>
    <row r="12" spans="1:15" s="347" customFormat="1" ht="60" customHeight="1">
      <c r="A12" s="221"/>
      <c r="B12" s="222"/>
      <c r="C12" s="410" t="s">
        <v>134</v>
      </c>
      <c r="D12" s="411"/>
      <c r="E12" s="386" t="s">
        <v>177</v>
      </c>
      <c r="F12" s="412" t="str">
        <f>IF(E12="Стандартный","Оптимальный пакет для опытного предпринимателя",IF(E12="Инвестиционный"," Для тех, кто хочет вложить деньги, при этом не заниматься оперативным управлением бизнеса","Самый оптимальный пакет для запуска франшизы для человека, не имевшего ранее опыта ведения бизнеса в данной сфере. Франчайзер гарантирует поддержку на протяжении всего периода операционной деятельности бизнеса."))</f>
        <v>Оптимальный пакет для опытного предпринимателя</v>
      </c>
      <c r="G12" s="413"/>
      <c r="H12" s="363">
        <f>IF(E12="Брокерский",1,2)</f>
        <v>2</v>
      </c>
    </row>
    <row r="13" spans="1:15" ht="30" customHeight="1">
      <c r="B13" s="8"/>
      <c r="C13" s="35" t="s">
        <v>70</v>
      </c>
      <c r="D13" s="12" t="s">
        <v>9</v>
      </c>
      <c r="E13" s="388">
        <f>SUM(E14:E14)</f>
        <v>15</v>
      </c>
      <c r="F13" s="404"/>
      <c r="G13" s="405"/>
    </row>
    <row r="14" spans="1:15" s="350" customFormat="1" ht="30" customHeight="1">
      <c r="A14" s="221"/>
      <c r="B14" s="222"/>
      <c r="C14" s="390" t="s">
        <v>156</v>
      </c>
      <c r="D14" s="12" t="s">
        <v>9</v>
      </c>
      <c r="E14" s="389">
        <v>15</v>
      </c>
      <c r="F14" s="414" t="s">
        <v>176</v>
      </c>
      <c r="G14" s="405"/>
      <c r="H14" s="221"/>
      <c r="I14" s="403"/>
      <c r="J14" s="403"/>
      <c r="K14" s="403"/>
      <c r="L14" s="403"/>
      <c r="M14" s="403"/>
      <c r="N14" s="403"/>
      <c r="O14" s="403"/>
    </row>
    <row r="15" spans="1:15" s="54" customFormat="1" ht="30" customHeight="1">
      <c r="A15" s="1"/>
      <c r="B15" s="8"/>
      <c r="C15" s="35" t="s">
        <v>14</v>
      </c>
      <c r="D15" s="12" t="s">
        <v>12</v>
      </c>
      <c r="E15" s="387">
        <v>800</v>
      </c>
      <c r="F15" s="404" t="s">
        <v>34</v>
      </c>
      <c r="G15" s="405"/>
      <c r="H15" s="1"/>
    </row>
    <row r="16" spans="1:15" s="93" customFormat="1" ht="30" customHeight="1">
      <c r="A16" s="1"/>
      <c r="B16" s="8"/>
      <c r="C16" s="35" t="s">
        <v>47</v>
      </c>
      <c r="D16" s="98" t="s">
        <v>12</v>
      </c>
      <c r="E16" s="387">
        <v>0</v>
      </c>
      <c r="F16" s="91" t="s">
        <v>73</v>
      </c>
      <c r="G16" s="92"/>
      <c r="H16" s="1"/>
      <c r="K16"/>
    </row>
    <row r="17" spans="1:8" s="102" customFormat="1" ht="30" customHeight="1">
      <c r="A17" s="1"/>
      <c r="B17" s="8"/>
      <c r="C17" s="35" t="s">
        <v>65</v>
      </c>
      <c r="D17" s="98" t="s">
        <v>66</v>
      </c>
      <c r="E17" s="387">
        <v>18</v>
      </c>
      <c r="F17" s="100"/>
      <c r="G17" s="101"/>
      <c r="H17" s="1"/>
    </row>
    <row r="18" spans="1:8" ht="15" customHeight="1" thickBot="1">
      <c r="B18" s="13"/>
      <c r="C18" s="14"/>
      <c r="D18" s="14"/>
      <c r="E18" s="14"/>
      <c r="F18" s="14"/>
      <c r="G18" s="15"/>
    </row>
    <row r="19" spans="1:8" ht="15" customHeight="1">
      <c r="C19" s="1"/>
      <c r="D19" s="1"/>
      <c r="E19" s="1"/>
      <c r="F19" s="1"/>
    </row>
    <row r="20" spans="1:8" ht="15" customHeight="1">
      <c r="C20" s="1"/>
      <c r="D20" s="1"/>
      <c r="E20" s="1"/>
      <c r="F20" s="1"/>
    </row>
    <row r="21" spans="1:8" ht="15" customHeight="1">
      <c r="C21" s="1"/>
      <c r="D21" s="1"/>
      <c r="E21" s="1"/>
      <c r="F21" s="1"/>
    </row>
  </sheetData>
  <mergeCells count="11">
    <mergeCell ref="I14:O14"/>
    <mergeCell ref="F15:G15"/>
    <mergeCell ref="B3:G3"/>
    <mergeCell ref="B4:G4"/>
    <mergeCell ref="F13:G13"/>
    <mergeCell ref="F8:G8"/>
    <mergeCell ref="F9:G9"/>
    <mergeCell ref="E7:F7"/>
    <mergeCell ref="C12:D12"/>
    <mergeCell ref="F12:G12"/>
    <mergeCell ref="F14:G14"/>
  </mergeCells>
  <dataValidations count="1">
    <dataValidation type="list" allowBlank="1" showInputMessage="1" showErrorMessage="1" sqref="E12">
      <formula1>"Стандартный,Профессиональный,Инвестиционный"</formula1>
    </dataValidation>
  </dataValidations>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zoomScale="70" zoomScaleNormal="70" workbookViewId="0"/>
  </sheetViews>
  <sheetFormatPr defaultColWidth="15.140625" defaultRowHeight="15"/>
  <cols>
    <col min="1" max="1" width="6.7109375" style="64" customWidth="1"/>
    <col min="2" max="2" width="3.42578125" style="64" customWidth="1"/>
    <col min="3" max="3" width="38.7109375" style="63" customWidth="1"/>
    <col min="4" max="4" width="5.28515625" style="63" customWidth="1"/>
    <col min="5" max="5" width="9.28515625" style="63" bestFit="1" customWidth="1"/>
    <col min="6" max="8" width="9.28515625" style="63" customWidth="1"/>
    <col min="9" max="9" width="5.42578125" style="63" customWidth="1"/>
    <col min="10" max="10" width="28.7109375" style="64" customWidth="1"/>
    <col min="11" max="11" width="15.140625" style="64"/>
    <col min="12" max="16384" width="15.140625" style="63"/>
  </cols>
  <sheetData>
    <row r="1" spans="1:13" ht="15.75" thickBot="1">
      <c r="A1" s="63"/>
      <c r="C1" s="73"/>
      <c r="D1" s="73"/>
      <c r="E1" s="72"/>
      <c r="F1" s="72"/>
      <c r="G1" s="72"/>
      <c r="H1" s="72"/>
      <c r="I1" s="72"/>
      <c r="J1" s="72"/>
      <c r="K1" s="63"/>
    </row>
    <row r="2" spans="1:13">
      <c r="A2" s="63"/>
      <c r="B2" s="77"/>
      <c r="C2" s="76"/>
      <c r="D2" s="76"/>
      <c r="E2" s="75"/>
      <c r="F2" s="75"/>
      <c r="G2" s="75"/>
      <c r="H2" s="75"/>
      <c r="I2" s="75"/>
      <c r="J2" s="74"/>
      <c r="K2" s="63"/>
    </row>
    <row r="3" spans="1:13" ht="20.25">
      <c r="A3" s="63"/>
      <c r="B3" s="416"/>
      <c r="C3" s="417"/>
      <c r="D3" s="417"/>
      <c r="E3" s="417"/>
      <c r="F3" s="417"/>
      <c r="G3" s="417"/>
      <c r="H3" s="417"/>
      <c r="I3" s="417"/>
      <c r="J3" s="418"/>
      <c r="K3" s="63"/>
    </row>
    <row r="4" spans="1:13" ht="20.25">
      <c r="A4" s="63"/>
      <c r="B4" s="419"/>
      <c r="C4" s="420"/>
      <c r="D4" s="420"/>
      <c r="E4" s="420"/>
      <c r="F4" s="420"/>
      <c r="G4" s="420"/>
      <c r="H4" s="420"/>
      <c r="I4" s="420"/>
      <c r="J4" s="421"/>
      <c r="K4" s="63"/>
    </row>
    <row r="5" spans="1:13" ht="93.75" customHeight="1">
      <c r="A5" s="63"/>
      <c r="B5" s="69"/>
      <c r="C5" s="73"/>
      <c r="D5" s="73"/>
      <c r="E5" s="72"/>
      <c r="F5" s="72"/>
      <c r="G5" s="72"/>
      <c r="H5" s="72"/>
      <c r="I5" s="72"/>
      <c r="J5" s="70"/>
      <c r="K5" s="63"/>
    </row>
    <row r="6" spans="1:13" ht="15.75" customHeight="1">
      <c r="A6" s="63"/>
      <c r="B6" s="69"/>
      <c r="C6" s="71"/>
      <c r="D6" s="71"/>
      <c r="E6" s="71"/>
      <c r="F6" s="71"/>
      <c r="G6" s="71"/>
      <c r="H6" s="71"/>
      <c r="I6" s="71"/>
      <c r="J6" s="70"/>
      <c r="K6" s="63"/>
    </row>
    <row r="7" spans="1:13" ht="158.25" customHeight="1">
      <c r="A7" s="63"/>
      <c r="B7" s="69"/>
      <c r="C7" s="71"/>
      <c r="D7" s="71"/>
      <c r="E7" s="71"/>
      <c r="F7" s="71"/>
      <c r="G7" s="71"/>
      <c r="H7" s="71"/>
      <c r="I7" s="71"/>
      <c r="J7" s="70"/>
      <c r="K7" s="63"/>
    </row>
    <row r="8" spans="1:13" ht="30" customHeight="1">
      <c r="A8" s="63"/>
      <c r="B8" s="69"/>
      <c r="C8" s="278"/>
      <c r="D8" s="279"/>
      <c r="E8" s="279"/>
      <c r="F8" s="279"/>
      <c r="G8" s="279"/>
      <c r="H8" s="279"/>
      <c r="I8" s="279"/>
      <c r="J8" s="70"/>
      <c r="K8" s="63"/>
      <c r="M8" s="378"/>
    </row>
    <row r="9" spans="1:13" ht="34.5" customHeight="1">
      <c r="A9" s="63"/>
      <c r="B9" s="69"/>
      <c r="C9" s="280"/>
      <c r="D9" s="280"/>
      <c r="E9" s="415"/>
      <c r="F9" s="415"/>
      <c r="G9" s="415"/>
      <c r="H9" s="415"/>
      <c r="I9" s="415"/>
      <c r="J9" s="70"/>
      <c r="K9" s="63"/>
    </row>
    <row r="10" spans="1:13" ht="31.5" customHeight="1">
      <c r="A10" s="63"/>
      <c r="B10" s="69"/>
      <c r="C10" s="280"/>
      <c r="D10" s="281"/>
      <c r="E10" s="280"/>
      <c r="F10" s="415"/>
      <c r="G10" s="415"/>
      <c r="H10" s="415"/>
      <c r="I10" s="415"/>
      <c r="J10" s="70"/>
      <c r="K10" s="63"/>
    </row>
    <row r="11" spans="1:13" ht="31.5" customHeight="1">
      <c r="A11" s="63"/>
      <c r="B11" s="69"/>
      <c r="C11" s="280"/>
      <c r="D11" s="281"/>
      <c r="E11" s="280"/>
      <c r="F11" s="415"/>
      <c r="G11" s="415"/>
      <c r="H11" s="415"/>
      <c r="I11" s="415"/>
      <c r="J11" s="70"/>
      <c r="K11" s="63"/>
    </row>
    <row r="12" spans="1:13" ht="31.5" customHeight="1">
      <c r="A12" s="63"/>
      <c r="B12" s="69"/>
      <c r="C12" s="280"/>
      <c r="D12" s="281"/>
      <c r="E12" s="280"/>
      <c r="F12" s="321"/>
      <c r="G12" s="321"/>
      <c r="H12" s="321"/>
      <c r="I12" s="321"/>
      <c r="J12" s="70"/>
      <c r="K12" s="63"/>
    </row>
    <row r="13" spans="1:13" ht="31.5" customHeight="1">
      <c r="A13" s="63"/>
      <c r="B13" s="69"/>
      <c r="C13" s="280"/>
      <c r="D13" s="281"/>
      <c r="E13" s="280"/>
      <c r="F13" s="321"/>
      <c r="G13" s="321"/>
      <c r="H13" s="321"/>
      <c r="I13" s="321"/>
      <c r="J13" s="70"/>
      <c r="K13" s="63"/>
    </row>
    <row r="14" spans="1:13" ht="31.5" customHeight="1">
      <c r="A14" s="63"/>
      <c r="B14" s="69"/>
      <c r="C14" s="280"/>
      <c r="D14" s="281"/>
      <c r="E14" s="280"/>
      <c r="F14" s="321"/>
      <c r="G14" s="321"/>
      <c r="H14" s="321"/>
      <c r="I14" s="321"/>
      <c r="J14" s="70"/>
      <c r="K14" s="63"/>
    </row>
    <row r="15" spans="1:13" ht="31.5" customHeight="1">
      <c r="A15" s="63"/>
      <c r="B15" s="69"/>
      <c r="C15" s="280"/>
      <c r="D15" s="281"/>
      <c r="E15" s="280"/>
      <c r="F15" s="382"/>
      <c r="G15" s="382"/>
      <c r="H15" s="382"/>
      <c r="I15" s="382"/>
      <c r="J15" s="70"/>
      <c r="K15" s="63"/>
    </row>
    <row r="16" spans="1:13" ht="31.5" customHeight="1">
      <c r="A16" s="63"/>
      <c r="B16" s="69"/>
      <c r="C16" s="280"/>
      <c r="D16" s="415"/>
      <c r="E16" s="415"/>
      <c r="F16" s="415"/>
      <c r="G16" s="415"/>
      <c r="H16" s="415"/>
      <c r="I16" s="415"/>
      <c r="J16" s="70"/>
      <c r="K16" s="63"/>
    </row>
    <row r="17" spans="1:11" ht="31.5" customHeight="1">
      <c r="A17" s="63"/>
      <c r="B17" s="69"/>
      <c r="C17" s="280"/>
      <c r="D17" s="415"/>
      <c r="E17" s="415"/>
      <c r="F17" s="415"/>
      <c r="G17" s="280"/>
      <c r="H17" s="415"/>
      <c r="I17" s="415"/>
      <c r="J17" s="70"/>
      <c r="K17" s="63"/>
    </row>
    <row r="18" spans="1:11" ht="31.5" customHeight="1">
      <c r="A18" s="63"/>
      <c r="B18" s="69"/>
      <c r="C18" s="280"/>
      <c r="D18" s="415"/>
      <c r="E18" s="415"/>
      <c r="F18" s="415"/>
      <c r="G18" s="415"/>
      <c r="H18" s="279"/>
      <c r="I18" s="279"/>
      <c r="J18" s="70"/>
      <c r="K18" s="63"/>
    </row>
    <row r="19" spans="1:11" ht="31.5" customHeight="1">
      <c r="A19" s="63"/>
      <c r="B19" s="69"/>
      <c r="C19" s="280"/>
      <c r="D19" s="415"/>
      <c r="E19" s="415"/>
      <c r="F19" s="415"/>
      <c r="G19" s="415"/>
      <c r="H19" s="415"/>
      <c r="I19" s="279"/>
      <c r="J19" s="70"/>
      <c r="K19" s="63"/>
    </row>
    <row r="20" spans="1:11" ht="31.5" customHeight="1">
      <c r="A20" s="63"/>
      <c r="B20" s="69"/>
      <c r="C20" s="280"/>
      <c r="D20" s="415"/>
      <c r="E20" s="415"/>
      <c r="F20" s="415"/>
      <c r="G20" s="415"/>
      <c r="H20" s="415"/>
      <c r="I20" s="280"/>
      <c r="J20" s="68"/>
      <c r="K20" s="63"/>
    </row>
    <row r="21" spans="1:11" ht="15" customHeight="1" thickBot="1">
      <c r="A21" s="63"/>
      <c r="B21" s="67"/>
      <c r="C21" s="66"/>
      <c r="D21" s="66"/>
      <c r="E21" s="66"/>
      <c r="F21" s="66"/>
      <c r="G21" s="66"/>
      <c r="H21" s="66"/>
      <c r="I21" s="66"/>
      <c r="J21" s="65"/>
      <c r="K21" s="63"/>
    </row>
    <row r="22" spans="1:11" ht="15" customHeight="1">
      <c r="A22" s="63"/>
      <c r="C22" s="64"/>
      <c r="D22" s="64"/>
      <c r="E22" s="64"/>
      <c r="F22" s="64"/>
      <c r="G22" s="64"/>
      <c r="H22" s="64"/>
      <c r="I22" s="64"/>
      <c r="K22" s="63"/>
    </row>
    <row r="23" spans="1:11" ht="15" customHeight="1">
      <c r="A23" s="63"/>
      <c r="C23" s="64"/>
      <c r="D23" s="64"/>
      <c r="E23" s="64"/>
      <c r="F23" s="64"/>
      <c r="G23" s="64"/>
      <c r="H23" s="64"/>
      <c r="I23" s="64"/>
      <c r="K23" s="63"/>
    </row>
    <row r="24" spans="1:11" ht="15" customHeight="1">
      <c r="A24" s="63"/>
      <c r="C24" s="64"/>
      <c r="D24" s="64"/>
      <c r="E24" s="64"/>
      <c r="F24" s="64"/>
      <c r="G24" s="64"/>
      <c r="H24" s="64"/>
      <c r="I24" s="64"/>
      <c r="K24" s="63"/>
    </row>
  </sheetData>
  <mergeCells count="14">
    <mergeCell ref="D20:H20"/>
    <mergeCell ref="H16:I16"/>
    <mergeCell ref="B3:J3"/>
    <mergeCell ref="B4:J4"/>
    <mergeCell ref="E9:I9"/>
    <mergeCell ref="D17:F17"/>
    <mergeCell ref="F10:I10"/>
    <mergeCell ref="F11:I11"/>
    <mergeCell ref="F16:G16"/>
    <mergeCell ref="D16:E16"/>
    <mergeCell ref="H17:I17"/>
    <mergeCell ref="D18:G18"/>
    <mergeCell ref="F19:H19"/>
    <mergeCell ref="D19:E19"/>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7"/>
  <sheetViews>
    <sheetView showGridLines="0" zoomScale="70" zoomScaleNormal="70" workbookViewId="0">
      <selection activeCell="G26" sqref="G26"/>
    </sheetView>
  </sheetViews>
  <sheetFormatPr defaultColWidth="15.140625" defaultRowHeight="15"/>
  <cols>
    <col min="1" max="1" width="4.28515625" style="33" customWidth="1"/>
    <col min="2" max="2" width="4" style="33" customWidth="1"/>
    <col min="3" max="3" width="68.140625" style="33" customWidth="1"/>
    <col min="4" max="4" width="16.42578125" style="34" customWidth="1"/>
    <col min="5" max="5" width="26" style="60" customWidth="1"/>
    <col min="6" max="6" width="5.28515625" style="33" customWidth="1"/>
    <col min="7" max="7" width="107.140625" style="33" customWidth="1"/>
    <col min="8" max="8" width="16.85546875" style="33" customWidth="1"/>
    <col min="9" max="9" width="41.85546875" style="33" customWidth="1"/>
    <col min="10" max="10" width="32.42578125" style="33" customWidth="1"/>
    <col min="11" max="11" width="11.28515625" style="33" customWidth="1"/>
    <col min="12" max="12" width="13.42578125" style="33" customWidth="1"/>
    <col min="13" max="13" width="16.42578125" style="33" customWidth="1"/>
    <col min="14" max="14" width="17.28515625" style="33" customWidth="1"/>
    <col min="15" max="15" width="14.7109375" style="33" customWidth="1"/>
    <col min="16" max="16384" width="15.140625" style="33"/>
  </cols>
  <sheetData>
    <row r="1" spans="2:8" ht="15" customHeight="1" thickBot="1"/>
    <row r="2" spans="2:8" ht="15" customHeight="1">
      <c r="B2" s="4"/>
      <c r="C2" s="17"/>
      <c r="D2" s="17"/>
      <c r="E2" s="17"/>
      <c r="F2" s="18"/>
      <c r="G2" s="1"/>
      <c r="H2" s="1"/>
    </row>
    <row r="3" spans="2:8" ht="18.75" customHeight="1">
      <c r="B3" s="406"/>
      <c r="C3" s="407"/>
      <c r="D3" s="407"/>
      <c r="E3" s="407"/>
      <c r="F3" s="408"/>
      <c r="G3" s="1"/>
      <c r="H3" s="1"/>
    </row>
    <row r="4" spans="2:8" ht="20.25">
      <c r="B4" s="406"/>
      <c r="C4" s="407"/>
      <c r="D4" s="407"/>
      <c r="E4" s="407"/>
      <c r="F4" s="408"/>
      <c r="G4" s="1"/>
      <c r="H4" s="1"/>
    </row>
    <row r="5" spans="2:8" ht="73.5" customHeight="1">
      <c r="B5" s="8"/>
      <c r="C5" s="1"/>
      <c r="D5" s="1"/>
      <c r="E5" s="1"/>
      <c r="F5" s="10"/>
    </row>
    <row r="6" spans="2:8" s="295" customFormat="1" ht="68.25" customHeight="1">
      <c r="B6" s="222"/>
      <c r="C6" s="336"/>
      <c r="D6" s="221"/>
      <c r="E6" s="221"/>
      <c r="F6" s="10"/>
    </row>
    <row r="7" spans="2:8">
      <c r="B7" s="8"/>
      <c r="C7" s="1"/>
      <c r="D7" s="33"/>
      <c r="E7" s="33"/>
      <c r="F7" s="45"/>
    </row>
    <row r="8" spans="2:8" s="229" customFormat="1">
      <c r="B8" s="222"/>
      <c r="C8" s="221"/>
      <c r="D8" s="228"/>
      <c r="E8" s="228"/>
      <c r="F8" s="45"/>
    </row>
    <row r="9" spans="2:8" s="229" customFormat="1">
      <c r="B9" s="222"/>
      <c r="C9" s="221"/>
      <c r="D9" s="409" t="s">
        <v>8</v>
      </c>
      <c r="E9" s="409"/>
      <c r="F9" s="45"/>
    </row>
    <row r="10" spans="2:8" ht="15" customHeight="1">
      <c r="B10" s="8"/>
      <c r="C10" s="1"/>
      <c r="D10" s="391"/>
      <c r="E10" s="86" t="s">
        <v>5</v>
      </c>
      <c r="F10" s="87"/>
      <c r="G10" s="36"/>
    </row>
    <row r="11" spans="2:8" ht="15" customHeight="1">
      <c r="B11" s="8"/>
      <c r="C11" s="1"/>
      <c r="D11" s="195"/>
      <c r="E11" s="86" t="s">
        <v>6</v>
      </c>
      <c r="F11" s="87"/>
      <c r="G11" s="36"/>
    </row>
    <row r="12" spans="2:8" ht="27" customHeight="1">
      <c r="B12" s="8"/>
      <c r="C12" s="1"/>
      <c r="D12" s="1"/>
      <c r="E12" s="1"/>
      <c r="F12" s="10"/>
      <c r="G12" s="37"/>
    </row>
    <row r="13" spans="2:8" ht="20.25">
      <c r="B13" s="8"/>
      <c r="C13" s="424" t="s">
        <v>21</v>
      </c>
      <c r="D13" s="424"/>
      <c r="E13" s="424"/>
      <c r="F13" s="62"/>
    </row>
    <row r="14" spans="2:8" s="57" customFormat="1" ht="15" customHeight="1">
      <c r="B14" s="8"/>
      <c r="C14" s="422" t="s">
        <v>36</v>
      </c>
      <c r="D14" s="423"/>
      <c r="E14" s="230">
        <f>IF('Входящие данные'!E12="Стандартный",350000,IF('Входящие данные'!E12="Инвестиционный",1500000,450000))</f>
        <v>350000</v>
      </c>
      <c r="F14" s="61"/>
    </row>
    <row r="15" spans="2:8" s="211" customFormat="1" ht="15" customHeight="1">
      <c r="B15" s="8"/>
      <c r="C15" s="284" t="s">
        <v>94</v>
      </c>
      <c r="D15" s="285" t="s">
        <v>168</v>
      </c>
      <c r="E15" s="230">
        <f>SUMPRODUCT(D16:D23,E16:E23)</f>
        <v>78000</v>
      </c>
      <c r="F15" s="61"/>
    </row>
    <row r="16" spans="2:8" s="345" customFormat="1" ht="15" customHeight="1">
      <c r="B16" s="222"/>
      <c r="C16" s="227" t="s">
        <v>150</v>
      </c>
      <c r="D16" s="285">
        <v>1</v>
      </c>
      <c r="E16" s="231">
        <f>'Входящие данные'!E13*'Входящие данные'!E15</f>
        <v>12000</v>
      </c>
      <c r="F16" s="225"/>
    </row>
    <row r="17" spans="1:7" s="326" customFormat="1" ht="15" customHeight="1">
      <c r="B17" s="222"/>
      <c r="C17" s="227" t="s">
        <v>94</v>
      </c>
      <c r="D17" s="285">
        <v>1</v>
      </c>
      <c r="E17" s="231">
        <f>0*'Входящие данные'!$E$13</f>
        <v>0</v>
      </c>
      <c r="F17" s="225"/>
    </row>
    <row r="18" spans="1:7" s="350" customFormat="1" ht="15" customHeight="1">
      <c r="B18" s="222"/>
      <c r="C18" s="227" t="s">
        <v>164</v>
      </c>
      <c r="D18" s="285">
        <v>1</v>
      </c>
      <c r="E18" s="231">
        <v>10000</v>
      </c>
      <c r="F18" s="225"/>
    </row>
    <row r="19" spans="1:7" s="350" customFormat="1" ht="15" customHeight="1">
      <c r="B19" s="222"/>
      <c r="C19" s="227" t="s">
        <v>163</v>
      </c>
      <c r="D19" s="285">
        <v>1</v>
      </c>
      <c r="E19" s="231">
        <v>20000</v>
      </c>
      <c r="F19" s="225"/>
    </row>
    <row r="20" spans="1:7" s="350" customFormat="1" ht="15" customHeight="1">
      <c r="B20" s="222"/>
      <c r="C20" s="227" t="s">
        <v>159</v>
      </c>
      <c r="D20" s="285">
        <v>1</v>
      </c>
      <c r="E20" s="231">
        <v>12000</v>
      </c>
      <c r="F20" s="225"/>
    </row>
    <row r="21" spans="1:7" s="350" customFormat="1" ht="15" customHeight="1">
      <c r="B21" s="222"/>
      <c r="C21" s="227" t="s">
        <v>160</v>
      </c>
      <c r="D21" s="285">
        <v>1</v>
      </c>
      <c r="E21" s="231">
        <v>2000</v>
      </c>
      <c r="F21" s="225"/>
    </row>
    <row r="22" spans="1:7" s="350" customFormat="1" ht="15" customHeight="1">
      <c r="B22" s="222"/>
      <c r="C22" s="227" t="s">
        <v>161</v>
      </c>
      <c r="D22" s="285">
        <v>1</v>
      </c>
      <c r="E22" s="231">
        <v>20000</v>
      </c>
      <c r="F22" s="225"/>
    </row>
    <row r="23" spans="1:7" s="350" customFormat="1" ht="15" customHeight="1">
      <c r="B23" s="222"/>
      <c r="C23" s="227" t="s">
        <v>162</v>
      </c>
      <c r="D23" s="285">
        <v>1</v>
      </c>
      <c r="E23" s="231">
        <v>2000</v>
      </c>
      <c r="F23" s="225"/>
    </row>
    <row r="24" spans="1:7" s="335" customFormat="1" ht="15" customHeight="1">
      <c r="B24" s="222"/>
      <c r="C24" s="284" t="s">
        <v>157</v>
      </c>
      <c r="D24" s="285"/>
      <c r="E24" s="230">
        <f>SUMPRODUCT(E25,D25)</f>
        <v>1200000</v>
      </c>
      <c r="F24" s="225"/>
      <c r="G24" s="350"/>
    </row>
    <row r="25" spans="1:7" s="350" customFormat="1" ht="15" customHeight="1">
      <c r="B25" s="222"/>
      <c r="C25" s="227" t="s">
        <v>158</v>
      </c>
      <c r="D25" s="394">
        <v>3</v>
      </c>
      <c r="E25" s="231">
        <v>400000</v>
      </c>
      <c r="F25" s="225"/>
    </row>
    <row r="26" spans="1:7" s="350" customFormat="1" ht="15" customHeight="1">
      <c r="B26" s="222"/>
      <c r="C26" s="284" t="s">
        <v>152</v>
      </c>
      <c r="D26" s="285"/>
      <c r="E26" s="230">
        <f>SUMPRODUCT(E27,D27)</f>
        <v>40000</v>
      </c>
      <c r="F26" s="225"/>
    </row>
    <row r="27" spans="1:7" s="350" customFormat="1" ht="15" customHeight="1">
      <c r="B27" s="222"/>
      <c r="C27" s="227" t="s">
        <v>165</v>
      </c>
      <c r="D27" s="285">
        <v>2</v>
      </c>
      <c r="E27" s="231">
        <v>20000</v>
      </c>
      <c r="F27" s="225"/>
    </row>
    <row r="28" spans="1:7" s="350" customFormat="1" ht="15" customHeight="1">
      <c r="B28" s="222"/>
      <c r="C28" s="284" t="s">
        <v>153</v>
      </c>
      <c r="D28" s="285"/>
      <c r="E28" s="230">
        <f>SUMPRODUCT(E29:E31,D29:D31)</f>
        <v>40000</v>
      </c>
      <c r="F28" s="225"/>
    </row>
    <row r="29" spans="1:7" s="350" customFormat="1" ht="15" customHeight="1">
      <c r="B29" s="222"/>
      <c r="C29" s="227" t="s">
        <v>167</v>
      </c>
      <c r="D29" s="285">
        <v>1</v>
      </c>
      <c r="E29" s="231">
        <v>10000</v>
      </c>
      <c r="F29" s="225"/>
      <c r="G29" s="275"/>
    </row>
    <row r="30" spans="1:7" s="350" customFormat="1" ht="15" customHeight="1">
      <c r="B30" s="222"/>
      <c r="C30" s="425" t="s">
        <v>166</v>
      </c>
      <c r="D30" s="427">
        <v>1</v>
      </c>
      <c r="E30" s="429">
        <v>30000</v>
      </c>
      <c r="F30" s="225"/>
    </row>
    <row r="31" spans="1:7" s="350" customFormat="1" ht="15" customHeight="1">
      <c r="B31" s="222"/>
      <c r="C31" s="426"/>
      <c r="D31" s="428"/>
      <c r="E31" s="430"/>
      <c r="F31" s="225"/>
    </row>
    <row r="32" spans="1:7" s="275" customFormat="1" ht="15" customHeight="1">
      <c r="A32" s="33"/>
      <c r="B32" s="8"/>
      <c r="C32" s="422" t="s">
        <v>4</v>
      </c>
      <c r="D32" s="423"/>
      <c r="E32" s="230">
        <f>E14+E15+E24+E28+E26</f>
        <v>1708000</v>
      </c>
      <c r="F32" s="61"/>
    </row>
    <row r="33" spans="1:16" s="275" customFormat="1" ht="15" customHeight="1" thickBot="1">
      <c r="A33" s="33"/>
      <c r="B33" s="13"/>
      <c r="C33" s="14"/>
      <c r="D33" s="14"/>
      <c r="E33" s="14"/>
      <c r="F33" s="15"/>
      <c r="G33" s="379"/>
    </row>
    <row r="34" spans="1:16" s="275" customFormat="1" ht="15" customHeight="1">
      <c r="A34" s="33"/>
      <c r="B34" s="33"/>
      <c r="C34" s="33"/>
      <c r="D34" s="34"/>
      <c r="E34" s="60"/>
      <c r="F34" s="33"/>
      <c r="G34" s="379"/>
      <c r="H34" s="337"/>
      <c r="P34" s="282"/>
    </row>
    <row r="35" spans="1:16" s="275" customFormat="1" ht="15" customHeight="1">
      <c r="A35" s="33"/>
      <c r="B35" s="33"/>
      <c r="C35" s="33"/>
      <c r="D35" s="34"/>
      <c r="E35" s="60"/>
      <c r="F35" s="33"/>
      <c r="G35" s="379"/>
      <c r="H35" s="337"/>
      <c r="P35" s="282"/>
    </row>
    <row r="36" spans="1:16" s="211" customFormat="1" ht="15" customHeight="1">
      <c r="A36" s="33"/>
      <c r="B36" s="1"/>
      <c r="C36" s="21"/>
      <c r="D36" s="21"/>
      <c r="E36" s="21"/>
      <c r="F36" s="1"/>
      <c r="G36" s="379"/>
      <c r="H36" s="337"/>
      <c r="P36" s="283"/>
    </row>
    <row r="37" spans="1:16" ht="15.75">
      <c r="B37" s="1"/>
      <c r="C37" s="21"/>
      <c r="D37" s="21"/>
      <c r="E37" s="21"/>
      <c r="F37" s="1"/>
      <c r="G37" s="379"/>
      <c r="H37" s="337"/>
      <c r="K37" s="20"/>
      <c r="L37" s="19"/>
      <c r="N37" s="19"/>
      <c r="P37" s="283"/>
    </row>
    <row r="38" spans="1:16" ht="15" customHeight="1">
      <c r="B38" s="1"/>
      <c r="C38" s="21"/>
      <c r="D38" s="21"/>
      <c r="E38" s="21"/>
      <c r="F38" s="1"/>
      <c r="G38" s="368"/>
      <c r="H38" s="326"/>
      <c r="P38" s="283"/>
    </row>
    <row r="39" spans="1:16" ht="15.75">
      <c r="B39" s="1"/>
      <c r="C39" s="21"/>
      <c r="D39" s="21"/>
      <c r="E39" s="21"/>
      <c r="F39" s="1"/>
      <c r="H39" s="326"/>
      <c r="P39" s="283"/>
    </row>
    <row r="40" spans="1:16" ht="15.75">
      <c r="B40" s="1"/>
      <c r="C40" s="21"/>
      <c r="D40" s="21"/>
      <c r="E40" s="21"/>
      <c r="F40" s="1"/>
      <c r="H40" s="326"/>
      <c r="P40" s="283"/>
    </row>
    <row r="41" spans="1:16" ht="15.75">
      <c r="B41" s="1"/>
      <c r="C41" s="21"/>
      <c r="D41" s="21"/>
      <c r="E41" s="21"/>
      <c r="F41" s="1"/>
      <c r="H41" s="326"/>
      <c r="P41" s="283"/>
    </row>
    <row r="42" spans="1:16" ht="15.75">
      <c r="B42" s="1"/>
      <c r="C42" s="1"/>
      <c r="D42" s="1"/>
      <c r="E42" s="1"/>
      <c r="F42" s="1"/>
      <c r="H42" s="326"/>
      <c r="P42" s="283"/>
    </row>
    <row r="43" spans="1:16" ht="15.75">
      <c r="B43" s="1"/>
      <c r="C43" s="1"/>
      <c r="D43" s="1"/>
      <c r="E43" s="1"/>
      <c r="F43" s="1"/>
      <c r="H43" s="326"/>
      <c r="P43" s="283"/>
    </row>
    <row r="44" spans="1:16" ht="15.75">
      <c r="H44" s="326"/>
      <c r="P44" s="283"/>
    </row>
    <row r="45" spans="1:16" ht="15.75">
      <c r="H45" s="326"/>
      <c r="P45" s="283"/>
    </row>
    <row r="46" spans="1:16" ht="15.75">
      <c r="H46" s="326"/>
      <c r="P46" s="283"/>
    </row>
    <row r="47" spans="1:16" ht="15.75">
      <c r="H47" s="326"/>
      <c r="P47" s="283"/>
    </row>
    <row r="48" spans="1:16" ht="15.75">
      <c r="P48" s="283"/>
    </row>
    <row r="49" spans="16:16" ht="15.75">
      <c r="P49" s="283"/>
    </row>
    <row r="50" spans="16:16" ht="15.75">
      <c r="P50" s="283"/>
    </row>
    <row r="51" spans="16:16" ht="15.75">
      <c r="P51" s="283"/>
    </row>
    <row r="52" spans="16:16" ht="15.75">
      <c r="P52" s="283"/>
    </row>
    <row r="53" spans="16:16" ht="15.75">
      <c r="P53" s="283"/>
    </row>
    <row r="54" spans="16:16" ht="15.75">
      <c r="P54" s="283"/>
    </row>
    <row r="55" spans="16:16" ht="15.75">
      <c r="P55" s="283"/>
    </row>
    <row r="56" spans="16:16" ht="15.75">
      <c r="P56" s="282"/>
    </row>
    <row r="57" spans="16:16" ht="15.75">
      <c r="P57" s="282"/>
    </row>
  </sheetData>
  <mergeCells count="9">
    <mergeCell ref="C32:D32"/>
    <mergeCell ref="C13:E13"/>
    <mergeCell ref="B4:F4"/>
    <mergeCell ref="B3:F3"/>
    <mergeCell ref="D9:E9"/>
    <mergeCell ref="C14:D14"/>
    <mergeCell ref="C30:C31"/>
    <mergeCell ref="D30:D31"/>
    <mergeCell ref="E30:E31"/>
  </mergeCells>
  <pageMargins left="0.7" right="0.7" top="0.75" bottom="0.75" header="0.3" footer="0.3"/>
  <pageSetup paperSize="9" scale="67"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showGridLines="0" zoomScale="70" zoomScaleNormal="70" workbookViewId="0">
      <selection activeCell="F23" sqref="F23"/>
    </sheetView>
  </sheetViews>
  <sheetFormatPr defaultColWidth="15.140625" defaultRowHeight="15"/>
  <cols>
    <col min="1" max="1" width="4.28515625" style="47" customWidth="1"/>
    <col min="2" max="2" width="4" style="235" customWidth="1"/>
    <col min="3" max="3" width="60.7109375" style="235" customWidth="1"/>
    <col min="4" max="4" width="5.28515625" style="103" customWidth="1"/>
    <col min="5" max="5" width="14.5703125" style="275" customWidth="1"/>
    <col min="6" max="6" width="19.7109375" style="235" customWidth="1"/>
    <col min="7" max="7" width="4.85546875" style="235" customWidth="1"/>
    <col min="8" max="8" width="23.5703125" style="358" customWidth="1"/>
    <col min="9" max="9" width="43.7109375" style="47" customWidth="1"/>
    <col min="10" max="10" width="7.5703125" style="47" customWidth="1"/>
    <col min="11" max="11" width="32.42578125" style="47" customWidth="1"/>
    <col min="12" max="12" width="11.28515625" style="47" customWidth="1"/>
    <col min="13" max="13" width="13.42578125" style="47" customWidth="1"/>
    <col min="14" max="14" width="16.42578125" style="47" customWidth="1"/>
    <col min="15" max="15" width="17.28515625" style="47" customWidth="1"/>
    <col min="16" max="16" width="14.7109375" style="47" customWidth="1"/>
    <col min="17" max="16384" width="15.140625" style="47"/>
  </cols>
  <sheetData>
    <row r="1" spans="2:11" ht="15" customHeight="1" thickBot="1"/>
    <row r="2" spans="2:11" ht="15" customHeight="1">
      <c r="B2" s="4"/>
      <c r="C2" s="17"/>
      <c r="D2" s="104"/>
      <c r="E2" s="17"/>
      <c r="F2" s="17"/>
      <c r="G2" s="18"/>
      <c r="H2" s="359"/>
      <c r="I2" s="1"/>
    </row>
    <row r="3" spans="2:11" ht="18.75" customHeight="1">
      <c r="B3" s="222"/>
      <c r="C3" s="232"/>
      <c r="D3" s="291"/>
      <c r="E3" s="273"/>
      <c r="F3" s="232"/>
      <c r="G3" s="233"/>
      <c r="H3" s="359"/>
      <c r="I3" s="1"/>
    </row>
    <row r="4" spans="2:11" ht="15" customHeight="1">
      <c r="B4" s="222"/>
      <c r="C4" s="232"/>
      <c r="D4" s="291"/>
      <c r="E4" s="273"/>
      <c r="F4" s="232"/>
      <c r="G4" s="233"/>
      <c r="H4" s="359"/>
      <c r="I4" s="1"/>
    </row>
    <row r="5" spans="2:11" ht="128.25" customHeight="1">
      <c r="B5" s="222"/>
      <c r="C5" s="368"/>
      <c r="D5" s="44"/>
      <c r="E5" s="221"/>
      <c r="F5" s="221"/>
      <c r="G5" s="10"/>
    </row>
    <row r="6" spans="2:11" ht="15" customHeight="1">
      <c r="B6" s="222"/>
      <c r="C6" s="221"/>
      <c r="G6" s="45"/>
    </row>
    <row r="7" spans="2:11" s="295" customFormat="1" ht="15" customHeight="1">
      <c r="B7" s="222"/>
      <c r="C7" s="221"/>
      <c r="D7" s="103"/>
      <c r="G7" s="45"/>
      <c r="H7" s="358"/>
    </row>
    <row r="8" spans="2:11" s="295" customFormat="1" ht="15" customHeight="1">
      <c r="B8" s="222"/>
      <c r="C8" s="221"/>
      <c r="D8" s="103"/>
      <c r="G8" s="45"/>
      <c r="H8" s="358"/>
    </row>
    <row r="9" spans="2:11" s="229" customFormat="1" ht="15" customHeight="1">
      <c r="B9" s="222"/>
      <c r="C9" s="221"/>
      <c r="D9" s="316"/>
      <c r="E9" s="274"/>
      <c r="F9" s="234"/>
      <c r="G9" s="45"/>
      <c r="H9" s="358"/>
    </row>
    <row r="10" spans="2:11" s="229" customFormat="1" ht="15" customHeight="1">
      <c r="B10" s="222"/>
      <c r="C10" s="221"/>
      <c r="E10" s="316" t="s">
        <v>8</v>
      </c>
      <c r="F10" s="234"/>
      <c r="G10" s="45"/>
      <c r="H10" s="358"/>
    </row>
    <row r="11" spans="2:11" ht="15" customHeight="1">
      <c r="B11" s="222"/>
      <c r="E11" s="393"/>
      <c r="F11" s="414" t="s">
        <v>5</v>
      </c>
      <c r="G11" s="405"/>
      <c r="H11" s="353"/>
    </row>
    <row r="12" spans="2:11" ht="15" customHeight="1">
      <c r="B12" s="222"/>
      <c r="E12" s="272"/>
      <c r="F12" s="414" t="s">
        <v>6</v>
      </c>
      <c r="G12" s="405"/>
      <c r="H12" s="353"/>
    </row>
    <row r="13" spans="2:11" ht="15" customHeight="1">
      <c r="B13" s="222"/>
      <c r="C13" s="221"/>
      <c r="D13" s="44"/>
      <c r="E13" s="221"/>
      <c r="F13" s="221"/>
      <c r="G13" s="10"/>
      <c r="H13" s="353"/>
    </row>
    <row r="14" spans="2:11" ht="18" customHeight="1">
      <c r="B14" s="222"/>
      <c r="C14" s="433" t="s">
        <v>22</v>
      </c>
      <c r="D14" s="434"/>
      <c r="E14" s="434"/>
      <c r="F14" s="435"/>
      <c r="G14" s="10"/>
      <c r="I14" s="19"/>
      <c r="J14" s="19"/>
      <c r="K14" s="19"/>
    </row>
    <row r="15" spans="2:11" s="55" customFormat="1" ht="15" customHeight="1">
      <c r="B15" s="222"/>
      <c r="C15" s="237" t="s">
        <v>28</v>
      </c>
      <c r="D15" s="317"/>
      <c r="E15" s="238"/>
      <c r="F15" s="239"/>
      <c r="G15" s="10"/>
      <c r="H15" s="358"/>
    </row>
    <row r="16" spans="2:11" ht="15" customHeight="1">
      <c r="B16" s="222"/>
      <c r="C16" s="436" t="s">
        <v>45</v>
      </c>
      <c r="D16" s="437"/>
      <c r="E16" s="437"/>
      <c r="F16" s="197">
        <f>'Входящие данные'!E13*'Входящие данные'!E15</f>
        <v>12000</v>
      </c>
      <c r="G16" s="10"/>
    </row>
    <row r="17" spans="1:11" s="55" customFormat="1" ht="45" customHeight="1">
      <c r="B17" s="222"/>
      <c r="C17" s="236" t="s">
        <v>29</v>
      </c>
      <c r="D17" s="322"/>
      <c r="E17" s="286" t="s">
        <v>174</v>
      </c>
      <c r="F17" s="318" t="s">
        <v>58</v>
      </c>
      <c r="G17" s="10"/>
      <c r="H17" s="358"/>
    </row>
    <row r="18" spans="1:11" s="55" customFormat="1" ht="15" customHeight="1">
      <c r="B18" s="222"/>
      <c r="C18" s="287" t="s">
        <v>23</v>
      </c>
      <c r="D18" s="438"/>
      <c r="E18" s="438"/>
      <c r="F18" s="400">
        <f>SUMPRODUCT(F19:F20,E19:E20)</f>
        <v>60000</v>
      </c>
      <c r="G18" s="10"/>
      <c r="H18" s="358"/>
    </row>
    <row r="19" spans="1:11" s="185" customFormat="1" ht="16.5" customHeight="1">
      <c r="B19" s="222"/>
      <c r="C19" s="240" t="s">
        <v>172</v>
      </c>
      <c r="D19" s="338"/>
      <c r="E19" s="365">
        <v>1</v>
      </c>
      <c r="F19" s="348">
        <v>30000</v>
      </c>
      <c r="G19" s="10"/>
      <c r="H19" s="358"/>
    </row>
    <row r="20" spans="1:11" s="350" customFormat="1" ht="15.75" customHeight="1">
      <c r="B20" s="222"/>
      <c r="C20" s="240" t="s">
        <v>173</v>
      </c>
      <c r="D20" s="338"/>
      <c r="E20" s="366">
        <v>1</v>
      </c>
      <c r="F20" s="348">
        <v>30000</v>
      </c>
      <c r="G20" s="10"/>
      <c r="H20" s="358"/>
    </row>
    <row r="21" spans="1:11" s="55" customFormat="1" ht="15" customHeight="1">
      <c r="B21" s="222"/>
      <c r="C21" s="288" t="s">
        <v>30</v>
      </c>
      <c r="D21" s="323"/>
      <c r="E21" s="289"/>
      <c r="F21" s="401">
        <f>SUM(F22:F22)</f>
        <v>16982.809583333332</v>
      </c>
      <c r="G21" s="10"/>
      <c r="H21" s="358"/>
    </row>
    <row r="22" spans="1:11" s="89" customFormat="1" ht="15" customHeight="1">
      <c r="B22" s="222"/>
      <c r="C22" s="277" t="s">
        <v>135</v>
      </c>
      <c r="D22" s="325"/>
      <c r="E22" s="367">
        <v>0.15</v>
      </c>
      <c r="F22" s="198">
        <f>E22*AVERAGE(Прибыль_окупаемость!E25:AN25)</f>
        <v>16982.809583333332</v>
      </c>
      <c r="G22" s="10"/>
      <c r="H22" s="358"/>
    </row>
    <row r="23" spans="1:11" s="327" customFormat="1" ht="15" customHeight="1">
      <c r="B23" s="222"/>
      <c r="C23" s="288" t="s">
        <v>132</v>
      </c>
      <c r="D23" s="324"/>
      <c r="E23" s="315"/>
      <c r="F23" s="402">
        <f>SUM(F24:F24)</f>
        <v>10000</v>
      </c>
      <c r="G23" s="10"/>
      <c r="H23" s="358"/>
    </row>
    <row r="24" spans="1:11" s="342" customFormat="1" ht="15" customHeight="1">
      <c r="B24" s="222"/>
      <c r="C24" s="343" t="s">
        <v>154</v>
      </c>
      <c r="D24" s="344"/>
      <c r="E24" s="365">
        <v>1</v>
      </c>
      <c r="F24" s="392">
        <v>10000</v>
      </c>
      <c r="G24" s="225"/>
      <c r="H24" s="358"/>
    </row>
    <row r="25" spans="1:11" s="102" customFormat="1" ht="15" customHeight="1">
      <c r="B25" s="222"/>
      <c r="C25" s="288" t="s">
        <v>68</v>
      </c>
      <c r="D25" s="323"/>
      <c r="E25" s="289"/>
      <c r="F25" s="289"/>
      <c r="G25" s="10"/>
      <c r="H25" s="358"/>
      <c r="I25" s="19"/>
    </row>
    <row r="26" spans="1:11" s="102" customFormat="1" ht="15" customHeight="1">
      <c r="B26" s="222"/>
      <c r="C26" s="276" t="s">
        <v>69</v>
      </c>
      <c r="D26" s="324"/>
      <c r="E26" s="315"/>
      <c r="F26" s="198">
        <f>IF('Входящие данные'!E16=0,0,Кредитование!D8)</f>
        <v>0</v>
      </c>
      <c r="G26" s="10"/>
      <c r="H26" s="360"/>
      <c r="I26" s="19"/>
    </row>
    <row r="27" spans="1:11" s="48" customFormat="1" ht="15" customHeight="1">
      <c r="B27" s="222"/>
      <c r="C27" s="288" t="s">
        <v>31</v>
      </c>
      <c r="D27" s="323"/>
      <c r="E27" s="289"/>
      <c r="F27" s="401">
        <f>IF('Входящие данные'!E12="Инвестиционный",Продажи!D34*'Ежемесячные затраты'!F28,'Ежемесячные затраты'!F28)</f>
        <v>10000</v>
      </c>
      <c r="G27" s="10"/>
      <c r="H27" s="360"/>
      <c r="I27" s="19"/>
    </row>
    <row r="28" spans="1:11" s="211" customFormat="1" ht="15" customHeight="1">
      <c r="B28" s="222"/>
      <c r="C28" s="276" t="s">
        <v>75</v>
      </c>
      <c r="D28" s="324"/>
      <c r="E28" s="224"/>
      <c r="F28" s="399">
        <f>IF('Входящие данные'!E12="Стандартный",10000,IF('Входящие данные'!E12="Инвестиционный","15%",15000))</f>
        <v>10000</v>
      </c>
      <c r="G28" s="10"/>
      <c r="H28" s="360"/>
      <c r="I28" s="19"/>
      <c r="J28" s="19"/>
      <c r="K28" s="19"/>
    </row>
    <row r="29" spans="1:11" s="211" customFormat="1" ht="15" customHeight="1">
      <c r="A29" s="275"/>
      <c r="B29" s="222"/>
      <c r="C29" s="288" t="s">
        <v>71</v>
      </c>
      <c r="D29" s="323"/>
      <c r="E29" s="289"/>
      <c r="F29" s="401">
        <f>SUM(F30)</f>
        <v>5000</v>
      </c>
      <c r="G29" s="10"/>
      <c r="H29" s="360"/>
      <c r="I29" s="19"/>
      <c r="J29" s="19"/>
      <c r="K29" s="19"/>
    </row>
    <row r="30" spans="1:11" s="350" customFormat="1" ht="15" customHeight="1">
      <c r="B30" s="222"/>
      <c r="C30" s="276" t="s">
        <v>175</v>
      </c>
      <c r="D30" s="323"/>
      <c r="E30" s="366">
        <v>1</v>
      </c>
      <c r="F30" s="198">
        <v>5000</v>
      </c>
      <c r="G30" s="10"/>
      <c r="H30" s="360"/>
      <c r="I30" s="19"/>
      <c r="J30" s="19"/>
      <c r="K30" s="19"/>
    </row>
    <row r="31" spans="1:11" s="350" customFormat="1" ht="15" customHeight="1">
      <c r="B31" s="222"/>
      <c r="C31" s="288" t="s">
        <v>178</v>
      </c>
      <c r="D31" s="323"/>
      <c r="E31" s="289"/>
      <c r="F31" s="402">
        <f>SUMPRODUCT(E32:E33,F32:F33)</f>
        <v>1600000</v>
      </c>
      <c r="G31" s="10"/>
      <c r="H31" s="360"/>
      <c r="I31" s="19"/>
      <c r="J31" s="19"/>
      <c r="K31" s="19"/>
    </row>
    <row r="32" spans="1:11" s="350" customFormat="1" ht="15" customHeight="1">
      <c r="B32" s="222"/>
      <c r="C32" s="276" t="s">
        <v>179</v>
      </c>
      <c r="D32" s="323"/>
      <c r="E32" s="366">
        <v>2</v>
      </c>
      <c r="F32" s="198">
        <v>400000</v>
      </c>
      <c r="G32" s="10"/>
      <c r="H32" s="360"/>
      <c r="I32" s="19"/>
      <c r="J32" s="19"/>
      <c r="K32" s="19"/>
    </row>
    <row r="33" spans="1:11" s="350" customFormat="1" ht="15" customHeight="1">
      <c r="B33" s="222"/>
      <c r="C33" s="276" t="s">
        <v>180</v>
      </c>
      <c r="D33" s="323"/>
      <c r="E33" s="366">
        <v>2</v>
      </c>
      <c r="F33" s="198">
        <v>400000</v>
      </c>
      <c r="G33" s="10"/>
      <c r="H33" s="360"/>
      <c r="I33" s="19"/>
      <c r="J33" s="19"/>
      <c r="K33" s="19"/>
    </row>
    <row r="34" spans="1:11" s="275" customFormat="1" ht="15" customHeight="1">
      <c r="A34" s="47"/>
      <c r="B34" s="222"/>
      <c r="C34" s="431" t="s">
        <v>4</v>
      </c>
      <c r="D34" s="432"/>
      <c r="E34" s="432"/>
      <c r="F34" s="199">
        <f>F16+F18+F21+F26+F27+F29+F23</f>
        <v>113982.80958333334</v>
      </c>
      <c r="G34" s="10"/>
      <c r="H34" s="360"/>
      <c r="I34" s="19"/>
      <c r="J34" s="19"/>
      <c r="K34" s="19"/>
    </row>
    <row r="35" spans="1:11" ht="15.75" customHeight="1" thickBot="1">
      <c r="B35" s="13"/>
      <c r="C35" s="14"/>
      <c r="D35" s="107"/>
      <c r="E35" s="14"/>
      <c r="F35" s="14"/>
      <c r="G35" s="15"/>
      <c r="H35" s="360"/>
      <c r="I35" s="19"/>
      <c r="J35" s="19"/>
      <c r="K35" s="19"/>
    </row>
    <row r="36" spans="1:11" ht="15" customHeight="1">
      <c r="H36" s="360"/>
    </row>
    <row r="38" spans="1:11" ht="15" customHeight="1">
      <c r="B38" s="221"/>
      <c r="C38" s="21"/>
      <c r="D38" s="319"/>
      <c r="E38" s="21"/>
      <c r="F38" s="21"/>
      <c r="G38" s="221"/>
    </row>
    <row r="39" spans="1:11" ht="15" customHeight="1">
      <c r="B39" s="221"/>
      <c r="C39" s="221"/>
      <c r="D39" s="44"/>
      <c r="E39" s="221"/>
      <c r="F39" s="221"/>
      <c r="G39" s="221"/>
    </row>
    <row r="40" spans="1:11" ht="15" customHeight="1">
      <c r="B40" s="221"/>
      <c r="C40" s="221"/>
      <c r="D40" s="44"/>
      <c r="E40" s="221"/>
      <c r="F40" s="221"/>
      <c r="G40" s="221"/>
    </row>
    <row r="41" spans="1:11" ht="15" customHeight="1"/>
    <row r="42" spans="1:11" ht="15" customHeight="1"/>
    <row r="43" spans="1:11" ht="15" customHeight="1"/>
    <row r="44" spans="1:11" ht="15" customHeight="1"/>
    <row r="45" spans="1:11" ht="15" customHeight="1"/>
    <row r="46" spans="1:11" ht="15" customHeight="1"/>
    <row r="47" spans="1:11" ht="15" customHeight="1"/>
    <row r="48" spans="1:11" ht="15" customHeight="1"/>
    <row r="49" ht="15" customHeight="1"/>
    <row r="51" ht="15" customHeight="1"/>
    <row r="52" ht="15" customHeight="1"/>
    <row r="53" ht="15" customHeight="1"/>
  </sheetData>
  <mergeCells count="6">
    <mergeCell ref="C34:E34"/>
    <mergeCell ref="C14:F14"/>
    <mergeCell ref="C16:E16"/>
    <mergeCell ref="D18:E18"/>
    <mergeCell ref="F11:G11"/>
    <mergeCell ref="F12:G12"/>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O49"/>
  <sheetViews>
    <sheetView showGridLines="0" zoomScale="70" zoomScaleNormal="70" workbookViewId="0">
      <selection activeCell="H30" sqref="H30"/>
    </sheetView>
  </sheetViews>
  <sheetFormatPr defaultColWidth="15.140625" defaultRowHeight="15" customHeight="1" outlineLevelRow="1"/>
  <cols>
    <col min="1" max="2" width="7.5703125" style="33" customWidth="1"/>
    <col min="3" max="3" width="43.42578125" style="33" bestFit="1" customWidth="1"/>
    <col min="4" max="4" width="11.5703125" style="34" bestFit="1" customWidth="1"/>
    <col min="5" max="5" width="12.85546875" style="33" bestFit="1" customWidth="1"/>
    <col min="6" max="7" width="11.5703125" style="33" bestFit="1" customWidth="1"/>
    <col min="8" max="8" width="12.85546875" style="33" customWidth="1"/>
    <col min="9" max="28" width="11.5703125" style="33" bestFit="1" customWidth="1"/>
    <col min="29" max="40" width="11.5703125" style="186" customWidth="1"/>
    <col min="41" max="41" width="8.140625" style="33" customWidth="1"/>
    <col min="42" max="16384" width="15.140625" style="33"/>
  </cols>
  <sheetData>
    <row r="1" spans="2:41" ht="15" customHeight="1" thickBot="1"/>
    <row r="2" spans="2:41" ht="20.25" customHeight="1">
      <c r="B2" s="4"/>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8"/>
    </row>
    <row r="3" spans="2:41" ht="20.25">
      <c r="B3" s="406"/>
      <c r="C3" s="407"/>
      <c r="D3" s="407"/>
      <c r="E3" s="407"/>
      <c r="F3" s="407"/>
      <c r="G3" s="407"/>
      <c r="H3" s="407"/>
      <c r="I3" s="407"/>
      <c r="J3" s="407"/>
      <c r="K3" s="407"/>
      <c r="L3" s="407"/>
      <c r="M3" s="407"/>
      <c r="N3" s="407"/>
      <c r="O3" s="407"/>
      <c r="P3" s="407"/>
      <c r="Q3" s="407"/>
      <c r="R3" s="407"/>
      <c r="S3" s="407"/>
      <c r="T3" s="407"/>
      <c r="U3" s="407"/>
      <c r="V3" s="407"/>
      <c r="W3" s="407"/>
      <c r="X3" s="407"/>
      <c r="Y3" s="407"/>
      <c r="Z3" s="407"/>
      <c r="AA3" s="407"/>
      <c r="AB3" s="407"/>
      <c r="AC3" s="407"/>
      <c r="AD3" s="407"/>
      <c r="AE3" s="407"/>
      <c r="AF3" s="407"/>
      <c r="AG3" s="407"/>
      <c r="AH3" s="407"/>
      <c r="AI3" s="407"/>
      <c r="AJ3" s="407"/>
      <c r="AK3" s="407"/>
      <c r="AL3" s="407"/>
      <c r="AM3" s="407"/>
      <c r="AN3" s="407"/>
      <c r="AO3" s="408"/>
    </row>
    <row r="4" spans="2:41" ht="20.25">
      <c r="B4" s="406"/>
      <c r="C4" s="407"/>
      <c r="D4" s="407"/>
      <c r="E4" s="407"/>
      <c r="F4" s="407"/>
      <c r="G4" s="407"/>
      <c r="H4" s="407"/>
      <c r="I4" s="407"/>
      <c r="J4" s="407"/>
      <c r="K4" s="407"/>
      <c r="L4" s="407"/>
      <c r="M4" s="407"/>
      <c r="N4" s="407"/>
      <c r="O4" s="407"/>
      <c r="P4" s="407"/>
      <c r="Q4" s="407"/>
      <c r="R4" s="407"/>
      <c r="S4" s="407"/>
      <c r="T4" s="407"/>
      <c r="U4" s="407"/>
      <c r="V4" s="407"/>
      <c r="W4" s="407"/>
      <c r="X4" s="407"/>
      <c r="Y4" s="407"/>
      <c r="Z4" s="407"/>
      <c r="AA4" s="407"/>
      <c r="AB4" s="407"/>
      <c r="AC4" s="407"/>
      <c r="AD4" s="407"/>
      <c r="AE4" s="407"/>
      <c r="AF4" s="407"/>
      <c r="AG4" s="407"/>
      <c r="AH4" s="407"/>
      <c r="AI4" s="407"/>
      <c r="AJ4" s="407"/>
      <c r="AK4" s="407"/>
      <c r="AL4" s="407"/>
      <c r="AM4" s="407"/>
      <c r="AN4" s="407"/>
      <c r="AO4" s="408"/>
    </row>
    <row r="5" spans="2:41" ht="95.25" customHeight="1">
      <c r="B5" s="8"/>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10"/>
    </row>
    <row r="6" spans="2:41" ht="15" customHeight="1">
      <c r="B6" s="8"/>
      <c r="C6" s="1"/>
      <c r="D6" s="1"/>
      <c r="E6" s="1"/>
      <c r="F6" s="1"/>
      <c r="G6" s="1"/>
      <c r="H6" s="440" t="s">
        <v>8</v>
      </c>
      <c r="I6" s="440"/>
      <c r="J6" s="440"/>
      <c r="K6" s="39"/>
      <c r="L6" s="39"/>
      <c r="M6" s="39"/>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10"/>
    </row>
    <row r="7" spans="2:41" ht="15" customHeight="1">
      <c r="B7" s="8"/>
      <c r="C7" s="1"/>
      <c r="D7" s="1"/>
      <c r="E7" s="1"/>
      <c r="F7" s="1"/>
      <c r="G7" s="1"/>
      <c r="H7" s="398"/>
      <c r="I7" s="404" t="s">
        <v>5</v>
      </c>
      <c r="J7" s="404"/>
      <c r="K7" s="404"/>
      <c r="L7" s="36"/>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10"/>
    </row>
    <row r="8" spans="2:41" ht="15" customHeight="1">
      <c r="B8" s="8"/>
      <c r="C8" s="1"/>
      <c r="D8" s="1"/>
      <c r="E8" s="1"/>
      <c r="F8" s="1"/>
      <c r="G8" s="1"/>
      <c r="H8" s="195"/>
      <c r="I8" s="404" t="s">
        <v>6</v>
      </c>
      <c r="J8" s="404"/>
      <c r="K8" s="404"/>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0"/>
    </row>
    <row r="9" spans="2:41" ht="11.25" customHeight="1">
      <c r="B9" s="8"/>
      <c r="D9" s="33"/>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10"/>
    </row>
    <row r="10" spans="2:41" s="295" customFormat="1" ht="9" customHeight="1">
      <c r="B10" s="222"/>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10"/>
    </row>
    <row r="11" spans="2:41" s="295" customFormat="1" ht="38.25" customHeight="1">
      <c r="B11" s="222"/>
      <c r="C11" s="439" t="s">
        <v>10</v>
      </c>
      <c r="D11" s="439"/>
      <c r="E11" s="439"/>
      <c r="F11" s="439"/>
      <c r="G11" s="439"/>
      <c r="H11" s="439"/>
      <c r="I11" s="439"/>
      <c r="J11" s="439"/>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10"/>
    </row>
    <row r="12" spans="2:41">
      <c r="B12" s="8"/>
      <c r="C12" s="50"/>
      <c r="D12" s="50"/>
      <c r="E12" s="50"/>
      <c r="F12" s="50"/>
      <c r="G12" s="50"/>
      <c r="H12" s="50"/>
      <c r="I12" s="50"/>
      <c r="J12" s="5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10"/>
    </row>
    <row r="13" spans="2:41">
      <c r="B13" s="8"/>
      <c r="C13" s="447" t="s">
        <v>18</v>
      </c>
      <c r="D13" s="447"/>
      <c r="E13" s="447"/>
      <c r="F13" s="447"/>
      <c r="G13" s="447"/>
      <c r="H13" s="447"/>
      <c r="I13" s="447"/>
      <c r="J13" s="447"/>
      <c r="K13" s="447"/>
      <c r="L13" s="447"/>
      <c r="M13" s="447"/>
      <c r="N13" s="447"/>
      <c r="O13" s="447"/>
      <c r="P13" s="447"/>
      <c r="Q13" s="447"/>
      <c r="R13" s="447"/>
      <c r="S13" s="447"/>
      <c r="T13" s="447"/>
      <c r="U13" s="447"/>
      <c r="V13" s="447"/>
      <c r="W13" s="447"/>
      <c r="X13" s="447"/>
      <c r="Y13" s="447"/>
      <c r="Z13" s="447"/>
      <c r="AA13" s="447"/>
      <c r="AB13" s="447"/>
      <c r="AC13" s="447"/>
      <c r="AD13" s="447"/>
      <c r="AE13" s="447"/>
      <c r="AF13" s="447"/>
      <c r="AG13" s="447"/>
      <c r="AH13" s="447"/>
      <c r="AI13" s="447"/>
      <c r="AJ13" s="447"/>
      <c r="AK13" s="447"/>
      <c r="AL13" s="447"/>
      <c r="AM13" s="447"/>
      <c r="AN13" s="447"/>
      <c r="AO13" s="10"/>
    </row>
    <row r="14" spans="2:41" s="34" customFormat="1" ht="15" customHeight="1" outlineLevel="1">
      <c r="B14" s="8"/>
      <c r="C14" s="188" t="s">
        <v>19</v>
      </c>
      <c r="D14" s="448" t="s">
        <v>32</v>
      </c>
      <c r="E14" s="449"/>
      <c r="F14" s="449"/>
      <c r="G14" s="450"/>
      <c r="H14" s="330"/>
      <c r="I14" s="269" t="s">
        <v>129</v>
      </c>
      <c r="J14" s="189"/>
      <c r="K14" s="189"/>
      <c r="L14" s="189"/>
      <c r="M14" s="189"/>
      <c r="N14" s="189"/>
      <c r="O14" s="189"/>
      <c r="P14" s="189"/>
      <c r="Q14" s="189"/>
      <c r="R14" s="189"/>
      <c r="S14" s="189"/>
      <c r="T14" s="189"/>
      <c r="U14" s="189"/>
      <c r="V14" s="189"/>
      <c r="W14" s="189"/>
      <c r="X14" s="189"/>
      <c r="Y14" s="189"/>
      <c r="Z14" s="189"/>
      <c r="AA14" s="189"/>
      <c r="AB14" s="189"/>
      <c r="AC14" s="189"/>
      <c r="AD14" s="189"/>
      <c r="AE14" s="189"/>
      <c r="AF14" s="189"/>
      <c r="AG14" s="189"/>
      <c r="AH14" s="189"/>
      <c r="AI14" s="189"/>
      <c r="AJ14" s="189"/>
      <c r="AK14" s="189"/>
      <c r="AL14" s="189"/>
      <c r="AM14" s="189"/>
      <c r="AN14" s="224"/>
      <c r="AO14" s="10"/>
    </row>
    <row r="15" spans="2:41" s="34" customFormat="1" outlineLevel="1">
      <c r="B15" s="8"/>
      <c r="C15" s="46">
        <v>1</v>
      </c>
      <c r="D15" s="441" t="s">
        <v>131</v>
      </c>
      <c r="E15" s="442"/>
      <c r="F15" s="442"/>
      <c r="G15" s="443"/>
      <c r="H15" s="397">
        <v>1000</v>
      </c>
      <c r="I15" s="270"/>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24"/>
      <c r="AO15" s="10"/>
    </row>
    <row r="16" spans="2:41" s="34" customFormat="1" ht="16.5" customHeight="1" outlineLevel="1">
      <c r="B16" s="8"/>
      <c r="C16" s="46">
        <v>2</v>
      </c>
      <c r="D16" s="441" t="s">
        <v>151</v>
      </c>
      <c r="E16" s="442"/>
      <c r="F16" s="442"/>
      <c r="G16" s="443"/>
      <c r="H16" s="397">
        <v>150</v>
      </c>
      <c r="I16" s="271">
        <f>H16/H15</f>
        <v>0.15</v>
      </c>
      <c r="J16" s="215"/>
      <c r="K16" s="215"/>
      <c r="L16" s="215"/>
      <c r="M16" s="215"/>
      <c r="N16" s="215"/>
      <c r="O16" s="215"/>
      <c r="P16" s="215"/>
      <c r="Q16" s="215"/>
      <c r="R16" s="215"/>
      <c r="S16" s="215"/>
      <c r="T16" s="215"/>
      <c r="U16" s="215"/>
      <c r="V16" s="215"/>
      <c r="W16" s="215"/>
      <c r="X16" s="215"/>
      <c r="Y16" s="215"/>
      <c r="Z16" s="215"/>
      <c r="AA16" s="215"/>
      <c r="AB16" s="215"/>
      <c r="AC16" s="215"/>
      <c r="AD16" s="215"/>
      <c r="AE16" s="215"/>
      <c r="AF16" s="215"/>
      <c r="AG16" s="215"/>
      <c r="AH16" s="215"/>
      <c r="AI16" s="215"/>
      <c r="AJ16" s="215"/>
      <c r="AK16" s="215"/>
      <c r="AL16" s="215"/>
      <c r="AM16" s="215"/>
      <c r="AN16" s="224"/>
      <c r="AO16" s="10"/>
    </row>
    <row r="17" spans="2:41" s="34" customFormat="1" ht="15" customHeight="1" outlineLevel="1">
      <c r="B17" s="8"/>
      <c r="C17" s="46">
        <v>3</v>
      </c>
      <c r="D17" s="444" t="s">
        <v>170</v>
      </c>
      <c r="E17" s="445"/>
      <c r="F17" s="445"/>
      <c r="G17" s="446"/>
      <c r="H17" s="393">
        <v>90</v>
      </c>
      <c r="I17" s="271">
        <f>H17/H16</f>
        <v>0.6</v>
      </c>
      <c r="J17" s="56"/>
      <c r="K17" s="215"/>
      <c r="L17" s="215"/>
      <c r="M17" s="215"/>
      <c r="N17" s="215"/>
      <c r="O17" s="215"/>
      <c r="P17" s="215"/>
      <c r="Q17" s="215"/>
      <c r="R17" s="215"/>
      <c r="S17" s="215"/>
      <c r="T17" s="215"/>
      <c r="U17" s="215"/>
      <c r="V17" s="215"/>
      <c r="W17" s="215"/>
      <c r="X17" s="215"/>
      <c r="Y17" s="215"/>
      <c r="Z17" s="215"/>
      <c r="AA17" s="215"/>
      <c r="AB17" s="215"/>
      <c r="AC17" s="215"/>
      <c r="AD17" s="215"/>
      <c r="AE17" s="215"/>
      <c r="AF17" s="215"/>
      <c r="AG17" s="215"/>
      <c r="AH17" s="215"/>
      <c r="AI17" s="215"/>
      <c r="AJ17" s="215"/>
      <c r="AK17" s="215"/>
      <c r="AL17" s="215"/>
      <c r="AM17" s="215"/>
      <c r="AN17" s="224"/>
      <c r="AO17" s="10"/>
    </row>
    <row r="18" spans="2:41" s="34" customFormat="1" ht="15" customHeight="1" outlineLevel="1">
      <c r="B18" s="8"/>
      <c r="C18" s="46">
        <v>4</v>
      </c>
      <c r="D18" s="441" t="s">
        <v>155</v>
      </c>
      <c r="E18" s="442"/>
      <c r="F18" s="442"/>
      <c r="G18" s="443"/>
      <c r="H18" s="393">
        <v>70</v>
      </c>
      <c r="I18" s="271">
        <f>H18/H17</f>
        <v>0.77777777777777779</v>
      </c>
      <c r="J18" s="56"/>
      <c r="K18" s="215"/>
      <c r="L18" s="215"/>
      <c r="M18" s="215"/>
      <c r="N18" s="215"/>
      <c r="O18" s="215"/>
      <c r="P18" s="215"/>
      <c r="Q18" s="215"/>
      <c r="R18" s="215"/>
      <c r="S18" s="215"/>
      <c r="T18" s="215"/>
      <c r="U18" s="215"/>
      <c r="V18" s="215"/>
      <c r="W18" s="215"/>
      <c r="X18" s="215"/>
      <c r="Y18" s="215"/>
      <c r="Z18" s="215"/>
      <c r="AA18" s="215"/>
      <c r="AB18" s="215"/>
      <c r="AC18" s="215"/>
      <c r="AD18" s="215"/>
      <c r="AE18" s="215"/>
      <c r="AF18" s="215"/>
      <c r="AG18" s="215"/>
      <c r="AH18" s="215"/>
      <c r="AI18" s="215"/>
      <c r="AJ18" s="215"/>
      <c r="AK18" s="215"/>
      <c r="AL18" s="215"/>
      <c r="AM18" s="215"/>
      <c r="AN18" s="224"/>
      <c r="AO18" s="10"/>
    </row>
    <row r="19" spans="2:41" s="34" customFormat="1" ht="15" customHeight="1" outlineLevel="1">
      <c r="B19" s="8"/>
      <c r="C19" s="46">
        <v>5</v>
      </c>
      <c r="D19" s="444" t="s">
        <v>20</v>
      </c>
      <c r="E19" s="445"/>
      <c r="F19" s="445"/>
      <c r="G19" s="446"/>
      <c r="H19" s="393">
        <v>40</v>
      </c>
      <c r="I19" s="271">
        <f>H19/H18</f>
        <v>0.5714285714285714</v>
      </c>
      <c r="J19" s="56"/>
      <c r="K19" s="215"/>
      <c r="L19" s="215"/>
      <c r="M19" s="215"/>
      <c r="N19" s="215"/>
      <c r="O19" s="215"/>
      <c r="P19" s="215"/>
      <c r="Q19" s="215"/>
      <c r="R19" s="215"/>
      <c r="S19" s="215"/>
      <c r="T19" s="215"/>
      <c r="U19" s="215"/>
      <c r="V19" s="215"/>
      <c r="W19" s="215"/>
      <c r="X19" s="215"/>
      <c r="Y19" s="215"/>
      <c r="Z19" s="215"/>
      <c r="AA19" s="215"/>
      <c r="AB19" s="215"/>
      <c r="AC19" s="215"/>
      <c r="AD19" s="215"/>
      <c r="AE19" s="215"/>
      <c r="AF19" s="215"/>
      <c r="AG19" s="215"/>
      <c r="AH19" s="215"/>
      <c r="AI19" s="215"/>
      <c r="AJ19" s="215"/>
      <c r="AK19" s="215"/>
      <c r="AL19" s="215"/>
      <c r="AM19" s="215"/>
      <c r="AN19" s="224"/>
      <c r="AO19" s="10"/>
    </row>
    <row r="20" spans="2:41" s="34" customFormat="1">
      <c r="B20" s="8"/>
      <c r="C20" s="190" t="s">
        <v>24</v>
      </c>
      <c r="D20" s="191"/>
      <c r="E20" s="191"/>
      <c r="F20" s="191"/>
      <c r="G20" s="191"/>
      <c r="H20" s="191"/>
      <c r="I20" s="191"/>
      <c r="J20" s="191"/>
      <c r="K20" s="191"/>
      <c r="L20" s="191"/>
      <c r="M20" s="191"/>
      <c r="N20" s="191"/>
      <c r="O20" s="191"/>
      <c r="P20" s="191"/>
      <c r="Q20" s="191"/>
      <c r="R20" s="191"/>
      <c r="S20" s="191"/>
      <c r="T20" s="191"/>
      <c r="U20" s="191"/>
      <c r="V20" s="191"/>
      <c r="W20" s="191"/>
      <c r="X20" s="191"/>
      <c r="Y20" s="191"/>
      <c r="Z20" s="191"/>
      <c r="AA20" s="191"/>
      <c r="AB20" s="191"/>
      <c r="AC20" s="191"/>
      <c r="AD20" s="191"/>
      <c r="AE20" s="191"/>
      <c r="AF20" s="191"/>
      <c r="AG20" s="191"/>
      <c r="AH20" s="191"/>
      <c r="AI20" s="191"/>
      <c r="AJ20" s="191"/>
      <c r="AK20" s="191"/>
      <c r="AL20" s="191"/>
      <c r="AM20" s="191"/>
      <c r="AN20" s="192"/>
      <c r="AO20" s="10"/>
    </row>
    <row r="21" spans="2:41">
      <c r="B21" s="8"/>
      <c r="C21" s="194" t="s">
        <v>88</v>
      </c>
      <c r="D21" s="207"/>
      <c r="E21" s="187" t="s">
        <v>76</v>
      </c>
      <c r="F21" s="187" t="s">
        <v>77</v>
      </c>
      <c r="G21" s="187" t="s">
        <v>78</v>
      </c>
      <c r="H21" s="187" t="s">
        <v>79</v>
      </c>
      <c r="I21" s="187" t="s">
        <v>80</v>
      </c>
      <c r="J21" s="187" t="s">
        <v>81</v>
      </c>
      <c r="K21" s="187" t="s">
        <v>82</v>
      </c>
      <c r="L21" s="187" t="s">
        <v>83</v>
      </c>
      <c r="M21" s="187" t="s">
        <v>84</v>
      </c>
      <c r="N21" s="187" t="s">
        <v>85</v>
      </c>
      <c r="O21" s="187" t="s">
        <v>86</v>
      </c>
      <c r="P21" s="187" t="s">
        <v>87</v>
      </c>
      <c r="Q21" s="187" t="s">
        <v>76</v>
      </c>
      <c r="R21" s="187" t="s">
        <v>77</v>
      </c>
      <c r="S21" s="187" t="s">
        <v>78</v>
      </c>
      <c r="T21" s="187" t="s">
        <v>79</v>
      </c>
      <c r="U21" s="187" t="s">
        <v>80</v>
      </c>
      <c r="V21" s="187" t="s">
        <v>81</v>
      </c>
      <c r="W21" s="187" t="s">
        <v>82</v>
      </c>
      <c r="X21" s="187" t="s">
        <v>83</v>
      </c>
      <c r="Y21" s="187" t="s">
        <v>84</v>
      </c>
      <c r="Z21" s="187" t="s">
        <v>85</v>
      </c>
      <c r="AA21" s="187" t="s">
        <v>86</v>
      </c>
      <c r="AB21" s="187" t="s">
        <v>87</v>
      </c>
      <c r="AC21" s="187" t="s">
        <v>76</v>
      </c>
      <c r="AD21" s="187" t="s">
        <v>77</v>
      </c>
      <c r="AE21" s="187" t="s">
        <v>78</v>
      </c>
      <c r="AF21" s="187" t="s">
        <v>79</v>
      </c>
      <c r="AG21" s="187" t="s">
        <v>80</v>
      </c>
      <c r="AH21" s="187" t="s">
        <v>81</v>
      </c>
      <c r="AI21" s="187" t="s">
        <v>82</v>
      </c>
      <c r="AJ21" s="187" t="s">
        <v>83</v>
      </c>
      <c r="AK21" s="187" t="s">
        <v>84</v>
      </c>
      <c r="AL21" s="187" t="s">
        <v>85</v>
      </c>
      <c r="AM21" s="187" t="s">
        <v>86</v>
      </c>
      <c r="AN21" s="187" t="s">
        <v>87</v>
      </c>
      <c r="AO21" s="10"/>
    </row>
    <row r="22" spans="2:41" s="88" customFormat="1">
      <c r="B22" s="8"/>
      <c r="C22" s="90" t="s">
        <v>46</v>
      </c>
      <c r="D22" s="384">
        <v>1</v>
      </c>
      <c r="E22" s="212">
        <v>0.6</v>
      </c>
      <c r="F22" s="212">
        <v>0.6</v>
      </c>
      <c r="G22" s="212">
        <v>0.7</v>
      </c>
      <c r="H22" s="212">
        <v>0.8</v>
      </c>
      <c r="I22" s="212">
        <v>0.85</v>
      </c>
      <c r="J22" s="212">
        <v>1</v>
      </c>
      <c r="K22" s="212">
        <v>1</v>
      </c>
      <c r="L22" s="212">
        <v>1</v>
      </c>
      <c r="M22" s="212">
        <v>0.8</v>
      </c>
      <c r="N22" s="212">
        <v>0.75</v>
      </c>
      <c r="O22" s="212">
        <v>0.75</v>
      </c>
      <c r="P22" s="212">
        <v>0.75</v>
      </c>
      <c r="Q22" s="212">
        <v>0.6</v>
      </c>
      <c r="R22" s="212">
        <v>0.6</v>
      </c>
      <c r="S22" s="212">
        <v>0.7</v>
      </c>
      <c r="T22" s="212">
        <v>0.8</v>
      </c>
      <c r="U22" s="212">
        <v>0.85</v>
      </c>
      <c r="V22" s="212">
        <v>1</v>
      </c>
      <c r="W22" s="212">
        <v>1</v>
      </c>
      <c r="X22" s="212">
        <v>1</v>
      </c>
      <c r="Y22" s="212">
        <v>0.8</v>
      </c>
      <c r="Z22" s="212">
        <v>0.75</v>
      </c>
      <c r="AA22" s="212">
        <v>0.75</v>
      </c>
      <c r="AB22" s="212">
        <v>0.75</v>
      </c>
      <c r="AC22" s="212">
        <v>0.6</v>
      </c>
      <c r="AD22" s="212">
        <v>0.6</v>
      </c>
      <c r="AE22" s="212">
        <v>0.7</v>
      </c>
      <c r="AF22" s="212">
        <v>0.8</v>
      </c>
      <c r="AG22" s="212">
        <v>0.85</v>
      </c>
      <c r="AH22" s="212">
        <v>1</v>
      </c>
      <c r="AI22" s="212">
        <v>1</v>
      </c>
      <c r="AJ22" s="212">
        <v>1</v>
      </c>
      <c r="AK22" s="212">
        <v>0.8</v>
      </c>
      <c r="AL22" s="212">
        <v>0.75</v>
      </c>
      <c r="AM22" s="212">
        <v>0.75</v>
      </c>
      <c r="AN22" s="212">
        <v>0.75</v>
      </c>
      <c r="AO22" s="10"/>
    </row>
    <row r="23" spans="2:41" s="350" customFormat="1">
      <c r="B23" s="222"/>
      <c r="C23" s="90" t="s">
        <v>183</v>
      </c>
      <c r="D23" s="384"/>
      <c r="E23" s="491">
        <v>31</v>
      </c>
      <c r="F23" s="491">
        <v>28</v>
      </c>
      <c r="G23" s="491">
        <v>31</v>
      </c>
      <c r="H23" s="491">
        <v>30</v>
      </c>
      <c r="I23" s="491">
        <v>31</v>
      </c>
      <c r="J23" s="491">
        <v>30</v>
      </c>
      <c r="K23" s="491">
        <v>31</v>
      </c>
      <c r="L23" s="491">
        <v>31</v>
      </c>
      <c r="M23" s="491">
        <v>30</v>
      </c>
      <c r="N23" s="491">
        <v>31</v>
      </c>
      <c r="O23" s="491">
        <v>30</v>
      </c>
      <c r="P23" s="491">
        <v>31</v>
      </c>
      <c r="Q23" s="491">
        <v>31</v>
      </c>
      <c r="R23" s="491">
        <v>28</v>
      </c>
      <c r="S23" s="491">
        <v>31</v>
      </c>
      <c r="T23" s="491">
        <v>30</v>
      </c>
      <c r="U23" s="491">
        <v>31</v>
      </c>
      <c r="V23" s="491">
        <v>30</v>
      </c>
      <c r="W23" s="491">
        <v>31</v>
      </c>
      <c r="X23" s="491">
        <v>31</v>
      </c>
      <c r="Y23" s="491">
        <v>30</v>
      </c>
      <c r="Z23" s="491">
        <v>31</v>
      </c>
      <c r="AA23" s="491">
        <v>30</v>
      </c>
      <c r="AB23" s="491">
        <v>31</v>
      </c>
      <c r="AC23" s="491">
        <v>31</v>
      </c>
      <c r="AD23" s="491">
        <v>28</v>
      </c>
      <c r="AE23" s="491">
        <v>31</v>
      </c>
      <c r="AF23" s="491">
        <v>30</v>
      </c>
      <c r="AG23" s="491">
        <v>31</v>
      </c>
      <c r="AH23" s="491">
        <v>30</v>
      </c>
      <c r="AI23" s="491">
        <v>31</v>
      </c>
      <c r="AJ23" s="491">
        <v>31</v>
      </c>
      <c r="AK23" s="491">
        <v>30</v>
      </c>
      <c r="AL23" s="491">
        <v>31</v>
      </c>
      <c r="AM23" s="491">
        <v>30</v>
      </c>
      <c r="AN23" s="491">
        <v>31</v>
      </c>
      <c r="AO23" s="10"/>
    </row>
    <row r="24" spans="2:41" s="211" customFormat="1">
      <c r="B24" s="8"/>
      <c r="C24" s="332" t="s">
        <v>169</v>
      </c>
      <c r="D24" s="333"/>
      <c r="E24" s="334"/>
      <c r="F24" s="334"/>
      <c r="G24" s="334"/>
      <c r="H24" s="334"/>
      <c r="I24" s="334"/>
      <c r="J24" s="334"/>
      <c r="K24" s="334"/>
      <c r="L24" s="334"/>
      <c r="M24" s="334"/>
      <c r="N24" s="334"/>
      <c r="O24" s="334"/>
      <c r="P24" s="334"/>
      <c r="Q24" s="334"/>
      <c r="R24" s="334"/>
      <c r="S24" s="334"/>
      <c r="T24" s="334"/>
      <c r="U24" s="334"/>
      <c r="V24" s="334"/>
      <c r="W24" s="334"/>
      <c r="X24" s="334"/>
      <c r="Y24" s="334"/>
      <c r="Z24" s="334"/>
      <c r="AA24" s="334"/>
      <c r="AB24" s="334"/>
      <c r="AC24" s="334"/>
      <c r="AD24" s="334"/>
      <c r="AE24" s="334"/>
      <c r="AF24" s="334"/>
      <c r="AG24" s="334"/>
      <c r="AH24" s="334"/>
      <c r="AI24" s="334"/>
      <c r="AJ24" s="334"/>
      <c r="AK24" s="334"/>
      <c r="AL24" s="334"/>
      <c r="AM24" s="334"/>
      <c r="AN24" s="334"/>
      <c r="AO24" s="10"/>
    </row>
    <row r="25" spans="2:41" s="211" customFormat="1">
      <c r="B25" s="8"/>
      <c r="C25" s="196" t="s">
        <v>89</v>
      </c>
      <c r="D25" s="395">
        <v>0.9</v>
      </c>
      <c r="E25" s="187"/>
      <c r="F25" s="187"/>
      <c r="G25" s="187"/>
      <c r="H25" s="187"/>
      <c r="I25" s="187"/>
      <c r="J25" s="187"/>
      <c r="K25" s="187"/>
      <c r="L25" s="187"/>
      <c r="M25" s="187"/>
      <c r="N25" s="187"/>
      <c r="O25" s="187"/>
      <c r="P25" s="187"/>
      <c r="Q25" s="187"/>
      <c r="R25" s="187"/>
      <c r="S25" s="187"/>
      <c r="T25" s="187"/>
      <c r="U25" s="187"/>
      <c r="V25" s="187"/>
      <c r="W25" s="187"/>
      <c r="X25" s="187"/>
      <c r="Y25" s="187"/>
      <c r="Z25" s="187"/>
      <c r="AA25" s="187"/>
      <c r="AB25" s="187"/>
      <c r="AC25" s="187"/>
      <c r="AD25" s="187"/>
      <c r="AE25" s="187"/>
      <c r="AF25" s="187"/>
      <c r="AG25" s="187"/>
      <c r="AH25" s="187"/>
      <c r="AI25" s="187"/>
      <c r="AJ25" s="187"/>
      <c r="AK25" s="187"/>
      <c r="AL25" s="187"/>
      <c r="AM25" s="187"/>
      <c r="AN25" s="187"/>
      <c r="AO25" s="10"/>
    </row>
    <row r="26" spans="2:41" s="211" customFormat="1">
      <c r="B26" s="8"/>
      <c r="C26" s="196" t="s">
        <v>182</v>
      </c>
      <c r="D26" s="396">
        <v>1666</v>
      </c>
      <c r="E26" s="187"/>
      <c r="F26" s="187"/>
      <c r="G26" s="187"/>
      <c r="H26" s="187"/>
      <c r="I26" s="187"/>
      <c r="J26" s="187"/>
      <c r="K26" s="187"/>
      <c r="L26" s="187"/>
      <c r="M26" s="187"/>
      <c r="N26" s="187"/>
      <c r="O26" s="187"/>
      <c r="P26" s="187"/>
      <c r="Q26" s="187"/>
      <c r="R26" s="187"/>
      <c r="S26" s="187"/>
      <c r="T26" s="187"/>
      <c r="U26" s="187"/>
      <c r="V26" s="187"/>
      <c r="W26" s="187"/>
      <c r="X26" s="187"/>
      <c r="Y26" s="187"/>
      <c r="Z26" s="187"/>
      <c r="AA26" s="187"/>
      <c r="AB26" s="187"/>
      <c r="AC26" s="187"/>
      <c r="AD26" s="187"/>
      <c r="AE26" s="187"/>
      <c r="AF26" s="187"/>
      <c r="AG26" s="187"/>
      <c r="AH26" s="187"/>
      <c r="AI26" s="187"/>
      <c r="AJ26" s="187"/>
      <c r="AK26" s="187"/>
      <c r="AL26" s="187"/>
      <c r="AM26" s="187"/>
      <c r="AN26" s="187"/>
      <c r="AO26" s="10"/>
    </row>
    <row r="27" spans="2:41" s="350" customFormat="1">
      <c r="B27" s="222"/>
      <c r="C27" s="196" t="s">
        <v>181</v>
      </c>
      <c r="D27" s="361">
        <v>3</v>
      </c>
      <c r="E27" s="357">
        <f>'Инвестиции на орг-цию бизнеса'!$D$25</f>
        <v>3</v>
      </c>
      <c r="F27" s="357">
        <f>'Инвестиции на орг-цию бизнеса'!$D$25</f>
        <v>3</v>
      </c>
      <c r="G27" s="357">
        <f>'Инвестиции на орг-цию бизнеса'!$D$25</f>
        <v>3</v>
      </c>
      <c r="H27" s="357">
        <f>'Инвестиции на орг-цию бизнеса'!$D$25</f>
        <v>3</v>
      </c>
      <c r="I27" s="357">
        <f>'Инвестиции на орг-цию бизнеса'!$D$25</f>
        <v>3</v>
      </c>
      <c r="J27" s="357">
        <f>'Инвестиции на орг-цию бизнеса'!$D$25</f>
        <v>3</v>
      </c>
      <c r="K27" s="357">
        <f>'Инвестиции на орг-цию бизнеса'!$D$25</f>
        <v>3</v>
      </c>
      <c r="L27" s="357">
        <f>'Инвестиции на орг-цию бизнеса'!$D$25</f>
        <v>3</v>
      </c>
      <c r="M27" s="357">
        <f>'Инвестиции на орг-цию бизнеса'!$D$25</f>
        <v>3</v>
      </c>
      <c r="N27" s="357">
        <f>'Инвестиции на орг-цию бизнеса'!$D$25</f>
        <v>3</v>
      </c>
      <c r="O27" s="357">
        <f>'Инвестиции на орг-цию бизнеса'!$D$25</f>
        <v>3</v>
      </c>
      <c r="P27" s="357">
        <f>'Инвестиции на орг-цию бизнеса'!$D$25</f>
        <v>3</v>
      </c>
      <c r="Q27" s="357">
        <f>'Инвестиции на орг-цию бизнеса'!$D$25</f>
        <v>3</v>
      </c>
      <c r="R27" s="357">
        <f>'Инвестиции на орг-цию бизнеса'!$D$25</f>
        <v>3</v>
      </c>
      <c r="S27" s="357">
        <f>'Инвестиции на орг-цию бизнеса'!$D$25+'Ежемесячные затраты'!$E$32</f>
        <v>5</v>
      </c>
      <c r="T27" s="357">
        <f>'Инвестиции на орг-цию бизнеса'!$D$25+'Ежемесячные затраты'!$E$32</f>
        <v>5</v>
      </c>
      <c r="U27" s="357">
        <f>'Инвестиции на орг-цию бизнеса'!$D$25+'Ежемесячные затраты'!$E$32</f>
        <v>5</v>
      </c>
      <c r="V27" s="357">
        <f>'Инвестиции на орг-цию бизнеса'!$D$25+'Ежемесячные затраты'!$E$32</f>
        <v>5</v>
      </c>
      <c r="W27" s="357">
        <f>'Инвестиции на орг-цию бизнеса'!$D$25+'Ежемесячные затраты'!$E$32</f>
        <v>5</v>
      </c>
      <c r="X27" s="357">
        <f>'Инвестиции на орг-цию бизнеса'!$D$25+'Ежемесячные затраты'!$E$32</f>
        <v>5</v>
      </c>
      <c r="Y27" s="357">
        <f>'Инвестиции на орг-цию бизнеса'!$D$25+'Ежемесячные затраты'!$E$32</f>
        <v>5</v>
      </c>
      <c r="Z27" s="357">
        <f>'Инвестиции на орг-цию бизнеса'!$D$25+'Ежемесячные затраты'!$E$32</f>
        <v>5</v>
      </c>
      <c r="AA27" s="357">
        <f>'Инвестиции на орг-цию бизнеса'!$D$25+'Ежемесячные затраты'!$E$32</f>
        <v>5</v>
      </c>
      <c r="AB27" s="357">
        <f>'Инвестиции на орг-цию бизнеса'!$D$25+'Ежемесячные затраты'!$E$32</f>
        <v>5</v>
      </c>
      <c r="AC27" s="357">
        <f>'Инвестиции на орг-цию бизнеса'!$D$25+'Ежемесячные затраты'!$E$32</f>
        <v>5</v>
      </c>
      <c r="AD27" s="357">
        <f>'Инвестиции на орг-цию бизнеса'!$D$25+'Ежемесячные затраты'!$E$32</f>
        <v>5</v>
      </c>
      <c r="AE27" s="357">
        <f>'Инвестиции на орг-цию бизнеса'!$D$25+'Ежемесячные затраты'!$E$32</f>
        <v>5</v>
      </c>
      <c r="AF27" s="357">
        <f>'Инвестиции на орг-цию бизнеса'!$D$25+'Ежемесячные затраты'!$E$32</f>
        <v>5</v>
      </c>
      <c r="AG27" s="357">
        <f>'Инвестиции на орг-цию бизнеса'!$D$25+'Ежемесячные затраты'!$E$32</f>
        <v>5</v>
      </c>
      <c r="AH27" s="357">
        <f>'Инвестиции на орг-цию бизнеса'!$D$25+'Ежемесячные затраты'!$E$32+'Ежемесячные затраты'!$E$33</f>
        <v>7</v>
      </c>
      <c r="AI27" s="357">
        <f>'Инвестиции на орг-цию бизнеса'!$D$25+'Ежемесячные затраты'!$E$32+'Ежемесячные затраты'!$E$33</f>
        <v>7</v>
      </c>
      <c r="AJ27" s="357">
        <f>'Инвестиции на орг-цию бизнеса'!$D$25+'Ежемесячные затраты'!$E$32+'Ежемесячные затраты'!$E$33</f>
        <v>7</v>
      </c>
      <c r="AK27" s="357">
        <f>'Инвестиции на орг-цию бизнеса'!$D$25+'Ежемесячные затраты'!$E$32+'Ежемесячные затраты'!$E$33</f>
        <v>7</v>
      </c>
      <c r="AL27" s="357">
        <f>'Инвестиции на орг-цию бизнеса'!$D$25+'Ежемесячные затраты'!$E$32+'Ежемесячные затраты'!$E$33</f>
        <v>7</v>
      </c>
      <c r="AM27" s="357">
        <f>'Инвестиции на орг-цию бизнеса'!$D$25+'Ежемесячные затраты'!$E$32+'Ежемесячные затраты'!$E$33</f>
        <v>7</v>
      </c>
      <c r="AN27" s="357">
        <f>'Инвестиции на орг-цию бизнеса'!$D$25+'Ежемесячные затраты'!$E$32+'Ежемесячные затраты'!$E$33</f>
        <v>7</v>
      </c>
      <c r="AO27" s="10"/>
    </row>
    <row r="28" spans="2:41" s="211" customFormat="1">
      <c r="B28" s="8"/>
      <c r="C28" s="196" t="s">
        <v>91</v>
      </c>
      <c r="D28" s="214">
        <f t="shared" ref="D28" si="0">$D$34*$D$25*D22</f>
        <v>135000</v>
      </c>
      <c r="E28" s="208">
        <f>E27*$D$26*E23*E22</f>
        <v>92962.8</v>
      </c>
      <c r="F28" s="208">
        <f t="shared" ref="F28:AN28" si="1">F27*$D$26*F23*F22</f>
        <v>83966.399999999994</v>
      </c>
      <c r="G28" s="208">
        <f t="shared" si="1"/>
        <v>108456.59999999999</v>
      </c>
      <c r="H28" s="208">
        <f t="shared" si="1"/>
        <v>119952</v>
      </c>
      <c r="I28" s="208">
        <f t="shared" si="1"/>
        <v>131697.29999999999</v>
      </c>
      <c r="J28" s="208">
        <f t="shared" si="1"/>
        <v>149940</v>
      </c>
      <c r="K28" s="208">
        <f t="shared" si="1"/>
        <v>154938</v>
      </c>
      <c r="L28" s="208">
        <f t="shared" si="1"/>
        <v>154938</v>
      </c>
      <c r="M28" s="208">
        <f t="shared" si="1"/>
        <v>119952</v>
      </c>
      <c r="N28" s="208">
        <f t="shared" si="1"/>
        <v>116203.5</v>
      </c>
      <c r="O28" s="208">
        <f t="shared" si="1"/>
        <v>112455</v>
      </c>
      <c r="P28" s="208">
        <f t="shared" si="1"/>
        <v>116203.5</v>
      </c>
      <c r="Q28" s="208">
        <f t="shared" si="1"/>
        <v>92962.8</v>
      </c>
      <c r="R28" s="208">
        <f t="shared" si="1"/>
        <v>83966.399999999994</v>
      </c>
      <c r="S28" s="208">
        <f t="shared" si="1"/>
        <v>180761</v>
      </c>
      <c r="T28" s="208">
        <f t="shared" si="1"/>
        <v>199920</v>
      </c>
      <c r="U28" s="208">
        <f t="shared" si="1"/>
        <v>219495.5</v>
      </c>
      <c r="V28" s="208">
        <f t="shared" si="1"/>
        <v>249900</v>
      </c>
      <c r="W28" s="208">
        <f t="shared" si="1"/>
        <v>258230</v>
      </c>
      <c r="X28" s="208">
        <f t="shared" si="1"/>
        <v>258230</v>
      </c>
      <c r="Y28" s="208">
        <f t="shared" si="1"/>
        <v>199920</v>
      </c>
      <c r="Z28" s="208">
        <f t="shared" si="1"/>
        <v>193672.5</v>
      </c>
      <c r="AA28" s="208">
        <f t="shared" si="1"/>
        <v>187425</v>
      </c>
      <c r="AB28" s="208">
        <f t="shared" si="1"/>
        <v>193672.5</v>
      </c>
      <c r="AC28" s="208">
        <f t="shared" si="1"/>
        <v>154938</v>
      </c>
      <c r="AD28" s="208">
        <f t="shared" si="1"/>
        <v>139944</v>
      </c>
      <c r="AE28" s="208">
        <f t="shared" si="1"/>
        <v>180761</v>
      </c>
      <c r="AF28" s="208">
        <f t="shared" si="1"/>
        <v>199920</v>
      </c>
      <c r="AG28" s="208">
        <f t="shared" si="1"/>
        <v>219495.5</v>
      </c>
      <c r="AH28" s="208">
        <f t="shared" si="1"/>
        <v>349860</v>
      </c>
      <c r="AI28" s="208">
        <f t="shared" si="1"/>
        <v>361522</v>
      </c>
      <c r="AJ28" s="208">
        <f t="shared" si="1"/>
        <v>361522</v>
      </c>
      <c r="AK28" s="208">
        <f t="shared" si="1"/>
        <v>279888</v>
      </c>
      <c r="AL28" s="208">
        <f t="shared" si="1"/>
        <v>271141.5</v>
      </c>
      <c r="AM28" s="208">
        <f t="shared" si="1"/>
        <v>262395</v>
      </c>
      <c r="AN28" s="208">
        <f t="shared" si="1"/>
        <v>271141.5</v>
      </c>
      <c r="AO28" s="10"/>
    </row>
    <row r="29" spans="2:41" s="350" customFormat="1">
      <c r="B29" s="222"/>
      <c r="C29" s="332" t="s">
        <v>171</v>
      </c>
      <c r="D29" s="333"/>
      <c r="E29" s="334"/>
      <c r="F29" s="334"/>
      <c r="G29" s="334"/>
      <c r="H29" s="334"/>
      <c r="I29" s="334"/>
      <c r="J29" s="334"/>
      <c r="K29" s="334"/>
      <c r="L29" s="334"/>
      <c r="M29" s="334"/>
      <c r="N29" s="334"/>
      <c r="O29" s="334"/>
      <c r="P29" s="334"/>
      <c r="Q29" s="334"/>
      <c r="R29" s="334"/>
      <c r="S29" s="334"/>
      <c r="T29" s="334"/>
      <c r="U29" s="334"/>
      <c r="V29" s="334"/>
      <c r="W29" s="334"/>
      <c r="X29" s="334"/>
      <c r="Y29" s="334"/>
      <c r="Z29" s="334"/>
      <c r="AA29" s="334"/>
      <c r="AB29" s="334"/>
      <c r="AC29" s="334"/>
      <c r="AD29" s="334"/>
      <c r="AE29" s="334"/>
      <c r="AF29" s="334"/>
      <c r="AG29" s="334"/>
      <c r="AH29" s="334"/>
      <c r="AI29" s="334"/>
      <c r="AJ29" s="334"/>
      <c r="AK29" s="334"/>
      <c r="AL29" s="334"/>
      <c r="AM29" s="334"/>
      <c r="AN29" s="334"/>
      <c r="AO29" s="10"/>
    </row>
    <row r="30" spans="2:41" s="350" customFormat="1">
      <c r="B30" s="222"/>
      <c r="C30" s="196" t="s">
        <v>89</v>
      </c>
      <c r="D30" s="395">
        <v>0.1</v>
      </c>
      <c r="E30" s="187"/>
      <c r="F30" s="187"/>
      <c r="G30" s="187"/>
      <c r="H30" s="187"/>
      <c r="I30" s="187"/>
      <c r="J30" s="187"/>
      <c r="K30" s="187"/>
      <c r="L30" s="187"/>
      <c r="M30" s="187"/>
      <c r="N30" s="187"/>
      <c r="O30" s="187"/>
      <c r="P30" s="187"/>
      <c r="Q30" s="187"/>
      <c r="R30" s="187"/>
      <c r="S30" s="187"/>
      <c r="T30" s="187"/>
      <c r="U30" s="187"/>
      <c r="V30" s="187"/>
      <c r="W30" s="187"/>
      <c r="X30" s="187"/>
      <c r="Y30" s="187"/>
      <c r="Z30" s="187"/>
      <c r="AA30" s="187"/>
      <c r="AB30" s="187"/>
      <c r="AC30" s="187"/>
      <c r="AD30" s="187"/>
      <c r="AE30" s="187"/>
      <c r="AF30" s="187"/>
      <c r="AG30" s="187"/>
      <c r="AH30" s="187"/>
      <c r="AI30" s="187"/>
      <c r="AJ30" s="187"/>
      <c r="AK30" s="187"/>
      <c r="AL30" s="187"/>
      <c r="AM30" s="187"/>
      <c r="AN30" s="187"/>
      <c r="AO30" s="10"/>
    </row>
    <row r="31" spans="2:41" s="350" customFormat="1">
      <c r="B31" s="222"/>
      <c r="C31" s="196" t="s">
        <v>90</v>
      </c>
      <c r="D31" s="396">
        <v>500</v>
      </c>
      <c r="E31" s="187"/>
      <c r="F31" s="187"/>
      <c r="G31" s="187"/>
      <c r="H31" s="187"/>
      <c r="I31" s="187"/>
      <c r="J31" s="187"/>
      <c r="K31" s="187"/>
      <c r="L31" s="187"/>
      <c r="M31" s="187"/>
      <c r="N31" s="187"/>
      <c r="O31" s="187"/>
      <c r="P31" s="187"/>
      <c r="Q31" s="187"/>
      <c r="R31" s="187"/>
      <c r="S31" s="187"/>
      <c r="T31" s="187"/>
      <c r="U31" s="187"/>
      <c r="V31" s="187"/>
      <c r="W31" s="187"/>
      <c r="X31" s="187"/>
      <c r="Y31" s="187"/>
      <c r="Z31" s="187"/>
      <c r="AA31" s="187"/>
      <c r="AB31" s="187"/>
      <c r="AC31" s="187"/>
      <c r="AD31" s="187"/>
      <c r="AE31" s="187"/>
      <c r="AF31" s="187"/>
      <c r="AG31" s="187"/>
      <c r="AH31" s="187"/>
      <c r="AI31" s="187"/>
      <c r="AJ31" s="187"/>
      <c r="AK31" s="187"/>
      <c r="AL31" s="187"/>
      <c r="AM31" s="187"/>
      <c r="AN31" s="187"/>
      <c r="AO31" s="10"/>
    </row>
    <row r="32" spans="2:41" s="350" customFormat="1">
      <c r="B32" s="222"/>
      <c r="C32" s="196" t="s">
        <v>181</v>
      </c>
      <c r="D32" s="361">
        <v>3</v>
      </c>
      <c r="E32" s="357">
        <f>E27</f>
        <v>3</v>
      </c>
      <c r="F32" s="357">
        <f t="shared" ref="F32:AN32" si="2">F27</f>
        <v>3</v>
      </c>
      <c r="G32" s="357">
        <f t="shared" si="2"/>
        <v>3</v>
      </c>
      <c r="H32" s="357">
        <f t="shared" si="2"/>
        <v>3</v>
      </c>
      <c r="I32" s="357">
        <f t="shared" si="2"/>
        <v>3</v>
      </c>
      <c r="J32" s="357">
        <f t="shared" si="2"/>
        <v>3</v>
      </c>
      <c r="K32" s="357">
        <f t="shared" si="2"/>
        <v>3</v>
      </c>
      <c r="L32" s="357">
        <f t="shared" si="2"/>
        <v>3</v>
      </c>
      <c r="M32" s="357">
        <f t="shared" si="2"/>
        <v>3</v>
      </c>
      <c r="N32" s="357">
        <f t="shared" si="2"/>
        <v>3</v>
      </c>
      <c r="O32" s="357">
        <f t="shared" si="2"/>
        <v>3</v>
      </c>
      <c r="P32" s="357">
        <f t="shared" si="2"/>
        <v>3</v>
      </c>
      <c r="Q32" s="357">
        <f t="shared" si="2"/>
        <v>3</v>
      </c>
      <c r="R32" s="357">
        <f t="shared" si="2"/>
        <v>3</v>
      </c>
      <c r="S32" s="357">
        <f t="shared" si="2"/>
        <v>5</v>
      </c>
      <c r="T32" s="357">
        <f t="shared" si="2"/>
        <v>5</v>
      </c>
      <c r="U32" s="357">
        <f t="shared" si="2"/>
        <v>5</v>
      </c>
      <c r="V32" s="357">
        <f t="shared" si="2"/>
        <v>5</v>
      </c>
      <c r="W32" s="357">
        <f t="shared" si="2"/>
        <v>5</v>
      </c>
      <c r="X32" s="357">
        <f t="shared" si="2"/>
        <v>5</v>
      </c>
      <c r="Y32" s="357">
        <f t="shared" si="2"/>
        <v>5</v>
      </c>
      <c r="Z32" s="357">
        <f t="shared" si="2"/>
        <v>5</v>
      </c>
      <c r="AA32" s="357">
        <f t="shared" si="2"/>
        <v>5</v>
      </c>
      <c r="AB32" s="357">
        <f t="shared" si="2"/>
        <v>5</v>
      </c>
      <c r="AC32" s="357">
        <f t="shared" si="2"/>
        <v>5</v>
      </c>
      <c r="AD32" s="357">
        <f t="shared" si="2"/>
        <v>5</v>
      </c>
      <c r="AE32" s="357">
        <f t="shared" si="2"/>
        <v>5</v>
      </c>
      <c r="AF32" s="357">
        <f t="shared" si="2"/>
        <v>5</v>
      </c>
      <c r="AG32" s="357">
        <f t="shared" si="2"/>
        <v>5</v>
      </c>
      <c r="AH32" s="357">
        <f t="shared" si="2"/>
        <v>7</v>
      </c>
      <c r="AI32" s="357">
        <f t="shared" si="2"/>
        <v>7</v>
      </c>
      <c r="AJ32" s="357">
        <f t="shared" si="2"/>
        <v>7</v>
      </c>
      <c r="AK32" s="357">
        <f t="shared" si="2"/>
        <v>7</v>
      </c>
      <c r="AL32" s="357">
        <f t="shared" si="2"/>
        <v>7</v>
      </c>
      <c r="AM32" s="357">
        <f t="shared" si="2"/>
        <v>7</v>
      </c>
      <c r="AN32" s="357">
        <f t="shared" si="2"/>
        <v>7</v>
      </c>
      <c r="AO32" s="10"/>
    </row>
    <row r="33" spans="2:41" s="350" customFormat="1">
      <c r="B33" s="222"/>
      <c r="C33" s="196" t="s">
        <v>91</v>
      </c>
      <c r="D33" s="214">
        <f t="shared" ref="D33" si="3">$D$34*$D$30*D22</f>
        <v>15000</v>
      </c>
      <c r="E33" s="208">
        <f>E32*$D$31*E23*E22</f>
        <v>27900</v>
      </c>
      <c r="F33" s="208">
        <f t="shared" ref="F33:AN33" si="4">F32*$D$31*F23*F22</f>
        <v>25200</v>
      </c>
      <c r="G33" s="208">
        <f t="shared" si="4"/>
        <v>32549.999999999996</v>
      </c>
      <c r="H33" s="208">
        <f t="shared" si="4"/>
        <v>36000</v>
      </c>
      <c r="I33" s="208">
        <f t="shared" si="4"/>
        <v>39525</v>
      </c>
      <c r="J33" s="208">
        <f t="shared" si="4"/>
        <v>45000</v>
      </c>
      <c r="K33" s="208">
        <f t="shared" si="4"/>
        <v>46500</v>
      </c>
      <c r="L33" s="208">
        <f t="shared" si="4"/>
        <v>46500</v>
      </c>
      <c r="M33" s="208">
        <f t="shared" si="4"/>
        <v>36000</v>
      </c>
      <c r="N33" s="208">
        <f t="shared" si="4"/>
        <v>34875</v>
      </c>
      <c r="O33" s="208">
        <f t="shared" si="4"/>
        <v>33750</v>
      </c>
      <c r="P33" s="208">
        <f t="shared" si="4"/>
        <v>34875</v>
      </c>
      <c r="Q33" s="208">
        <f t="shared" si="4"/>
        <v>27900</v>
      </c>
      <c r="R33" s="208">
        <f t="shared" si="4"/>
        <v>25200</v>
      </c>
      <c r="S33" s="208">
        <f t="shared" si="4"/>
        <v>54250</v>
      </c>
      <c r="T33" s="208">
        <f t="shared" si="4"/>
        <v>60000</v>
      </c>
      <c r="U33" s="208">
        <f t="shared" si="4"/>
        <v>65875</v>
      </c>
      <c r="V33" s="208">
        <f t="shared" si="4"/>
        <v>75000</v>
      </c>
      <c r="W33" s="208">
        <f t="shared" si="4"/>
        <v>77500</v>
      </c>
      <c r="X33" s="208">
        <f t="shared" si="4"/>
        <v>77500</v>
      </c>
      <c r="Y33" s="208">
        <f t="shared" si="4"/>
        <v>60000</v>
      </c>
      <c r="Z33" s="208">
        <f t="shared" si="4"/>
        <v>58125</v>
      </c>
      <c r="AA33" s="208">
        <f t="shared" si="4"/>
        <v>56250</v>
      </c>
      <c r="AB33" s="208">
        <f t="shared" si="4"/>
        <v>58125</v>
      </c>
      <c r="AC33" s="208">
        <f t="shared" si="4"/>
        <v>46500</v>
      </c>
      <c r="AD33" s="208">
        <f t="shared" si="4"/>
        <v>42000</v>
      </c>
      <c r="AE33" s="208">
        <f t="shared" si="4"/>
        <v>54250</v>
      </c>
      <c r="AF33" s="208">
        <f t="shared" si="4"/>
        <v>60000</v>
      </c>
      <c r="AG33" s="208">
        <f t="shared" si="4"/>
        <v>65875</v>
      </c>
      <c r="AH33" s="208">
        <f t="shared" si="4"/>
        <v>105000</v>
      </c>
      <c r="AI33" s="208">
        <f t="shared" si="4"/>
        <v>108500</v>
      </c>
      <c r="AJ33" s="208">
        <f t="shared" si="4"/>
        <v>108500</v>
      </c>
      <c r="AK33" s="208">
        <f t="shared" si="4"/>
        <v>84000</v>
      </c>
      <c r="AL33" s="208">
        <f t="shared" si="4"/>
        <v>81375</v>
      </c>
      <c r="AM33" s="208">
        <f t="shared" si="4"/>
        <v>78750</v>
      </c>
      <c r="AN33" s="208">
        <f t="shared" si="4"/>
        <v>81375</v>
      </c>
      <c r="AO33" s="10"/>
    </row>
    <row r="34" spans="2:41" s="206" customFormat="1">
      <c r="B34" s="203"/>
      <c r="C34" s="204" t="s">
        <v>92</v>
      </c>
      <c r="D34" s="380">
        <f>50000*'Инвестиции на орг-цию бизнеса'!D25</f>
        <v>150000</v>
      </c>
      <c r="E34" s="381">
        <f>E28+E33</f>
        <v>120862.8</v>
      </c>
      <c r="F34" s="381">
        <f t="shared" ref="F34:AN34" si="5">F28+F33</f>
        <v>109166.39999999999</v>
      </c>
      <c r="G34" s="381">
        <f t="shared" si="5"/>
        <v>141006.59999999998</v>
      </c>
      <c r="H34" s="381">
        <f t="shared" si="5"/>
        <v>155952</v>
      </c>
      <c r="I34" s="381">
        <f t="shared" si="5"/>
        <v>171222.3</v>
      </c>
      <c r="J34" s="381">
        <f t="shared" si="5"/>
        <v>194940</v>
      </c>
      <c r="K34" s="381">
        <f t="shared" si="5"/>
        <v>201438</v>
      </c>
      <c r="L34" s="381">
        <f t="shared" si="5"/>
        <v>201438</v>
      </c>
      <c r="M34" s="381">
        <f t="shared" si="5"/>
        <v>155952</v>
      </c>
      <c r="N34" s="381">
        <f t="shared" si="5"/>
        <v>151078.5</v>
      </c>
      <c r="O34" s="381">
        <f t="shared" si="5"/>
        <v>146205</v>
      </c>
      <c r="P34" s="381">
        <f t="shared" si="5"/>
        <v>151078.5</v>
      </c>
      <c r="Q34" s="381">
        <f t="shared" si="5"/>
        <v>120862.8</v>
      </c>
      <c r="R34" s="381">
        <f t="shared" si="5"/>
        <v>109166.39999999999</v>
      </c>
      <c r="S34" s="381">
        <f t="shared" si="5"/>
        <v>235011</v>
      </c>
      <c r="T34" s="381">
        <f t="shared" si="5"/>
        <v>259920</v>
      </c>
      <c r="U34" s="381">
        <f t="shared" si="5"/>
        <v>285370.5</v>
      </c>
      <c r="V34" s="381">
        <f t="shared" si="5"/>
        <v>324900</v>
      </c>
      <c r="W34" s="381">
        <f t="shared" si="5"/>
        <v>335730</v>
      </c>
      <c r="X34" s="381">
        <f t="shared" si="5"/>
        <v>335730</v>
      </c>
      <c r="Y34" s="381">
        <f t="shared" si="5"/>
        <v>259920</v>
      </c>
      <c r="Z34" s="381">
        <f t="shared" si="5"/>
        <v>251797.5</v>
      </c>
      <c r="AA34" s="381">
        <f t="shared" si="5"/>
        <v>243675</v>
      </c>
      <c r="AB34" s="381">
        <f t="shared" si="5"/>
        <v>251797.5</v>
      </c>
      <c r="AC34" s="381">
        <f t="shared" si="5"/>
        <v>201438</v>
      </c>
      <c r="AD34" s="381">
        <f t="shared" si="5"/>
        <v>181944</v>
      </c>
      <c r="AE34" s="381">
        <f t="shared" si="5"/>
        <v>235011</v>
      </c>
      <c r="AF34" s="381">
        <f t="shared" si="5"/>
        <v>259920</v>
      </c>
      <c r="AG34" s="381">
        <f t="shared" si="5"/>
        <v>285370.5</v>
      </c>
      <c r="AH34" s="381">
        <f t="shared" si="5"/>
        <v>454860</v>
      </c>
      <c r="AI34" s="381">
        <f t="shared" si="5"/>
        <v>470022</v>
      </c>
      <c r="AJ34" s="381">
        <f t="shared" si="5"/>
        <v>470022</v>
      </c>
      <c r="AK34" s="381">
        <f t="shared" si="5"/>
        <v>363888</v>
      </c>
      <c r="AL34" s="381">
        <f t="shared" si="5"/>
        <v>352516.5</v>
      </c>
      <c r="AM34" s="381">
        <f t="shared" si="5"/>
        <v>341145</v>
      </c>
      <c r="AN34" s="381">
        <f t="shared" si="5"/>
        <v>352516.5</v>
      </c>
      <c r="AO34" s="205"/>
    </row>
    <row r="35" spans="2:41" ht="15" customHeight="1" thickBot="1">
      <c r="B35" s="13"/>
      <c r="C35" s="362"/>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5"/>
    </row>
    <row r="36" spans="2:41" ht="15" customHeight="1">
      <c r="D36" s="329"/>
      <c r="F36" s="216"/>
    </row>
    <row r="37" spans="2:41" ht="15" customHeight="1">
      <c r="C37" s="34"/>
      <c r="D37" s="331"/>
      <c r="E37" s="216"/>
      <c r="AB37" s="186"/>
      <c r="AN37" s="33"/>
    </row>
    <row r="38" spans="2:41" ht="15" customHeight="1">
      <c r="C38" s="34"/>
      <c r="D38" s="331"/>
      <c r="E38" s="350"/>
      <c r="AB38" s="186"/>
      <c r="AN38" s="33"/>
    </row>
    <row r="39" spans="2:41" ht="15" customHeight="1">
      <c r="C39" s="34"/>
      <c r="D39" s="331"/>
      <c r="E39" s="350"/>
      <c r="AB39" s="186"/>
      <c r="AN39" s="33"/>
    </row>
    <row r="40" spans="2:41" ht="15" customHeight="1">
      <c r="C40" s="34"/>
      <c r="D40" s="331"/>
      <c r="E40" s="216"/>
      <c r="AB40" s="186"/>
      <c r="AN40" s="33"/>
    </row>
    <row r="41" spans="2:41" ht="15" customHeight="1">
      <c r="C41" s="34"/>
      <c r="D41" s="331"/>
      <c r="E41" s="350"/>
      <c r="AB41" s="186"/>
      <c r="AN41" s="33"/>
    </row>
    <row r="42" spans="2:41" ht="15" customHeight="1">
      <c r="E42" s="331"/>
    </row>
    <row r="43" spans="2:41" ht="15" customHeight="1">
      <c r="E43" s="331"/>
    </row>
    <row r="44" spans="2:41" ht="15" customHeight="1">
      <c r="E44" s="331"/>
    </row>
    <row r="45" spans="2:41" ht="15" customHeight="1">
      <c r="E45" s="331"/>
    </row>
    <row r="46" spans="2:41" ht="15" customHeight="1">
      <c r="E46" s="331"/>
    </row>
    <row r="47" spans="2:41" ht="15" customHeight="1">
      <c r="D47" s="283"/>
      <c r="E47" s="331"/>
    </row>
    <row r="48" spans="2:41" ht="15" customHeight="1">
      <c r="D48" s="283"/>
    </row>
    <row r="49" spans="4:4" ht="15" customHeight="1">
      <c r="D49" s="283"/>
    </row>
  </sheetData>
  <mergeCells count="13">
    <mergeCell ref="D18:G18"/>
    <mergeCell ref="D19:G19"/>
    <mergeCell ref="D16:G16"/>
    <mergeCell ref="C13:AN13"/>
    <mergeCell ref="D14:G14"/>
    <mergeCell ref="D15:G15"/>
    <mergeCell ref="D17:G17"/>
    <mergeCell ref="C11:J11"/>
    <mergeCell ref="B3:AO3"/>
    <mergeCell ref="B4:AO4"/>
    <mergeCell ref="I7:K7"/>
    <mergeCell ref="I8:K8"/>
    <mergeCell ref="H6:J6"/>
  </mergeCells>
  <pageMargins left="0.70866141732283472" right="0.70866141732283472" top="0.74803149606299213" bottom="0.74803149606299213" header="0.31496062992125984" footer="0.31496062992125984"/>
  <pageSetup paperSize="9" scale="34"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O66"/>
  <sheetViews>
    <sheetView showGridLines="0" zoomScale="70" zoomScaleNormal="70" workbookViewId="0">
      <selection activeCell="E39" sqref="E39:AN39"/>
    </sheetView>
  </sheetViews>
  <sheetFormatPr defaultColWidth="15.140625" defaultRowHeight="15" customHeight="1" outlineLevelRow="1"/>
  <cols>
    <col min="1" max="2" width="7.5703125" style="350" customWidth="1"/>
    <col min="3" max="3" width="43.42578125" style="350" bestFit="1" customWidth="1"/>
    <col min="4" max="4" width="11.5703125" style="350" bestFit="1" customWidth="1"/>
    <col min="5" max="5" width="12.85546875" style="350" bestFit="1" customWidth="1"/>
    <col min="6" max="7" width="11.5703125" style="350" bestFit="1" customWidth="1"/>
    <col min="8" max="8" width="12.85546875" style="350" customWidth="1"/>
    <col min="9" max="28" width="11.5703125" style="350" bestFit="1" customWidth="1"/>
    <col min="29" max="40" width="11.5703125" style="350" customWidth="1"/>
    <col min="41" max="41" width="8.140625" style="350" customWidth="1"/>
    <col min="42" max="16384" width="15.140625" style="350"/>
  </cols>
  <sheetData>
    <row r="1" spans="2:41" ht="15" customHeight="1" thickBot="1"/>
    <row r="2" spans="2:41" ht="20.25" customHeight="1">
      <c r="B2" s="4"/>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8"/>
    </row>
    <row r="3" spans="2:41" ht="20.25">
      <c r="B3" s="406" t="s">
        <v>7</v>
      </c>
      <c r="C3" s="407"/>
      <c r="D3" s="407"/>
      <c r="E3" s="407"/>
      <c r="F3" s="407"/>
      <c r="G3" s="407"/>
      <c r="H3" s="407"/>
      <c r="I3" s="407"/>
      <c r="J3" s="407"/>
      <c r="K3" s="407"/>
      <c r="L3" s="407"/>
      <c r="M3" s="407"/>
      <c r="N3" s="407"/>
      <c r="O3" s="407"/>
      <c r="P3" s="407"/>
      <c r="Q3" s="407"/>
      <c r="R3" s="407"/>
      <c r="S3" s="407"/>
      <c r="T3" s="407"/>
      <c r="U3" s="407"/>
      <c r="V3" s="407"/>
      <c r="W3" s="407"/>
      <c r="X3" s="407"/>
      <c r="Y3" s="407"/>
      <c r="Z3" s="407"/>
      <c r="AA3" s="407"/>
      <c r="AB3" s="407"/>
      <c r="AC3" s="407"/>
      <c r="AD3" s="407"/>
      <c r="AE3" s="407"/>
      <c r="AF3" s="407"/>
      <c r="AG3" s="407"/>
      <c r="AH3" s="407"/>
      <c r="AI3" s="407"/>
      <c r="AJ3" s="407"/>
      <c r="AK3" s="407"/>
      <c r="AL3" s="407"/>
      <c r="AM3" s="407"/>
      <c r="AN3" s="407"/>
      <c r="AO3" s="408"/>
    </row>
    <row r="4" spans="2:41" ht="20.25">
      <c r="B4" s="406" t="s">
        <v>93</v>
      </c>
      <c r="C4" s="407"/>
      <c r="D4" s="407"/>
      <c r="E4" s="407"/>
      <c r="F4" s="407"/>
      <c r="G4" s="407"/>
      <c r="H4" s="407"/>
      <c r="I4" s="407"/>
      <c r="J4" s="407"/>
      <c r="K4" s="407"/>
      <c r="L4" s="407"/>
      <c r="M4" s="407"/>
      <c r="N4" s="407"/>
      <c r="O4" s="407"/>
      <c r="P4" s="407"/>
      <c r="Q4" s="407"/>
      <c r="R4" s="407"/>
      <c r="S4" s="407"/>
      <c r="T4" s="407"/>
      <c r="U4" s="407"/>
      <c r="V4" s="407"/>
      <c r="W4" s="407"/>
      <c r="X4" s="407"/>
      <c r="Y4" s="407"/>
      <c r="Z4" s="407"/>
      <c r="AA4" s="407"/>
      <c r="AB4" s="407"/>
      <c r="AC4" s="407"/>
      <c r="AD4" s="407"/>
      <c r="AE4" s="407"/>
      <c r="AF4" s="407"/>
      <c r="AG4" s="407"/>
      <c r="AH4" s="407"/>
      <c r="AI4" s="407"/>
      <c r="AJ4" s="407"/>
      <c r="AK4" s="407"/>
      <c r="AL4" s="407"/>
      <c r="AM4" s="407"/>
      <c r="AN4" s="407"/>
      <c r="AO4" s="408"/>
    </row>
    <row r="5" spans="2:41" ht="90" customHeight="1">
      <c r="B5" s="222"/>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10"/>
    </row>
    <row r="6" spans="2:41" ht="15" customHeight="1">
      <c r="B6" s="222"/>
      <c r="C6" s="221"/>
      <c r="D6" s="221"/>
      <c r="E6" s="221"/>
      <c r="F6" s="221"/>
      <c r="G6" s="221"/>
      <c r="H6" s="440" t="s">
        <v>8</v>
      </c>
      <c r="I6" s="440"/>
      <c r="J6" s="440"/>
      <c r="K6" s="39"/>
      <c r="L6" s="39"/>
      <c r="M6" s="39"/>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10"/>
    </row>
    <row r="7" spans="2:41" ht="15" customHeight="1">
      <c r="B7" s="222"/>
      <c r="C7" s="221"/>
      <c r="D7" s="221"/>
      <c r="E7" s="221"/>
      <c r="F7" s="221"/>
      <c r="G7" s="221"/>
      <c r="H7" s="349"/>
      <c r="I7" s="404" t="s">
        <v>5</v>
      </c>
      <c r="J7" s="404"/>
      <c r="K7" s="404"/>
      <c r="L7" s="36"/>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10"/>
    </row>
    <row r="8" spans="2:41" ht="15" customHeight="1">
      <c r="B8" s="222"/>
      <c r="C8" s="221"/>
      <c r="D8" s="221"/>
      <c r="E8" s="221"/>
      <c r="F8" s="221"/>
      <c r="G8" s="221"/>
      <c r="H8" s="195"/>
      <c r="I8" s="404" t="s">
        <v>6</v>
      </c>
      <c r="J8" s="404"/>
      <c r="K8" s="404"/>
      <c r="L8" s="221"/>
      <c r="M8" s="221"/>
      <c r="N8" s="221"/>
      <c r="O8" s="221"/>
      <c r="P8" s="221"/>
      <c r="Q8" s="221"/>
      <c r="R8" s="221"/>
      <c r="S8" s="221"/>
      <c r="T8" s="221"/>
      <c r="U8" s="221"/>
      <c r="V8" s="221"/>
      <c r="W8" s="221"/>
      <c r="X8" s="221"/>
      <c r="Y8" s="221"/>
      <c r="Z8" s="221"/>
      <c r="AA8" s="221"/>
      <c r="AB8" s="221"/>
      <c r="AC8" s="221"/>
      <c r="AD8" s="221"/>
      <c r="AE8" s="221"/>
      <c r="AF8" s="221"/>
      <c r="AG8" s="221"/>
      <c r="AH8" s="221"/>
      <c r="AI8" s="221"/>
      <c r="AJ8" s="221"/>
      <c r="AK8" s="221"/>
      <c r="AL8" s="221"/>
      <c r="AM8" s="221"/>
      <c r="AN8" s="221"/>
      <c r="AO8" s="10"/>
    </row>
    <row r="9" spans="2:41" ht="11.25" customHeight="1">
      <c r="B9" s="222"/>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10"/>
    </row>
    <row r="10" spans="2:41" ht="9" customHeight="1">
      <c r="B10" s="222"/>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10"/>
    </row>
    <row r="11" spans="2:41" ht="38.25" customHeight="1">
      <c r="B11" s="222"/>
      <c r="C11" s="439" t="s">
        <v>10</v>
      </c>
      <c r="D11" s="439"/>
      <c r="E11" s="439"/>
      <c r="F11" s="439"/>
      <c r="G11" s="439"/>
      <c r="H11" s="439"/>
      <c r="I11" s="439"/>
      <c r="J11" s="439"/>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10"/>
    </row>
    <row r="12" spans="2:41">
      <c r="B12" s="222"/>
      <c r="C12" s="50"/>
      <c r="D12" s="50"/>
      <c r="E12" s="50"/>
      <c r="F12" s="50"/>
      <c r="G12" s="50"/>
      <c r="H12" s="50"/>
      <c r="I12" s="50"/>
      <c r="J12" s="5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10"/>
    </row>
    <row r="13" spans="2:41">
      <c r="B13" s="222"/>
      <c r="C13" s="447" t="s">
        <v>18</v>
      </c>
      <c r="D13" s="447"/>
      <c r="E13" s="447"/>
      <c r="F13" s="447"/>
      <c r="G13" s="447"/>
      <c r="H13" s="447"/>
      <c r="I13" s="447"/>
      <c r="J13" s="447"/>
      <c r="K13" s="447"/>
      <c r="L13" s="447"/>
      <c r="M13" s="447"/>
      <c r="N13" s="447"/>
      <c r="O13" s="447"/>
      <c r="P13" s="447"/>
      <c r="Q13" s="447"/>
      <c r="R13" s="447"/>
      <c r="S13" s="447"/>
      <c r="T13" s="447"/>
      <c r="U13" s="447"/>
      <c r="V13" s="447"/>
      <c r="W13" s="447"/>
      <c r="X13" s="447"/>
      <c r="Y13" s="447"/>
      <c r="Z13" s="447"/>
      <c r="AA13" s="447"/>
      <c r="AB13" s="447"/>
      <c r="AC13" s="447"/>
      <c r="AD13" s="447"/>
      <c r="AE13" s="447"/>
      <c r="AF13" s="447"/>
      <c r="AG13" s="447"/>
      <c r="AH13" s="447"/>
      <c r="AI13" s="447"/>
      <c r="AJ13" s="447"/>
      <c r="AK13" s="447"/>
      <c r="AL13" s="447"/>
      <c r="AM13" s="447"/>
      <c r="AN13" s="447"/>
      <c r="AO13" s="10"/>
    </row>
    <row r="14" spans="2:41" ht="15" customHeight="1" outlineLevel="1">
      <c r="B14" s="222"/>
      <c r="C14" s="188" t="s">
        <v>19</v>
      </c>
      <c r="D14" s="448" t="s">
        <v>32</v>
      </c>
      <c r="E14" s="449"/>
      <c r="F14" s="449"/>
      <c r="G14" s="450"/>
      <c r="H14" s="330"/>
      <c r="I14" s="269" t="s">
        <v>129</v>
      </c>
      <c r="J14" s="189"/>
      <c r="K14" s="189"/>
      <c r="L14" s="189"/>
      <c r="M14" s="189"/>
      <c r="N14" s="189"/>
      <c r="O14" s="189"/>
      <c r="P14" s="189"/>
      <c r="Q14" s="189"/>
      <c r="R14" s="189"/>
      <c r="S14" s="189"/>
      <c r="T14" s="189"/>
      <c r="U14" s="189"/>
      <c r="V14" s="189"/>
      <c r="W14" s="189"/>
      <c r="X14" s="189"/>
      <c r="Y14" s="189"/>
      <c r="Z14" s="189"/>
      <c r="AA14" s="189"/>
      <c r="AB14" s="189"/>
      <c r="AC14" s="189"/>
      <c r="AD14" s="189"/>
      <c r="AE14" s="189"/>
      <c r="AF14" s="189"/>
      <c r="AG14" s="189"/>
      <c r="AH14" s="189"/>
      <c r="AI14" s="189"/>
      <c r="AJ14" s="189"/>
      <c r="AK14" s="189"/>
      <c r="AL14" s="189"/>
      <c r="AM14" s="189"/>
      <c r="AN14" s="10"/>
      <c r="AO14" s="10"/>
    </row>
    <row r="15" spans="2:41" outlineLevel="1">
      <c r="B15" s="222"/>
      <c r="C15" s="46">
        <v>1</v>
      </c>
      <c r="D15" s="441" t="s">
        <v>131</v>
      </c>
      <c r="E15" s="442"/>
      <c r="F15" s="442"/>
      <c r="G15" s="443"/>
      <c r="H15" s="351">
        <v>1000</v>
      </c>
      <c r="I15" s="270"/>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10"/>
      <c r="AO15" s="10"/>
    </row>
    <row r="16" spans="2:41" ht="16.5" customHeight="1" outlineLevel="1">
      <c r="B16" s="222"/>
      <c r="C16" s="46">
        <v>2</v>
      </c>
      <c r="D16" s="441" t="s">
        <v>139</v>
      </c>
      <c r="E16" s="442"/>
      <c r="F16" s="442"/>
      <c r="G16" s="443"/>
      <c r="H16" s="351">
        <v>150</v>
      </c>
      <c r="I16" s="271">
        <f>H16/H15</f>
        <v>0.15</v>
      </c>
      <c r="J16" s="215"/>
      <c r="K16" s="215"/>
      <c r="L16" s="215"/>
      <c r="M16" s="215"/>
      <c r="N16" s="215"/>
      <c r="O16" s="215"/>
      <c r="P16" s="215"/>
      <c r="Q16" s="215"/>
      <c r="R16" s="215"/>
      <c r="S16" s="215"/>
      <c r="T16" s="215"/>
      <c r="U16" s="215"/>
      <c r="V16" s="215"/>
      <c r="W16" s="215"/>
      <c r="X16" s="215"/>
      <c r="Y16" s="215"/>
      <c r="Z16" s="215"/>
      <c r="AA16" s="215"/>
      <c r="AB16" s="215"/>
      <c r="AC16" s="215"/>
      <c r="AD16" s="215"/>
      <c r="AE16" s="215"/>
      <c r="AF16" s="215"/>
      <c r="AG16" s="215"/>
      <c r="AH16" s="215"/>
      <c r="AI16" s="215"/>
      <c r="AJ16" s="215"/>
      <c r="AK16" s="215"/>
      <c r="AL16" s="215"/>
      <c r="AM16" s="215"/>
      <c r="AN16" s="10"/>
      <c r="AO16" s="10"/>
    </row>
    <row r="17" spans="2:41" ht="15" customHeight="1" outlineLevel="1">
      <c r="B17" s="222"/>
      <c r="C17" s="46">
        <v>3</v>
      </c>
      <c r="D17" s="444" t="s">
        <v>140</v>
      </c>
      <c r="E17" s="445"/>
      <c r="F17" s="445"/>
      <c r="G17" s="446"/>
      <c r="H17" s="352">
        <v>90</v>
      </c>
      <c r="I17" s="271">
        <f>H17/H16</f>
        <v>0.6</v>
      </c>
      <c r="J17" s="224"/>
      <c r="K17" s="215"/>
      <c r="L17" s="215"/>
      <c r="M17" s="215"/>
      <c r="N17" s="215"/>
      <c r="O17" s="215"/>
      <c r="P17" s="215"/>
      <c r="Q17" s="215"/>
      <c r="R17" s="215"/>
      <c r="S17" s="215"/>
      <c r="T17" s="215"/>
      <c r="U17" s="215"/>
      <c r="V17" s="215"/>
      <c r="W17" s="215"/>
      <c r="X17" s="215"/>
      <c r="Y17" s="215"/>
      <c r="Z17" s="215"/>
      <c r="AA17" s="215"/>
      <c r="AB17" s="215"/>
      <c r="AC17" s="215"/>
      <c r="AD17" s="215"/>
      <c r="AE17" s="215"/>
      <c r="AF17" s="215"/>
      <c r="AG17" s="215"/>
      <c r="AH17" s="215"/>
      <c r="AI17" s="215"/>
      <c r="AJ17" s="215"/>
      <c r="AK17" s="215"/>
      <c r="AL17" s="215"/>
      <c r="AM17" s="215"/>
      <c r="AN17" s="10"/>
      <c r="AO17" s="10"/>
    </row>
    <row r="18" spans="2:41" ht="15" customHeight="1" outlineLevel="1">
      <c r="B18" s="222"/>
      <c r="C18" s="46">
        <v>4</v>
      </c>
      <c r="D18" s="441" t="s">
        <v>141</v>
      </c>
      <c r="E18" s="442"/>
      <c r="F18" s="442"/>
      <c r="G18" s="443"/>
      <c r="H18" s="352">
        <v>40</v>
      </c>
      <c r="I18" s="271">
        <f>H18/H17</f>
        <v>0.44444444444444442</v>
      </c>
      <c r="J18" s="224"/>
      <c r="K18" s="215"/>
      <c r="L18" s="215"/>
      <c r="M18" s="215"/>
      <c r="N18" s="215"/>
      <c r="O18" s="215"/>
      <c r="P18" s="215"/>
      <c r="Q18" s="215"/>
      <c r="R18" s="215"/>
      <c r="S18" s="215"/>
      <c r="T18" s="215"/>
      <c r="U18" s="215"/>
      <c r="V18" s="215"/>
      <c r="W18" s="215"/>
      <c r="X18" s="215"/>
      <c r="Y18" s="215"/>
      <c r="Z18" s="215"/>
      <c r="AA18" s="215"/>
      <c r="AB18" s="215"/>
      <c r="AC18" s="215"/>
      <c r="AD18" s="215"/>
      <c r="AE18" s="215"/>
      <c r="AF18" s="215"/>
      <c r="AG18" s="215"/>
      <c r="AH18" s="215"/>
      <c r="AI18" s="215"/>
      <c r="AJ18" s="215"/>
      <c r="AK18" s="215"/>
      <c r="AL18" s="215"/>
      <c r="AM18" s="215"/>
      <c r="AN18" s="10"/>
      <c r="AO18" s="10"/>
    </row>
    <row r="19" spans="2:41" ht="15" customHeight="1" outlineLevel="1">
      <c r="B19" s="222"/>
      <c r="C19" s="46">
        <v>5</v>
      </c>
      <c r="D19" s="444" t="s">
        <v>20</v>
      </c>
      <c r="E19" s="445"/>
      <c r="F19" s="445"/>
      <c r="G19" s="446"/>
      <c r="H19" s="352">
        <v>30</v>
      </c>
      <c r="I19" s="271">
        <f>H19/H18</f>
        <v>0.75</v>
      </c>
      <c r="J19" s="224"/>
      <c r="K19" s="215"/>
      <c r="L19" s="215"/>
      <c r="M19" s="215"/>
      <c r="N19" s="215"/>
      <c r="O19" s="215"/>
      <c r="P19" s="215"/>
      <c r="Q19" s="215"/>
      <c r="R19" s="215"/>
      <c r="S19" s="215"/>
      <c r="T19" s="215"/>
      <c r="U19" s="215"/>
      <c r="V19" s="215"/>
      <c r="W19" s="215"/>
      <c r="X19" s="215"/>
      <c r="Y19" s="215"/>
      <c r="Z19" s="215"/>
      <c r="AA19" s="215"/>
      <c r="AB19" s="215"/>
      <c r="AC19" s="215"/>
      <c r="AD19" s="215"/>
      <c r="AE19" s="215"/>
      <c r="AF19" s="215"/>
      <c r="AG19" s="215"/>
      <c r="AH19" s="215"/>
      <c r="AI19" s="215"/>
      <c r="AJ19" s="215"/>
      <c r="AK19" s="215"/>
      <c r="AL19" s="215"/>
      <c r="AM19" s="215"/>
      <c r="AN19" s="10"/>
      <c r="AO19" s="10"/>
    </row>
    <row r="20" spans="2:41">
      <c r="B20" s="222"/>
      <c r="C20" s="190" t="s">
        <v>24</v>
      </c>
      <c r="D20" s="191"/>
      <c r="E20" s="191"/>
      <c r="F20" s="191"/>
      <c r="G20" s="191"/>
      <c r="H20" s="191"/>
      <c r="I20" s="191"/>
      <c r="J20" s="191"/>
      <c r="K20" s="191"/>
      <c r="L20" s="191"/>
      <c r="M20" s="191"/>
      <c r="N20" s="191"/>
      <c r="O20" s="191"/>
      <c r="P20" s="191"/>
      <c r="Q20" s="191"/>
      <c r="R20" s="191"/>
      <c r="S20" s="191"/>
      <c r="T20" s="191"/>
      <c r="U20" s="191"/>
      <c r="V20" s="191"/>
      <c r="W20" s="191"/>
      <c r="X20" s="191"/>
      <c r="Y20" s="191"/>
      <c r="Z20" s="191"/>
      <c r="AA20" s="191"/>
      <c r="AB20" s="191"/>
      <c r="AC20" s="191"/>
      <c r="AD20" s="191"/>
      <c r="AE20" s="191"/>
      <c r="AF20" s="191"/>
      <c r="AG20" s="191"/>
      <c r="AH20" s="191"/>
      <c r="AI20" s="191"/>
      <c r="AJ20" s="191"/>
      <c r="AK20" s="191"/>
      <c r="AL20" s="191"/>
      <c r="AM20" s="191"/>
      <c r="AN20" s="192"/>
      <c r="AO20" s="10"/>
    </row>
    <row r="21" spans="2:41">
      <c r="B21" s="222"/>
      <c r="C21" s="354" t="s">
        <v>88</v>
      </c>
      <c r="D21" s="207"/>
      <c r="E21" s="187" t="s">
        <v>84</v>
      </c>
      <c r="F21" s="187" t="s">
        <v>85</v>
      </c>
      <c r="G21" s="187" t="s">
        <v>86</v>
      </c>
      <c r="H21" s="187" t="s">
        <v>87</v>
      </c>
      <c r="I21" s="187" t="s">
        <v>76</v>
      </c>
      <c r="J21" s="187" t="s">
        <v>77</v>
      </c>
      <c r="K21" s="187" t="s">
        <v>78</v>
      </c>
      <c r="L21" s="187" t="s">
        <v>79</v>
      </c>
      <c r="M21" s="187" t="s">
        <v>80</v>
      </c>
      <c r="N21" s="187" t="s">
        <v>81</v>
      </c>
      <c r="O21" s="187" t="s">
        <v>82</v>
      </c>
      <c r="P21" s="187" t="s">
        <v>83</v>
      </c>
      <c r="Q21" s="187" t="s">
        <v>84</v>
      </c>
      <c r="R21" s="187" t="s">
        <v>85</v>
      </c>
      <c r="S21" s="187" t="s">
        <v>86</v>
      </c>
      <c r="T21" s="187" t="s">
        <v>87</v>
      </c>
      <c r="U21" s="187" t="s">
        <v>76</v>
      </c>
      <c r="V21" s="187" t="s">
        <v>77</v>
      </c>
      <c r="W21" s="187" t="s">
        <v>78</v>
      </c>
      <c r="X21" s="187" t="s">
        <v>79</v>
      </c>
      <c r="Y21" s="187" t="s">
        <v>80</v>
      </c>
      <c r="Z21" s="187" t="s">
        <v>81</v>
      </c>
      <c r="AA21" s="187" t="s">
        <v>82</v>
      </c>
      <c r="AB21" s="187" t="s">
        <v>83</v>
      </c>
      <c r="AC21" s="187" t="s">
        <v>84</v>
      </c>
      <c r="AD21" s="187" t="s">
        <v>85</v>
      </c>
      <c r="AE21" s="187" t="s">
        <v>86</v>
      </c>
      <c r="AF21" s="187" t="s">
        <v>87</v>
      </c>
      <c r="AG21" s="187" t="s">
        <v>76</v>
      </c>
      <c r="AH21" s="187" t="s">
        <v>77</v>
      </c>
      <c r="AI21" s="187" t="s">
        <v>78</v>
      </c>
      <c r="AJ21" s="187" t="s">
        <v>79</v>
      </c>
      <c r="AK21" s="187" t="s">
        <v>80</v>
      </c>
      <c r="AL21" s="187" t="s">
        <v>81</v>
      </c>
      <c r="AM21" s="187" t="s">
        <v>82</v>
      </c>
      <c r="AN21" s="187" t="s">
        <v>83</v>
      </c>
      <c r="AO21" s="10"/>
    </row>
    <row r="22" spans="2:41">
      <c r="B22" s="222"/>
      <c r="C22" s="90" t="s">
        <v>46</v>
      </c>
      <c r="D22" s="51"/>
      <c r="E22" s="212">
        <v>0.5</v>
      </c>
      <c r="F22" s="212">
        <v>0.8</v>
      </c>
      <c r="G22" s="212">
        <v>1</v>
      </c>
      <c r="H22" s="212">
        <v>1</v>
      </c>
      <c r="I22" s="212">
        <v>0.9</v>
      </c>
      <c r="J22" s="212">
        <v>1</v>
      </c>
      <c r="K22" s="212">
        <v>1</v>
      </c>
      <c r="L22" s="212">
        <v>1</v>
      </c>
      <c r="M22" s="212">
        <v>1</v>
      </c>
      <c r="N22" s="212">
        <v>0.3</v>
      </c>
      <c r="O22" s="212">
        <v>0.3</v>
      </c>
      <c r="P22" s="212">
        <v>0.3</v>
      </c>
      <c r="Q22" s="212">
        <v>0.7</v>
      </c>
      <c r="R22" s="212">
        <v>1</v>
      </c>
      <c r="S22" s="212">
        <v>1</v>
      </c>
      <c r="T22" s="212">
        <v>1</v>
      </c>
      <c r="U22" s="212">
        <v>0.9</v>
      </c>
      <c r="V22" s="212">
        <v>1</v>
      </c>
      <c r="W22" s="212">
        <v>1</v>
      </c>
      <c r="X22" s="212">
        <v>1</v>
      </c>
      <c r="Y22" s="212">
        <v>1</v>
      </c>
      <c r="Z22" s="212">
        <v>0.3</v>
      </c>
      <c r="AA22" s="212">
        <v>0.3</v>
      </c>
      <c r="AB22" s="212">
        <v>0.3</v>
      </c>
      <c r="AC22" s="212">
        <v>0.7</v>
      </c>
      <c r="AD22" s="212">
        <v>1</v>
      </c>
      <c r="AE22" s="212">
        <v>1</v>
      </c>
      <c r="AF22" s="212">
        <v>1</v>
      </c>
      <c r="AG22" s="212">
        <v>0.9</v>
      </c>
      <c r="AH22" s="212">
        <v>1</v>
      </c>
      <c r="AI22" s="212">
        <v>1</v>
      </c>
      <c r="AJ22" s="212">
        <v>1</v>
      </c>
      <c r="AK22" s="212">
        <v>1</v>
      </c>
      <c r="AL22" s="212">
        <v>0.3</v>
      </c>
      <c r="AM22" s="212">
        <v>0.3</v>
      </c>
      <c r="AN22" s="212">
        <v>0.3</v>
      </c>
      <c r="AO22" s="10"/>
    </row>
    <row r="23" spans="2:41">
      <c r="B23" s="222"/>
      <c r="C23" s="332" t="s">
        <v>136</v>
      </c>
      <c r="D23" s="333"/>
      <c r="E23" s="334"/>
      <c r="F23" s="334"/>
      <c r="G23" s="334"/>
      <c r="H23" s="334"/>
      <c r="I23" s="334"/>
      <c r="J23" s="334"/>
      <c r="K23" s="334"/>
      <c r="L23" s="334"/>
      <c r="M23" s="334"/>
      <c r="N23" s="334"/>
      <c r="O23" s="334"/>
      <c r="P23" s="334"/>
      <c r="Q23" s="334"/>
      <c r="R23" s="334"/>
      <c r="S23" s="334"/>
      <c r="T23" s="334"/>
      <c r="U23" s="334"/>
      <c r="V23" s="334"/>
      <c r="W23" s="334"/>
      <c r="X23" s="334"/>
      <c r="Y23" s="334"/>
      <c r="Z23" s="334"/>
      <c r="AA23" s="334"/>
      <c r="AB23" s="334"/>
      <c r="AC23" s="334"/>
      <c r="AD23" s="334"/>
      <c r="AE23" s="334"/>
      <c r="AF23" s="334"/>
      <c r="AG23" s="334"/>
      <c r="AH23" s="334"/>
      <c r="AI23" s="334"/>
      <c r="AJ23" s="334"/>
      <c r="AK23" s="334"/>
      <c r="AL23" s="334"/>
      <c r="AM23" s="334"/>
      <c r="AN23" s="334"/>
      <c r="AO23" s="10"/>
    </row>
    <row r="24" spans="2:41">
      <c r="B24" s="222"/>
      <c r="C24" s="196" t="s">
        <v>89</v>
      </c>
      <c r="D24" s="340"/>
      <c r="E24" s="187"/>
      <c r="F24" s="187"/>
      <c r="G24" s="187"/>
      <c r="H24" s="187"/>
      <c r="I24" s="187"/>
      <c r="J24" s="187"/>
      <c r="K24" s="187"/>
      <c r="L24" s="187"/>
      <c r="M24" s="187"/>
      <c r="N24" s="187"/>
      <c r="O24" s="187"/>
      <c r="P24" s="187"/>
      <c r="Q24" s="187"/>
      <c r="R24" s="187"/>
      <c r="S24" s="187"/>
      <c r="T24" s="187"/>
      <c r="U24" s="187"/>
      <c r="V24" s="187"/>
      <c r="W24" s="187"/>
      <c r="X24" s="187"/>
      <c r="Y24" s="187"/>
      <c r="Z24" s="187"/>
      <c r="AA24" s="187"/>
      <c r="AB24" s="187"/>
      <c r="AC24" s="187"/>
      <c r="AD24" s="187"/>
      <c r="AE24" s="187"/>
      <c r="AF24" s="187"/>
      <c r="AG24" s="187"/>
      <c r="AH24" s="187"/>
      <c r="AI24" s="187"/>
      <c r="AJ24" s="187"/>
      <c r="AK24" s="187"/>
      <c r="AL24" s="187"/>
      <c r="AM24" s="187"/>
      <c r="AN24" s="187"/>
      <c r="AO24" s="10"/>
    </row>
    <row r="25" spans="2:41" ht="15.75" customHeight="1">
      <c r="B25" s="222"/>
      <c r="C25" s="196" t="s">
        <v>90</v>
      </c>
      <c r="D25" s="339">
        <v>5200</v>
      </c>
      <c r="E25" s="187" t="e">
        <f>'Ежемесячные затраты'!#REF!*E26</f>
        <v>#REF!</v>
      </c>
      <c r="F25" s="187" t="e">
        <f>'Ежемесячные затраты'!#REF!*F26</f>
        <v>#REF!</v>
      </c>
      <c r="G25" s="187" t="e">
        <f>'Ежемесячные затраты'!#REF!*G26</f>
        <v>#REF!</v>
      </c>
      <c r="H25" s="187" t="e">
        <f>'Ежемесячные затраты'!#REF!*H26</f>
        <v>#REF!</v>
      </c>
      <c r="I25" s="187" t="e">
        <f>'Ежемесячные затраты'!#REF!*I26</f>
        <v>#REF!</v>
      </c>
      <c r="J25" s="187" t="e">
        <f>'Ежемесячные затраты'!#REF!*J26</f>
        <v>#REF!</v>
      </c>
      <c r="K25" s="187" t="e">
        <f>'Ежемесячные затраты'!#REF!*K26</f>
        <v>#REF!</v>
      </c>
      <c r="L25" s="187" t="e">
        <f>'Ежемесячные затраты'!#REF!*L26</f>
        <v>#REF!</v>
      </c>
      <c r="M25" s="187" t="e">
        <f>'Ежемесячные затраты'!#REF!*M26</f>
        <v>#REF!</v>
      </c>
      <c r="N25" s="187" t="e">
        <f>'Ежемесячные затраты'!#REF!*N26</f>
        <v>#REF!</v>
      </c>
      <c r="O25" s="187" t="e">
        <f>'Ежемесячные затраты'!#REF!*O26</f>
        <v>#REF!</v>
      </c>
      <c r="P25" s="187" t="e">
        <f>'Ежемесячные затраты'!#REF!*P26</f>
        <v>#REF!</v>
      </c>
      <c r="Q25" s="187" t="e">
        <f>'Ежемесячные затраты'!#REF!*Q26</f>
        <v>#REF!</v>
      </c>
      <c r="R25" s="187" t="e">
        <f>'Ежемесячные затраты'!#REF!*R26</f>
        <v>#REF!</v>
      </c>
      <c r="S25" s="187" t="e">
        <f>'Ежемесячные затраты'!#REF!*S26</f>
        <v>#REF!</v>
      </c>
      <c r="T25" s="187" t="e">
        <f>'Ежемесячные затраты'!#REF!*T26</f>
        <v>#REF!</v>
      </c>
      <c r="U25" s="187" t="e">
        <f>'Ежемесячные затраты'!#REF!*U26</f>
        <v>#REF!</v>
      </c>
      <c r="V25" s="187" t="e">
        <f>'Ежемесячные затраты'!#REF!*V26</f>
        <v>#REF!</v>
      </c>
      <c r="W25" s="187" t="e">
        <f>'Ежемесячные затраты'!#REF!*W26</f>
        <v>#REF!</v>
      </c>
      <c r="X25" s="187" t="e">
        <f>'Ежемесячные затраты'!#REF!*X26</f>
        <v>#REF!</v>
      </c>
      <c r="Y25" s="187" t="e">
        <f>'Ежемесячные затраты'!#REF!*Y26</f>
        <v>#REF!</v>
      </c>
      <c r="Z25" s="187" t="e">
        <f>'Ежемесячные затраты'!#REF!*Z26</f>
        <v>#REF!</v>
      </c>
      <c r="AA25" s="187" t="e">
        <f>'Ежемесячные затраты'!#REF!*AA26</f>
        <v>#REF!</v>
      </c>
      <c r="AB25" s="187" t="e">
        <f>'Ежемесячные затраты'!#REF!*AB26</f>
        <v>#REF!</v>
      </c>
      <c r="AC25" s="187" t="e">
        <f>'Ежемесячные затраты'!#REF!*AC26</f>
        <v>#REF!</v>
      </c>
      <c r="AD25" s="187" t="e">
        <f>'Ежемесячные затраты'!#REF!*AD26</f>
        <v>#REF!</v>
      </c>
      <c r="AE25" s="187" t="e">
        <f>'Ежемесячные затраты'!#REF!*AE26</f>
        <v>#REF!</v>
      </c>
      <c r="AF25" s="187" t="e">
        <f>'Ежемесячные затраты'!#REF!*AF26</f>
        <v>#REF!</v>
      </c>
      <c r="AG25" s="187" t="e">
        <f>'Ежемесячные затраты'!#REF!*AG26</f>
        <v>#REF!</v>
      </c>
      <c r="AH25" s="187" t="e">
        <f>'Ежемесячные затраты'!#REF!*AH26</f>
        <v>#REF!</v>
      </c>
      <c r="AI25" s="187" t="e">
        <f>'Ежемесячные затраты'!#REF!*AI26</f>
        <v>#REF!</v>
      </c>
      <c r="AJ25" s="187" t="e">
        <f>'Ежемесячные затраты'!#REF!*AJ26</f>
        <v>#REF!</v>
      </c>
      <c r="AK25" s="187" t="e">
        <f>'Ежемесячные затраты'!#REF!*AK26</f>
        <v>#REF!</v>
      </c>
      <c r="AL25" s="187" t="e">
        <f>'Ежемесячные затраты'!#REF!*AL26</f>
        <v>#REF!</v>
      </c>
      <c r="AM25" s="187" t="e">
        <f>'Ежемесячные затраты'!#REF!*AM26</f>
        <v>#REF!</v>
      </c>
      <c r="AN25" s="187" t="e">
        <f>'Ежемесячные затраты'!#REF!*AN26</f>
        <v>#REF!</v>
      </c>
      <c r="AO25" s="10"/>
    </row>
    <row r="26" spans="2:41" ht="15.75" customHeight="1">
      <c r="B26" s="222"/>
      <c r="C26" s="196" t="s">
        <v>147</v>
      </c>
      <c r="D26" s="339">
        <v>12</v>
      </c>
      <c r="E26" s="356">
        <f>$D$26*E28</f>
        <v>36</v>
      </c>
      <c r="F26" s="356">
        <f t="shared" ref="F26:AN26" si="0">$D$26*F28</f>
        <v>57.600000000000009</v>
      </c>
      <c r="G26" s="356">
        <f t="shared" si="0"/>
        <v>72</v>
      </c>
      <c r="H26" s="356">
        <f t="shared" si="0"/>
        <v>72</v>
      </c>
      <c r="I26" s="356">
        <f t="shared" si="0"/>
        <v>64.800000000000011</v>
      </c>
      <c r="J26" s="356">
        <f t="shared" si="0"/>
        <v>72</v>
      </c>
      <c r="K26" s="356">
        <f t="shared" si="0"/>
        <v>72</v>
      </c>
      <c r="L26" s="356">
        <f t="shared" si="0"/>
        <v>72</v>
      </c>
      <c r="M26" s="356">
        <f t="shared" si="0"/>
        <v>72</v>
      </c>
      <c r="N26" s="356">
        <f t="shared" si="0"/>
        <v>21.599999999999998</v>
      </c>
      <c r="O26" s="356">
        <f t="shared" si="0"/>
        <v>21.599999999999998</v>
      </c>
      <c r="P26" s="356">
        <f t="shared" si="0"/>
        <v>21.599999999999998</v>
      </c>
      <c r="Q26" s="356">
        <f t="shared" si="0"/>
        <v>50.399999999999991</v>
      </c>
      <c r="R26" s="356">
        <f t="shared" si="0"/>
        <v>72</v>
      </c>
      <c r="S26" s="356">
        <f t="shared" si="0"/>
        <v>72</v>
      </c>
      <c r="T26" s="356">
        <f t="shared" si="0"/>
        <v>72</v>
      </c>
      <c r="U26" s="356">
        <f t="shared" si="0"/>
        <v>64.800000000000011</v>
      </c>
      <c r="V26" s="356">
        <f t="shared" si="0"/>
        <v>72</v>
      </c>
      <c r="W26" s="356">
        <f t="shared" si="0"/>
        <v>72</v>
      </c>
      <c r="X26" s="356">
        <f t="shared" si="0"/>
        <v>72</v>
      </c>
      <c r="Y26" s="356">
        <f t="shared" si="0"/>
        <v>72</v>
      </c>
      <c r="Z26" s="356">
        <f t="shared" si="0"/>
        <v>21.599999999999998</v>
      </c>
      <c r="AA26" s="356">
        <f t="shared" si="0"/>
        <v>21.599999999999998</v>
      </c>
      <c r="AB26" s="356">
        <f t="shared" si="0"/>
        <v>21.599999999999998</v>
      </c>
      <c r="AC26" s="356">
        <f t="shared" si="0"/>
        <v>50.399999999999991</v>
      </c>
      <c r="AD26" s="356">
        <f t="shared" si="0"/>
        <v>72</v>
      </c>
      <c r="AE26" s="356">
        <f t="shared" si="0"/>
        <v>72</v>
      </c>
      <c r="AF26" s="356">
        <f t="shared" si="0"/>
        <v>72</v>
      </c>
      <c r="AG26" s="356">
        <f t="shared" si="0"/>
        <v>64.800000000000011</v>
      </c>
      <c r="AH26" s="356">
        <f t="shared" si="0"/>
        <v>72</v>
      </c>
      <c r="AI26" s="356">
        <f t="shared" si="0"/>
        <v>72</v>
      </c>
      <c r="AJ26" s="356">
        <f t="shared" si="0"/>
        <v>72</v>
      </c>
      <c r="AK26" s="356">
        <f t="shared" si="0"/>
        <v>72</v>
      </c>
      <c r="AL26" s="356">
        <f t="shared" si="0"/>
        <v>21.599999999999998</v>
      </c>
      <c r="AM26" s="356">
        <f t="shared" si="0"/>
        <v>21.599999999999998</v>
      </c>
      <c r="AN26" s="356">
        <f t="shared" si="0"/>
        <v>21.599999999999998</v>
      </c>
      <c r="AO26" s="10"/>
    </row>
    <row r="27" spans="2:41">
      <c r="B27" s="222"/>
      <c r="C27" s="355" t="s">
        <v>142</v>
      </c>
      <c r="D27" s="339">
        <v>14</v>
      </c>
      <c r="E27" s="357">
        <f>$D$27*E22</f>
        <v>7</v>
      </c>
      <c r="F27" s="357">
        <f t="shared" ref="F27:AN27" si="1">$D$27*F22</f>
        <v>11.200000000000001</v>
      </c>
      <c r="G27" s="357">
        <f t="shared" si="1"/>
        <v>14</v>
      </c>
      <c r="H27" s="357">
        <f t="shared" si="1"/>
        <v>14</v>
      </c>
      <c r="I27" s="357">
        <f t="shared" si="1"/>
        <v>12.6</v>
      </c>
      <c r="J27" s="357">
        <f t="shared" si="1"/>
        <v>14</v>
      </c>
      <c r="K27" s="357">
        <f t="shared" si="1"/>
        <v>14</v>
      </c>
      <c r="L27" s="357">
        <f t="shared" si="1"/>
        <v>14</v>
      </c>
      <c r="M27" s="357">
        <f t="shared" si="1"/>
        <v>14</v>
      </c>
      <c r="N27" s="357">
        <f t="shared" si="1"/>
        <v>4.2</v>
      </c>
      <c r="O27" s="357">
        <f t="shared" si="1"/>
        <v>4.2</v>
      </c>
      <c r="P27" s="357">
        <f t="shared" si="1"/>
        <v>4.2</v>
      </c>
      <c r="Q27" s="357">
        <f t="shared" si="1"/>
        <v>9.7999999999999989</v>
      </c>
      <c r="R27" s="357">
        <f t="shared" si="1"/>
        <v>14</v>
      </c>
      <c r="S27" s="357">
        <f t="shared" si="1"/>
        <v>14</v>
      </c>
      <c r="T27" s="357">
        <f t="shared" si="1"/>
        <v>14</v>
      </c>
      <c r="U27" s="357">
        <f t="shared" si="1"/>
        <v>12.6</v>
      </c>
      <c r="V27" s="357">
        <f t="shared" si="1"/>
        <v>14</v>
      </c>
      <c r="W27" s="357">
        <f t="shared" si="1"/>
        <v>14</v>
      </c>
      <c r="X27" s="357">
        <f t="shared" si="1"/>
        <v>14</v>
      </c>
      <c r="Y27" s="357">
        <f t="shared" si="1"/>
        <v>14</v>
      </c>
      <c r="Z27" s="357">
        <f t="shared" si="1"/>
        <v>4.2</v>
      </c>
      <c r="AA27" s="357">
        <f t="shared" si="1"/>
        <v>4.2</v>
      </c>
      <c r="AB27" s="357">
        <f t="shared" si="1"/>
        <v>4.2</v>
      </c>
      <c r="AC27" s="357">
        <f t="shared" si="1"/>
        <v>9.7999999999999989</v>
      </c>
      <c r="AD27" s="357">
        <f t="shared" si="1"/>
        <v>14</v>
      </c>
      <c r="AE27" s="357">
        <f t="shared" si="1"/>
        <v>14</v>
      </c>
      <c r="AF27" s="357">
        <f t="shared" si="1"/>
        <v>14</v>
      </c>
      <c r="AG27" s="357">
        <f t="shared" si="1"/>
        <v>12.6</v>
      </c>
      <c r="AH27" s="357">
        <f t="shared" si="1"/>
        <v>14</v>
      </c>
      <c r="AI27" s="357">
        <f t="shared" si="1"/>
        <v>14</v>
      </c>
      <c r="AJ27" s="357">
        <f t="shared" si="1"/>
        <v>14</v>
      </c>
      <c r="AK27" s="357">
        <f t="shared" si="1"/>
        <v>14</v>
      </c>
      <c r="AL27" s="357">
        <f t="shared" si="1"/>
        <v>4.2</v>
      </c>
      <c r="AM27" s="357">
        <f t="shared" si="1"/>
        <v>4.2</v>
      </c>
      <c r="AN27" s="357">
        <f t="shared" si="1"/>
        <v>4.2</v>
      </c>
      <c r="AO27" s="10"/>
    </row>
    <row r="28" spans="2:41">
      <c r="B28" s="222"/>
      <c r="C28" s="355" t="s">
        <v>143</v>
      </c>
      <c r="D28" s="213">
        <v>6</v>
      </c>
      <c r="E28" s="357">
        <f t="shared" ref="E28:AN28" si="2">$D$28*E22</f>
        <v>3</v>
      </c>
      <c r="F28" s="357">
        <f t="shared" si="2"/>
        <v>4.8000000000000007</v>
      </c>
      <c r="G28" s="357">
        <f t="shared" si="2"/>
        <v>6</v>
      </c>
      <c r="H28" s="357">
        <f t="shared" si="2"/>
        <v>6</v>
      </c>
      <c r="I28" s="357">
        <f t="shared" si="2"/>
        <v>5.4</v>
      </c>
      <c r="J28" s="357">
        <f t="shared" si="2"/>
        <v>6</v>
      </c>
      <c r="K28" s="357">
        <f t="shared" si="2"/>
        <v>6</v>
      </c>
      <c r="L28" s="357">
        <f t="shared" si="2"/>
        <v>6</v>
      </c>
      <c r="M28" s="357">
        <f t="shared" si="2"/>
        <v>6</v>
      </c>
      <c r="N28" s="357">
        <f t="shared" si="2"/>
        <v>1.7999999999999998</v>
      </c>
      <c r="O28" s="357">
        <f t="shared" si="2"/>
        <v>1.7999999999999998</v>
      </c>
      <c r="P28" s="357">
        <f t="shared" si="2"/>
        <v>1.7999999999999998</v>
      </c>
      <c r="Q28" s="357">
        <f t="shared" si="2"/>
        <v>4.1999999999999993</v>
      </c>
      <c r="R28" s="357">
        <f t="shared" si="2"/>
        <v>6</v>
      </c>
      <c r="S28" s="357">
        <f t="shared" si="2"/>
        <v>6</v>
      </c>
      <c r="T28" s="357">
        <f t="shared" si="2"/>
        <v>6</v>
      </c>
      <c r="U28" s="357">
        <f t="shared" si="2"/>
        <v>5.4</v>
      </c>
      <c r="V28" s="357">
        <f t="shared" si="2"/>
        <v>6</v>
      </c>
      <c r="W28" s="357">
        <f t="shared" si="2"/>
        <v>6</v>
      </c>
      <c r="X28" s="357">
        <f t="shared" si="2"/>
        <v>6</v>
      </c>
      <c r="Y28" s="357">
        <f t="shared" si="2"/>
        <v>6</v>
      </c>
      <c r="Z28" s="357">
        <f t="shared" si="2"/>
        <v>1.7999999999999998</v>
      </c>
      <c r="AA28" s="357">
        <f t="shared" si="2"/>
        <v>1.7999999999999998</v>
      </c>
      <c r="AB28" s="357">
        <f t="shared" si="2"/>
        <v>1.7999999999999998</v>
      </c>
      <c r="AC28" s="357">
        <f t="shared" si="2"/>
        <v>4.1999999999999993</v>
      </c>
      <c r="AD28" s="357">
        <f t="shared" si="2"/>
        <v>6</v>
      </c>
      <c r="AE28" s="357">
        <f t="shared" si="2"/>
        <v>6</v>
      </c>
      <c r="AF28" s="357">
        <f t="shared" si="2"/>
        <v>6</v>
      </c>
      <c r="AG28" s="357">
        <f t="shared" si="2"/>
        <v>5.4</v>
      </c>
      <c r="AH28" s="357">
        <f t="shared" si="2"/>
        <v>6</v>
      </c>
      <c r="AI28" s="357">
        <f t="shared" si="2"/>
        <v>6</v>
      </c>
      <c r="AJ28" s="357">
        <f t="shared" si="2"/>
        <v>6</v>
      </c>
      <c r="AK28" s="357">
        <f t="shared" si="2"/>
        <v>6</v>
      </c>
      <c r="AL28" s="357">
        <f t="shared" si="2"/>
        <v>1.7999999999999998</v>
      </c>
      <c r="AM28" s="357">
        <f t="shared" si="2"/>
        <v>1.7999999999999998</v>
      </c>
      <c r="AN28" s="357">
        <f t="shared" si="2"/>
        <v>1.7999999999999998</v>
      </c>
      <c r="AO28" s="10"/>
    </row>
    <row r="29" spans="2:41">
      <c r="B29" s="222"/>
      <c r="C29" s="196" t="s">
        <v>148</v>
      </c>
      <c r="D29" s="213">
        <v>2</v>
      </c>
      <c r="E29" s="208">
        <f t="shared" ref="E29:AN29" si="3">$D$25*E28*E27</f>
        <v>109200</v>
      </c>
      <c r="F29" s="208">
        <f t="shared" si="3"/>
        <v>279552.00000000006</v>
      </c>
      <c r="G29" s="208">
        <f t="shared" si="3"/>
        <v>436800</v>
      </c>
      <c r="H29" s="208">
        <f t="shared" si="3"/>
        <v>436800</v>
      </c>
      <c r="I29" s="208">
        <f t="shared" si="3"/>
        <v>353808.00000000006</v>
      </c>
      <c r="J29" s="208">
        <f t="shared" si="3"/>
        <v>436800</v>
      </c>
      <c r="K29" s="208">
        <f t="shared" si="3"/>
        <v>436800</v>
      </c>
      <c r="L29" s="208">
        <f t="shared" si="3"/>
        <v>436800</v>
      </c>
      <c r="M29" s="208">
        <f t="shared" si="3"/>
        <v>436800</v>
      </c>
      <c r="N29" s="208">
        <f t="shared" si="3"/>
        <v>39311.999999999993</v>
      </c>
      <c r="O29" s="208">
        <f t="shared" si="3"/>
        <v>39311.999999999993</v>
      </c>
      <c r="P29" s="208">
        <f t="shared" si="3"/>
        <v>39311.999999999993</v>
      </c>
      <c r="Q29" s="208">
        <f t="shared" si="3"/>
        <v>214031.99999999994</v>
      </c>
      <c r="R29" s="208">
        <f t="shared" si="3"/>
        <v>436800</v>
      </c>
      <c r="S29" s="208">
        <f t="shared" si="3"/>
        <v>436800</v>
      </c>
      <c r="T29" s="208">
        <f t="shared" si="3"/>
        <v>436800</v>
      </c>
      <c r="U29" s="208">
        <f t="shared" si="3"/>
        <v>353808.00000000006</v>
      </c>
      <c r="V29" s="208">
        <f t="shared" si="3"/>
        <v>436800</v>
      </c>
      <c r="W29" s="208">
        <f t="shared" si="3"/>
        <v>436800</v>
      </c>
      <c r="X29" s="208">
        <f t="shared" si="3"/>
        <v>436800</v>
      </c>
      <c r="Y29" s="208">
        <f t="shared" si="3"/>
        <v>436800</v>
      </c>
      <c r="Z29" s="208">
        <f t="shared" si="3"/>
        <v>39311.999999999993</v>
      </c>
      <c r="AA29" s="208">
        <f t="shared" si="3"/>
        <v>39311.999999999993</v>
      </c>
      <c r="AB29" s="208">
        <f t="shared" si="3"/>
        <v>39311.999999999993</v>
      </c>
      <c r="AC29" s="208">
        <f t="shared" si="3"/>
        <v>214031.99999999994</v>
      </c>
      <c r="AD29" s="208">
        <f t="shared" si="3"/>
        <v>436800</v>
      </c>
      <c r="AE29" s="208">
        <f t="shared" si="3"/>
        <v>436800</v>
      </c>
      <c r="AF29" s="208">
        <f t="shared" si="3"/>
        <v>436800</v>
      </c>
      <c r="AG29" s="208">
        <f t="shared" si="3"/>
        <v>353808.00000000006</v>
      </c>
      <c r="AH29" s="208">
        <f t="shared" si="3"/>
        <v>436800</v>
      </c>
      <c r="AI29" s="208">
        <f t="shared" si="3"/>
        <v>436800</v>
      </c>
      <c r="AJ29" s="208">
        <f t="shared" si="3"/>
        <v>436800</v>
      </c>
      <c r="AK29" s="208">
        <f t="shared" si="3"/>
        <v>436800</v>
      </c>
      <c r="AL29" s="208">
        <f t="shared" si="3"/>
        <v>39311.999999999993</v>
      </c>
      <c r="AM29" s="208">
        <f t="shared" si="3"/>
        <v>39311.999999999993</v>
      </c>
      <c r="AN29" s="208">
        <f t="shared" si="3"/>
        <v>39311.999999999993</v>
      </c>
      <c r="AO29" s="10"/>
    </row>
    <row r="30" spans="2:41">
      <c r="B30" s="222"/>
      <c r="C30" s="332" t="s">
        <v>137</v>
      </c>
      <c r="D30" s="333"/>
      <c r="E30" s="334"/>
      <c r="F30" s="334"/>
      <c r="G30" s="334"/>
      <c r="H30" s="334"/>
      <c r="I30" s="334"/>
      <c r="J30" s="334"/>
      <c r="K30" s="334"/>
      <c r="L30" s="334"/>
      <c r="M30" s="334"/>
      <c r="N30" s="334"/>
      <c r="O30" s="334"/>
      <c r="P30" s="334"/>
      <c r="Q30" s="334"/>
      <c r="R30" s="334"/>
      <c r="S30" s="334"/>
      <c r="T30" s="334"/>
      <c r="U30" s="334"/>
      <c r="V30" s="334"/>
      <c r="W30" s="334"/>
      <c r="X30" s="334"/>
      <c r="Y30" s="334"/>
      <c r="Z30" s="334"/>
      <c r="AA30" s="334"/>
      <c r="AB30" s="334"/>
      <c r="AC30" s="334"/>
      <c r="AD30" s="334"/>
      <c r="AE30" s="334"/>
      <c r="AF30" s="334"/>
      <c r="AG30" s="334"/>
      <c r="AH30" s="334"/>
      <c r="AI30" s="334"/>
      <c r="AJ30" s="334"/>
      <c r="AK30" s="334"/>
      <c r="AL30" s="334"/>
      <c r="AM30" s="334"/>
      <c r="AN30" s="334"/>
      <c r="AO30" s="10"/>
    </row>
    <row r="31" spans="2:41">
      <c r="B31" s="222"/>
      <c r="C31" s="196" t="s">
        <v>89</v>
      </c>
      <c r="D31" s="340"/>
      <c r="E31" s="187"/>
      <c r="F31" s="187"/>
      <c r="G31" s="187"/>
      <c r="H31" s="187"/>
      <c r="I31" s="187"/>
      <c r="J31" s="187"/>
      <c r="K31" s="187"/>
      <c r="L31" s="187"/>
      <c r="M31" s="187"/>
      <c r="N31" s="187"/>
      <c r="O31" s="187"/>
      <c r="P31" s="187"/>
      <c r="Q31" s="187"/>
      <c r="R31" s="187"/>
      <c r="S31" s="187"/>
      <c r="T31" s="187"/>
      <c r="U31" s="187"/>
      <c r="V31" s="187"/>
      <c r="W31" s="187"/>
      <c r="X31" s="187"/>
      <c r="Y31" s="187"/>
      <c r="Z31" s="187"/>
      <c r="AA31" s="187"/>
      <c r="AB31" s="187"/>
      <c r="AC31" s="187"/>
      <c r="AD31" s="187"/>
      <c r="AE31" s="187"/>
      <c r="AF31" s="187"/>
      <c r="AG31" s="187"/>
      <c r="AH31" s="187"/>
      <c r="AI31" s="187"/>
      <c r="AJ31" s="187"/>
      <c r="AK31" s="187"/>
      <c r="AL31" s="187"/>
      <c r="AM31" s="187"/>
      <c r="AN31" s="187"/>
      <c r="AO31" s="10"/>
    </row>
    <row r="32" spans="2:41">
      <c r="B32" s="222"/>
      <c r="C32" s="196" t="s">
        <v>90</v>
      </c>
      <c r="D32" s="339">
        <v>4200</v>
      </c>
      <c r="E32" s="187" t="e">
        <f>'Ежемесячные затраты'!#REF!*E33</f>
        <v>#REF!</v>
      </c>
      <c r="F32" s="187" t="e">
        <f>'Ежемесячные затраты'!#REF!*F33</f>
        <v>#REF!</v>
      </c>
      <c r="G32" s="187" t="e">
        <f>'Ежемесячные затраты'!#REF!*G33</f>
        <v>#REF!</v>
      </c>
      <c r="H32" s="187" t="e">
        <f>'Ежемесячные затраты'!#REF!*H33</f>
        <v>#REF!</v>
      </c>
      <c r="I32" s="187" t="e">
        <f>'Ежемесячные затраты'!#REF!*I33</f>
        <v>#REF!</v>
      </c>
      <c r="J32" s="187" t="e">
        <f>'Ежемесячные затраты'!#REF!*J33</f>
        <v>#REF!</v>
      </c>
      <c r="K32" s="187" t="e">
        <f>'Ежемесячные затраты'!#REF!*K33</f>
        <v>#REF!</v>
      </c>
      <c r="L32" s="187" t="e">
        <f>'Ежемесячные затраты'!#REF!*L33</f>
        <v>#REF!</v>
      </c>
      <c r="M32" s="187" t="e">
        <f>'Ежемесячные затраты'!#REF!*M33</f>
        <v>#REF!</v>
      </c>
      <c r="N32" s="187" t="e">
        <f>'Ежемесячные затраты'!#REF!*N33</f>
        <v>#REF!</v>
      </c>
      <c r="O32" s="187" t="e">
        <f>'Ежемесячные затраты'!#REF!*O33</f>
        <v>#REF!</v>
      </c>
      <c r="P32" s="187" t="e">
        <f>'Ежемесячные затраты'!#REF!*P33</f>
        <v>#REF!</v>
      </c>
      <c r="Q32" s="187" t="e">
        <f>'Ежемесячные затраты'!#REF!*Q33</f>
        <v>#REF!</v>
      </c>
      <c r="R32" s="187" t="e">
        <f>'Ежемесячные затраты'!#REF!*R33</f>
        <v>#REF!</v>
      </c>
      <c r="S32" s="187" t="e">
        <f>'Ежемесячные затраты'!#REF!*S33</f>
        <v>#REF!</v>
      </c>
      <c r="T32" s="187" t="e">
        <f>'Ежемесячные затраты'!#REF!*T33</f>
        <v>#REF!</v>
      </c>
      <c r="U32" s="187" t="e">
        <f>'Ежемесячные затраты'!#REF!*U33</f>
        <v>#REF!</v>
      </c>
      <c r="V32" s="187" t="e">
        <f>'Ежемесячные затраты'!#REF!*V33</f>
        <v>#REF!</v>
      </c>
      <c r="W32" s="187" t="e">
        <f>'Ежемесячные затраты'!#REF!*W33</f>
        <v>#REF!</v>
      </c>
      <c r="X32" s="187" t="e">
        <f>'Ежемесячные затраты'!#REF!*X33</f>
        <v>#REF!</v>
      </c>
      <c r="Y32" s="187" t="e">
        <f>'Ежемесячные затраты'!#REF!*Y33</f>
        <v>#REF!</v>
      </c>
      <c r="Z32" s="187" t="e">
        <f>'Ежемесячные затраты'!#REF!*Z33</f>
        <v>#REF!</v>
      </c>
      <c r="AA32" s="187" t="e">
        <f>'Ежемесячные затраты'!#REF!*AA33</f>
        <v>#REF!</v>
      </c>
      <c r="AB32" s="187" t="e">
        <f>'Ежемесячные затраты'!#REF!*AB33</f>
        <v>#REF!</v>
      </c>
      <c r="AC32" s="187" t="e">
        <f>'Ежемесячные затраты'!#REF!*AC33</f>
        <v>#REF!</v>
      </c>
      <c r="AD32" s="187" t="e">
        <f>'Ежемесячные затраты'!#REF!*AD33</f>
        <v>#REF!</v>
      </c>
      <c r="AE32" s="187" t="e">
        <f>'Ежемесячные затраты'!#REF!*AE33</f>
        <v>#REF!</v>
      </c>
      <c r="AF32" s="187" t="e">
        <f>'Ежемесячные затраты'!#REF!*AF33</f>
        <v>#REF!</v>
      </c>
      <c r="AG32" s="187" t="e">
        <f>'Ежемесячные затраты'!#REF!*AG33</f>
        <v>#REF!</v>
      </c>
      <c r="AH32" s="187" t="e">
        <f>'Ежемесячные затраты'!#REF!*AH33</f>
        <v>#REF!</v>
      </c>
      <c r="AI32" s="187" t="e">
        <f>'Ежемесячные затраты'!#REF!*AI33</f>
        <v>#REF!</v>
      </c>
      <c r="AJ32" s="187" t="e">
        <f>'Ежемесячные затраты'!#REF!*AJ33</f>
        <v>#REF!</v>
      </c>
      <c r="AK32" s="187" t="e">
        <f>'Ежемесячные затраты'!#REF!*AK33</f>
        <v>#REF!</v>
      </c>
      <c r="AL32" s="187" t="e">
        <f>'Ежемесячные затраты'!#REF!*AL33</f>
        <v>#REF!</v>
      </c>
      <c r="AM32" s="187" t="e">
        <f>'Ежемесячные затраты'!#REF!*AM33</f>
        <v>#REF!</v>
      </c>
      <c r="AN32" s="187" t="e">
        <f>'Ежемесячные затраты'!#REF!*AN33</f>
        <v>#REF!</v>
      </c>
      <c r="AO32" s="10"/>
    </row>
    <row r="33" spans="2:41" ht="15.75" customHeight="1">
      <c r="B33" s="222"/>
      <c r="C33" s="196" t="s">
        <v>147</v>
      </c>
      <c r="D33" s="339">
        <v>8</v>
      </c>
      <c r="E33" s="187">
        <f>$D$33*E35</f>
        <v>16</v>
      </c>
      <c r="F33" s="187">
        <f t="shared" ref="F33:AN33" si="4">$D$33*F35</f>
        <v>25.6</v>
      </c>
      <c r="G33" s="187">
        <f t="shared" si="4"/>
        <v>32</v>
      </c>
      <c r="H33" s="187">
        <f t="shared" si="4"/>
        <v>32</v>
      </c>
      <c r="I33" s="187">
        <f t="shared" si="4"/>
        <v>28.8</v>
      </c>
      <c r="J33" s="187">
        <f t="shared" si="4"/>
        <v>32</v>
      </c>
      <c r="K33" s="187">
        <f t="shared" si="4"/>
        <v>32</v>
      </c>
      <c r="L33" s="187">
        <f t="shared" si="4"/>
        <v>32</v>
      </c>
      <c r="M33" s="187">
        <f t="shared" si="4"/>
        <v>32</v>
      </c>
      <c r="N33" s="187">
        <f t="shared" si="4"/>
        <v>9.6</v>
      </c>
      <c r="O33" s="187">
        <f t="shared" si="4"/>
        <v>9.6</v>
      </c>
      <c r="P33" s="187">
        <f t="shared" si="4"/>
        <v>9.6</v>
      </c>
      <c r="Q33" s="187">
        <f t="shared" si="4"/>
        <v>22.4</v>
      </c>
      <c r="R33" s="187">
        <f t="shared" si="4"/>
        <v>32</v>
      </c>
      <c r="S33" s="187">
        <f t="shared" si="4"/>
        <v>32</v>
      </c>
      <c r="T33" s="187">
        <f t="shared" si="4"/>
        <v>32</v>
      </c>
      <c r="U33" s="187">
        <f t="shared" si="4"/>
        <v>28.8</v>
      </c>
      <c r="V33" s="187">
        <f t="shared" si="4"/>
        <v>32</v>
      </c>
      <c r="W33" s="187">
        <f t="shared" si="4"/>
        <v>32</v>
      </c>
      <c r="X33" s="187">
        <f t="shared" si="4"/>
        <v>32</v>
      </c>
      <c r="Y33" s="187">
        <f t="shared" si="4"/>
        <v>32</v>
      </c>
      <c r="Z33" s="187">
        <f t="shared" si="4"/>
        <v>9.6</v>
      </c>
      <c r="AA33" s="187">
        <f t="shared" si="4"/>
        <v>9.6</v>
      </c>
      <c r="AB33" s="187">
        <f t="shared" si="4"/>
        <v>9.6</v>
      </c>
      <c r="AC33" s="187">
        <f t="shared" si="4"/>
        <v>22.4</v>
      </c>
      <c r="AD33" s="187">
        <f t="shared" si="4"/>
        <v>32</v>
      </c>
      <c r="AE33" s="187">
        <f t="shared" si="4"/>
        <v>32</v>
      </c>
      <c r="AF33" s="187">
        <f t="shared" si="4"/>
        <v>32</v>
      </c>
      <c r="AG33" s="187">
        <f t="shared" si="4"/>
        <v>28.8</v>
      </c>
      <c r="AH33" s="187">
        <f t="shared" si="4"/>
        <v>32</v>
      </c>
      <c r="AI33" s="187">
        <f t="shared" si="4"/>
        <v>32</v>
      </c>
      <c r="AJ33" s="187">
        <f t="shared" si="4"/>
        <v>32</v>
      </c>
      <c r="AK33" s="187">
        <f t="shared" si="4"/>
        <v>32</v>
      </c>
      <c r="AL33" s="187">
        <f t="shared" si="4"/>
        <v>9.6</v>
      </c>
      <c r="AM33" s="187">
        <f t="shared" si="4"/>
        <v>9.6</v>
      </c>
      <c r="AN33" s="187">
        <f t="shared" si="4"/>
        <v>9.6</v>
      </c>
      <c r="AO33" s="10"/>
    </row>
    <row r="34" spans="2:41">
      <c r="B34" s="222"/>
      <c r="C34" s="355" t="s">
        <v>142</v>
      </c>
      <c r="D34" s="339">
        <v>14</v>
      </c>
      <c r="E34" s="357">
        <f t="shared" ref="E34:AN34" si="5">$D$34*E22</f>
        <v>7</v>
      </c>
      <c r="F34" s="357">
        <f t="shared" si="5"/>
        <v>11.200000000000001</v>
      </c>
      <c r="G34" s="357">
        <f t="shared" si="5"/>
        <v>14</v>
      </c>
      <c r="H34" s="357">
        <f t="shared" si="5"/>
        <v>14</v>
      </c>
      <c r="I34" s="357">
        <f t="shared" si="5"/>
        <v>12.6</v>
      </c>
      <c r="J34" s="357">
        <f t="shared" si="5"/>
        <v>14</v>
      </c>
      <c r="K34" s="357">
        <f t="shared" si="5"/>
        <v>14</v>
      </c>
      <c r="L34" s="357">
        <f t="shared" si="5"/>
        <v>14</v>
      </c>
      <c r="M34" s="357">
        <f t="shared" si="5"/>
        <v>14</v>
      </c>
      <c r="N34" s="357">
        <f t="shared" si="5"/>
        <v>4.2</v>
      </c>
      <c r="O34" s="357">
        <f t="shared" si="5"/>
        <v>4.2</v>
      </c>
      <c r="P34" s="357">
        <f t="shared" si="5"/>
        <v>4.2</v>
      </c>
      <c r="Q34" s="357">
        <f t="shared" si="5"/>
        <v>9.7999999999999989</v>
      </c>
      <c r="R34" s="357">
        <f t="shared" si="5"/>
        <v>14</v>
      </c>
      <c r="S34" s="357">
        <f t="shared" si="5"/>
        <v>14</v>
      </c>
      <c r="T34" s="357">
        <f t="shared" si="5"/>
        <v>14</v>
      </c>
      <c r="U34" s="357">
        <f t="shared" si="5"/>
        <v>12.6</v>
      </c>
      <c r="V34" s="357">
        <f t="shared" si="5"/>
        <v>14</v>
      </c>
      <c r="W34" s="357">
        <f t="shared" si="5"/>
        <v>14</v>
      </c>
      <c r="X34" s="357">
        <f t="shared" si="5"/>
        <v>14</v>
      </c>
      <c r="Y34" s="357">
        <f t="shared" si="5"/>
        <v>14</v>
      </c>
      <c r="Z34" s="357">
        <f t="shared" si="5"/>
        <v>4.2</v>
      </c>
      <c r="AA34" s="357">
        <f t="shared" si="5"/>
        <v>4.2</v>
      </c>
      <c r="AB34" s="357">
        <f t="shared" si="5"/>
        <v>4.2</v>
      </c>
      <c r="AC34" s="357">
        <f t="shared" si="5"/>
        <v>9.7999999999999989</v>
      </c>
      <c r="AD34" s="357">
        <f t="shared" si="5"/>
        <v>14</v>
      </c>
      <c r="AE34" s="357">
        <f t="shared" si="5"/>
        <v>14</v>
      </c>
      <c r="AF34" s="357">
        <f t="shared" si="5"/>
        <v>14</v>
      </c>
      <c r="AG34" s="357">
        <f t="shared" si="5"/>
        <v>12.6</v>
      </c>
      <c r="AH34" s="357">
        <f t="shared" si="5"/>
        <v>14</v>
      </c>
      <c r="AI34" s="357">
        <f t="shared" si="5"/>
        <v>14</v>
      </c>
      <c r="AJ34" s="357">
        <f t="shared" si="5"/>
        <v>14</v>
      </c>
      <c r="AK34" s="357">
        <f t="shared" si="5"/>
        <v>14</v>
      </c>
      <c r="AL34" s="357">
        <f t="shared" si="5"/>
        <v>4.2</v>
      </c>
      <c r="AM34" s="357">
        <f t="shared" si="5"/>
        <v>4.2</v>
      </c>
      <c r="AN34" s="357">
        <f t="shared" si="5"/>
        <v>4.2</v>
      </c>
      <c r="AO34" s="10"/>
    </row>
    <row r="35" spans="2:41">
      <c r="B35" s="222"/>
      <c r="C35" s="355" t="s">
        <v>143</v>
      </c>
      <c r="D35" s="213">
        <v>4</v>
      </c>
      <c r="E35" s="357">
        <f t="shared" ref="E35:AN35" si="6">$D$35*E22</f>
        <v>2</v>
      </c>
      <c r="F35" s="357">
        <f t="shared" si="6"/>
        <v>3.2</v>
      </c>
      <c r="G35" s="357">
        <f t="shared" si="6"/>
        <v>4</v>
      </c>
      <c r="H35" s="357">
        <f t="shared" si="6"/>
        <v>4</v>
      </c>
      <c r="I35" s="357">
        <f t="shared" si="6"/>
        <v>3.6</v>
      </c>
      <c r="J35" s="357">
        <f t="shared" si="6"/>
        <v>4</v>
      </c>
      <c r="K35" s="357">
        <f t="shared" si="6"/>
        <v>4</v>
      </c>
      <c r="L35" s="357">
        <f t="shared" si="6"/>
        <v>4</v>
      </c>
      <c r="M35" s="357">
        <f t="shared" si="6"/>
        <v>4</v>
      </c>
      <c r="N35" s="357">
        <f t="shared" si="6"/>
        <v>1.2</v>
      </c>
      <c r="O35" s="357">
        <f t="shared" si="6"/>
        <v>1.2</v>
      </c>
      <c r="P35" s="357">
        <f t="shared" si="6"/>
        <v>1.2</v>
      </c>
      <c r="Q35" s="357">
        <f t="shared" si="6"/>
        <v>2.8</v>
      </c>
      <c r="R35" s="357">
        <f t="shared" si="6"/>
        <v>4</v>
      </c>
      <c r="S35" s="357">
        <f t="shared" si="6"/>
        <v>4</v>
      </c>
      <c r="T35" s="357">
        <f t="shared" si="6"/>
        <v>4</v>
      </c>
      <c r="U35" s="357">
        <f t="shared" si="6"/>
        <v>3.6</v>
      </c>
      <c r="V35" s="357">
        <f t="shared" si="6"/>
        <v>4</v>
      </c>
      <c r="W35" s="357">
        <f t="shared" si="6"/>
        <v>4</v>
      </c>
      <c r="X35" s="357">
        <f t="shared" si="6"/>
        <v>4</v>
      </c>
      <c r="Y35" s="357">
        <f t="shared" si="6"/>
        <v>4</v>
      </c>
      <c r="Z35" s="357">
        <f t="shared" si="6"/>
        <v>1.2</v>
      </c>
      <c r="AA35" s="357">
        <f t="shared" si="6"/>
        <v>1.2</v>
      </c>
      <c r="AB35" s="357">
        <f t="shared" si="6"/>
        <v>1.2</v>
      </c>
      <c r="AC35" s="357">
        <f t="shared" si="6"/>
        <v>2.8</v>
      </c>
      <c r="AD35" s="357">
        <f t="shared" si="6"/>
        <v>4</v>
      </c>
      <c r="AE35" s="357">
        <f t="shared" si="6"/>
        <v>4</v>
      </c>
      <c r="AF35" s="357">
        <f t="shared" si="6"/>
        <v>4</v>
      </c>
      <c r="AG35" s="357">
        <f t="shared" si="6"/>
        <v>3.6</v>
      </c>
      <c r="AH35" s="357">
        <f t="shared" si="6"/>
        <v>4</v>
      </c>
      <c r="AI35" s="357">
        <f t="shared" si="6"/>
        <v>4</v>
      </c>
      <c r="AJ35" s="357">
        <f t="shared" si="6"/>
        <v>4</v>
      </c>
      <c r="AK35" s="357">
        <f t="shared" si="6"/>
        <v>4</v>
      </c>
      <c r="AL35" s="357">
        <f t="shared" si="6"/>
        <v>1.2</v>
      </c>
      <c r="AM35" s="357">
        <f t="shared" si="6"/>
        <v>1.2</v>
      </c>
      <c r="AN35" s="357">
        <f t="shared" si="6"/>
        <v>1.2</v>
      </c>
      <c r="AO35" s="10"/>
    </row>
    <row r="36" spans="2:41">
      <c r="B36" s="222"/>
      <c r="C36" s="196" t="s">
        <v>91</v>
      </c>
      <c r="D36" s="213"/>
      <c r="E36" s="208">
        <f>$D$32*E35*E34</f>
        <v>58800</v>
      </c>
      <c r="F36" s="208">
        <f t="shared" ref="F36:AN36" si="7">$D$32*F35*F34</f>
        <v>150528</v>
      </c>
      <c r="G36" s="208">
        <f t="shared" si="7"/>
        <v>235200</v>
      </c>
      <c r="H36" s="208">
        <f t="shared" si="7"/>
        <v>235200</v>
      </c>
      <c r="I36" s="208">
        <f t="shared" si="7"/>
        <v>190512</v>
      </c>
      <c r="J36" s="208">
        <f t="shared" si="7"/>
        <v>235200</v>
      </c>
      <c r="K36" s="208">
        <f t="shared" si="7"/>
        <v>235200</v>
      </c>
      <c r="L36" s="208">
        <f t="shared" si="7"/>
        <v>235200</v>
      </c>
      <c r="M36" s="208">
        <f t="shared" si="7"/>
        <v>235200</v>
      </c>
      <c r="N36" s="208">
        <f t="shared" si="7"/>
        <v>21168</v>
      </c>
      <c r="O36" s="208">
        <f t="shared" si="7"/>
        <v>21168</v>
      </c>
      <c r="P36" s="208">
        <f t="shared" si="7"/>
        <v>21168</v>
      </c>
      <c r="Q36" s="208">
        <f t="shared" si="7"/>
        <v>115247.99999999999</v>
      </c>
      <c r="R36" s="208">
        <f t="shared" si="7"/>
        <v>235200</v>
      </c>
      <c r="S36" s="208">
        <f t="shared" si="7"/>
        <v>235200</v>
      </c>
      <c r="T36" s="208">
        <f t="shared" si="7"/>
        <v>235200</v>
      </c>
      <c r="U36" s="208">
        <f t="shared" si="7"/>
        <v>190512</v>
      </c>
      <c r="V36" s="208">
        <f t="shared" si="7"/>
        <v>235200</v>
      </c>
      <c r="W36" s="208">
        <f t="shared" si="7"/>
        <v>235200</v>
      </c>
      <c r="X36" s="208">
        <f t="shared" si="7"/>
        <v>235200</v>
      </c>
      <c r="Y36" s="208">
        <f t="shared" si="7"/>
        <v>235200</v>
      </c>
      <c r="Z36" s="208">
        <f t="shared" si="7"/>
        <v>21168</v>
      </c>
      <c r="AA36" s="208">
        <f t="shared" si="7"/>
        <v>21168</v>
      </c>
      <c r="AB36" s="208">
        <f t="shared" si="7"/>
        <v>21168</v>
      </c>
      <c r="AC36" s="208">
        <f t="shared" si="7"/>
        <v>115247.99999999999</v>
      </c>
      <c r="AD36" s="208">
        <f t="shared" si="7"/>
        <v>235200</v>
      </c>
      <c r="AE36" s="208">
        <f t="shared" si="7"/>
        <v>235200</v>
      </c>
      <c r="AF36" s="208">
        <f t="shared" si="7"/>
        <v>235200</v>
      </c>
      <c r="AG36" s="208">
        <f t="shared" si="7"/>
        <v>190512</v>
      </c>
      <c r="AH36" s="208">
        <f t="shared" si="7"/>
        <v>235200</v>
      </c>
      <c r="AI36" s="208">
        <f t="shared" si="7"/>
        <v>235200</v>
      </c>
      <c r="AJ36" s="208">
        <f t="shared" si="7"/>
        <v>235200</v>
      </c>
      <c r="AK36" s="208">
        <f t="shared" si="7"/>
        <v>235200</v>
      </c>
      <c r="AL36" s="208">
        <f t="shared" si="7"/>
        <v>21168</v>
      </c>
      <c r="AM36" s="208">
        <f t="shared" si="7"/>
        <v>21168</v>
      </c>
      <c r="AN36" s="208">
        <f t="shared" si="7"/>
        <v>21168</v>
      </c>
      <c r="AO36" s="10"/>
    </row>
    <row r="37" spans="2:41">
      <c r="B37" s="222"/>
      <c r="C37" s="332" t="s">
        <v>138</v>
      </c>
      <c r="D37" s="333"/>
      <c r="E37" s="334"/>
      <c r="F37" s="334"/>
      <c r="G37" s="334"/>
      <c r="H37" s="334"/>
      <c r="I37" s="334"/>
      <c r="J37" s="334"/>
      <c r="K37" s="334"/>
      <c r="L37" s="334"/>
      <c r="M37" s="334"/>
      <c r="N37" s="334"/>
      <c r="O37" s="334"/>
      <c r="P37" s="334"/>
      <c r="Q37" s="334"/>
      <c r="R37" s="334"/>
      <c r="S37" s="334"/>
      <c r="T37" s="334"/>
      <c r="U37" s="334"/>
      <c r="V37" s="334"/>
      <c r="W37" s="334"/>
      <c r="X37" s="334"/>
      <c r="Y37" s="334"/>
      <c r="Z37" s="334"/>
      <c r="AA37" s="334"/>
      <c r="AB37" s="334"/>
      <c r="AC37" s="334"/>
      <c r="AD37" s="334"/>
      <c r="AE37" s="334"/>
      <c r="AF37" s="334"/>
      <c r="AG37" s="334"/>
      <c r="AH37" s="334"/>
      <c r="AI37" s="334"/>
      <c r="AJ37" s="334"/>
      <c r="AK37" s="334"/>
      <c r="AL37" s="334"/>
      <c r="AM37" s="334"/>
      <c r="AN37" s="334"/>
      <c r="AO37" s="10"/>
    </row>
    <row r="38" spans="2:41">
      <c r="B38" s="222"/>
      <c r="C38" s="196" t="s">
        <v>89</v>
      </c>
      <c r="D38" s="340"/>
      <c r="E38" s="187"/>
      <c r="F38" s="187"/>
      <c r="G38" s="187"/>
      <c r="H38" s="187"/>
      <c r="I38" s="187"/>
      <c r="J38" s="187"/>
      <c r="K38" s="187"/>
      <c r="L38" s="187"/>
      <c r="M38" s="187"/>
      <c r="N38" s="187"/>
      <c r="O38" s="187"/>
      <c r="P38" s="187"/>
      <c r="Q38" s="187"/>
      <c r="R38" s="187"/>
      <c r="S38" s="187"/>
      <c r="T38" s="187"/>
      <c r="U38" s="187"/>
      <c r="V38" s="187"/>
      <c r="W38" s="187"/>
      <c r="X38" s="187"/>
      <c r="Y38" s="187"/>
      <c r="Z38" s="187"/>
      <c r="AA38" s="187"/>
      <c r="AB38" s="187"/>
      <c r="AC38" s="187"/>
      <c r="AD38" s="187"/>
      <c r="AE38" s="187"/>
      <c r="AF38" s="187"/>
      <c r="AG38" s="187"/>
      <c r="AH38" s="187"/>
      <c r="AI38" s="187"/>
      <c r="AJ38" s="187"/>
      <c r="AK38" s="187"/>
      <c r="AL38" s="187"/>
      <c r="AM38" s="187"/>
      <c r="AN38" s="187"/>
      <c r="AO38" s="10"/>
    </row>
    <row r="39" spans="2:41">
      <c r="B39" s="222"/>
      <c r="C39" s="196" t="s">
        <v>90</v>
      </c>
      <c r="D39" s="339">
        <v>2000</v>
      </c>
      <c r="E39" s="187" t="e">
        <f>'Ежемесячные затраты'!#REF!*E40</f>
        <v>#REF!</v>
      </c>
      <c r="F39" s="187" t="e">
        <f>'Ежемесячные затраты'!#REF!*F40</f>
        <v>#REF!</v>
      </c>
      <c r="G39" s="187" t="e">
        <f>'Ежемесячные затраты'!#REF!*G40</f>
        <v>#REF!</v>
      </c>
      <c r="H39" s="187" t="e">
        <f>'Ежемесячные затраты'!#REF!*H40</f>
        <v>#REF!</v>
      </c>
      <c r="I39" s="187" t="e">
        <f>'Ежемесячные затраты'!#REF!*I40</f>
        <v>#REF!</v>
      </c>
      <c r="J39" s="187" t="e">
        <f>'Ежемесячные затраты'!#REF!*J40</f>
        <v>#REF!</v>
      </c>
      <c r="K39" s="187" t="e">
        <f>'Ежемесячные затраты'!#REF!*K40</f>
        <v>#REF!</v>
      </c>
      <c r="L39" s="187" t="e">
        <f>'Ежемесячные затраты'!#REF!*L40</f>
        <v>#REF!</v>
      </c>
      <c r="M39" s="187" t="e">
        <f>'Ежемесячные затраты'!#REF!*M40</f>
        <v>#REF!</v>
      </c>
      <c r="N39" s="187" t="e">
        <f>'Ежемесячные затраты'!#REF!*N40</f>
        <v>#REF!</v>
      </c>
      <c r="O39" s="187" t="e">
        <f>'Ежемесячные затраты'!#REF!*O40</f>
        <v>#REF!</v>
      </c>
      <c r="P39" s="187" t="e">
        <f>'Ежемесячные затраты'!#REF!*P40</f>
        <v>#REF!</v>
      </c>
      <c r="Q39" s="187" t="e">
        <f>'Ежемесячные затраты'!#REF!*Q40</f>
        <v>#REF!</v>
      </c>
      <c r="R39" s="187" t="e">
        <f>'Ежемесячные затраты'!#REF!*R40</f>
        <v>#REF!</v>
      </c>
      <c r="S39" s="187" t="e">
        <f>'Ежемесячные затраты'!#REF!*S40</f>
        <v>#REF!</v>
      </c>
      <c r="T39" s="187" t="e">
        <f>'Ежемесячные затраты'!#REF!*T40</f>
        <v>#REF!</v>
      </c>
      <c r="U39" s="187" t="e">
        <f>'Ежемесячные затраты'!#REF!*U40</f>
        <v>#REF!</v>
      </c>
      <c r="V39" s="187" t="e">
        <f>'Ежемесячные затраты'!#REF!*V40</f>
        <v>#REF!</v>
      </c>
      <c r="W39" s="187" t="e">
        <f>'Ежемесячные затраты'!#REF!*W40</f>
        <v>#REF!</v>
      </c>
      <c r="X39" s="187" t="e">
        <f>'Ежемесячные затраты'!#REF!*X40</f>
        <v>#REF!</v>
      </c>
      <c r="Y39" s="187" t="e">
        <f>'Ежемесячные затраты'!#REF!*Y40</f>
        <v>#REF!</v>
      </c>
      <c r="Z39" s="187" t="e">
        <f>'Ежемесячные затраты'!#REF!*Z40</f>
        <v>#REF!</v>
      </c>
      <c r="AA39" s="187" t="e">
        <f>'Ежемесячные затраты'!#REF!*AA40</f>
        <v>#REF!</v>
      </c>
      <c r="AB39" s="187" t="e">
        <f>'Ежемесячные затраты'!#REF!*AB40</f>
        <v>#REF!</v>
      </c>
      <c r="AC39" s="187" t="e">
        <f>'Ежемесячные затраты'!#REF!*AC40</f>
        <v>#REF!</v>
      </c>
      <c r="AD39" s="187" t="e">
        <f>'Ежемесячные затраты'!#REF!*AD40</f>
        <v>#REF!</v>
      </c>
      <c r="AE39" s="187" t="e">
        <f>'Ежемесячные затраты'!#REF!*AE40</f>
        <v>#REF!</v>
      </c>
      <c r="AF39" s="187" t="e">
        <f>'Ежемесячные затраты'!#REF!*AF40</f>
        <v>#REF!</v>
      </c>
      <c r="AG39" s="187" t="e">
        <f>'Ежемесячные затраты'!#REF!*AG40</f>
        <v>#REF!</v>
      </c>
      <c r="AH39" s="187" t="e">
        <f>'Ежемесячные затраты'!#REF!*AH40</f>
        <v>#REF!</v>
      </c>
      <c r="AI39" s="187" t="e">
        <f>'Ежемесячные затраты'!#REF!*AI40</f>
        <v>#REF!</v>
      </c>
      <c r="AJ39" s="187" t="e">
        <f>'Ежемесячные затраты'!#REF!*AJ40</f>
        <v>#REF!</v>
      </c>
      <c r="AK39" s="187" t="e">
        <f>'Ежемесячные затраты'!#REF!*AK40</f>
        <v>#REF!</v>
      </c>
      <c r="AL39" s="187" t="e">
        <f>'Ежемесячные затраты'!#REF!*AL40</f>
        <v>#REF!</v>
      </c>
      <c r="AM39" s="187" t="e">
        <f>'Ежемесячные затраты'!#REF!*AM40</f>
        <v>#REF!</v>
      </c>
      <c r="AN39" s="187" t="e">
        <f>'Ежемесячные затраты'!#REF!*AN40</f>
        <v>#REF!</v>
      </c>
      <c r="AO39" s="10"/>
    </row>
    <row r="40" spans="2:41" ht="15.75" customHeight="1">
      <c r="B40" s="222"/>
      <c r="C40" s="196" t="s">
        <v>147</v>
      </c>
      <c r="D40" s="339">
        <v>4</v>
      </c>
      <c r="E40" s="187">
        <f>$D$40*E42</f>
        <v>8</v>
      </c>
      <c r="F40" s="187">
        <f t="shared" ref="F40:AN40" si="8">$D$40*F42</f>
        <v>12.8</v>
      </c>
      <c r="G40" s="187">
        <f t="shared" si="8"/>
        <v>16</v>
      </c>
      <c r="H40" s="187">
        <f t="shared" si="8"/>
        <v>16</v>
      </c>
      <c r="I40" s="187">
        <f t="shared" si="8"/>
        <v>14.4</v>
      </c>
      <c r="J40" s="187">
        <f t="shared" si="8"/>
        <v>16</v>
      </c>
      <c r="K40" s="187">
        <f t="shared" si="8"/>
        <v>16</v>
      </c>
      <c r="L40" s="187">
        <f t="shared" si="8"/>
        <v>16</v>
      </c>
      <c r="M40" s="187">
        <f t="shared" si="8"/>
        <v>16</v>
      </c>
      <c r="N40" s="187">
        <f t="shared" si="8"/>
        <v>4.8</v>
      </c>
      <c r="O40" s="187">
        <f t="shared" si="8"/>
        <v>4.8</v>
      </c>
      <c r="P40" s="187">
        <f t="shared" si="8"/>
        <v>4.8</v>
      </c>
      <c r="Q40" s="187">
        <f t="shared" si="8"/>
        <v>11.2</v>
      </c>
      <c r="R40" s="187">
        <f t="shared" si="8"/>
        <v>16</v>
      </c>
      <c r="S40" s="187">
        <f t="shared" si="8"/>
        <v>16</v>
      </c>
      <c r="T40" s="187">
        <f t="shared" si="8"/>
        <v>16</v>
      </c>
      <c r="U40" s="187">
        <f t="shared" si="8"/>
        <v>14.4</v>
      </c>
      <c r="V40" s="187">
        <f t="shared" si="8"/>
        <v>16</v>
      </c>
      <c r="W40" s="187">
        <f t="shared" si="8"/>
        <v>16</v>
      </c>
      <c r="X40" s="187">
        <f t="shared" si="8"/>
        <v>16</v>
      </c>
      <c r="Y40" s="187">
        <f t="shared" si="8"/>
        <v>16</v>
      </c>
      <c r="Z40" s="187">
        <f t="shared" si="8"/>
        <v>4.8</v>
      </c>
      <c r="AA40" s="187">
        <f t="shared" si="8"/>
        <v>4.8</v>
      </c>
      <c r="AB40" s="187">
        <f t="shared" si="8"/>
        <v>4.8</v>
      </c>
      <c r="AC40" s="187">
        <f t="shared" si="8"/>
        <v>11.2</v>
      </c>
      <c r="AD40" s="187">
        <f t="shared" si="8"/>
        <v>16</v>
      </c>
      <c r="AE40" s="187">
        <f t="shared" si="8"/>
        <v>16</v>
      </c>
      <c r="AF40" s="187">
        <f t="shared" si="8"/>
        <v>16</v>
      </c>
      <c r="AG40" s="187">
        <f t="shared" si="8"/>
        <v>14.4</v>
      </c>
      <c r="AH40" s="187">
        <f t="shared" si="8"/>
        <v>16</v>
      </c>
      <c r="AI40" s="187">
        <f t="shared" si="8"/>
        <v>16</v>
      </c>
      <c r="AJ40" s="187">
        <f t="shared" si="8"/>
        <v>16</v>
      </c>
      <c r="AK40" s="187">
        <f t="shared" si="8"/>
        <v>16</v>
      </c>
      <c r="AL40" s="187">
        <f t="shared" si="8"/>
        <v>4.8</v>
      </c>
      <c r="AM40" s="187">
        <f t="shared" si="8"/>
        <v>4.8</v>
      </c>
      <c r="AN40" s="187">
        <f t="shared" si="8"/>
        <v>4.8</v>
      </c>
      <c r="AO40" s="10"/>
    </row>
    <row r="41" spans="2:41">
      <c r="B41" s="222"/>
      <c r="C41" s="355" t="s">
        <v>142</v>
      </c>
      <c r="D41" s="339">
        <v>14</v>
      </c>
      <c r="E41" s="357">
        <f t="shared" ref="E41:AN41" si="9">$D$41*E22</f>
        <v>7</v>
      </c>
      <c r="F41" s="357">
        <f t="shared" si="9"/>
        <v>11.200000000000001</v>
      </c>
      <c r="G41" s="357">
        <f t="shared" si="9"/>
        <v>14</v>
      </c>
      <c r="H41" s="357">
        <f t="shared" si="9"/>
        <v>14</v>
      </c>
      <c r="I41" s="357">
        <f t="shared" si="9"/>
        <v>12.6</v>
      </c>
      <c r="J41" s="357">
        <f t="shared" si="9"/>
        <v>14</v>
      </c>
      <c r="K41" s="357">
        <f t="shared" si="9"/>
        <v>14</v>
      </c>
      <c r="L41" s="357">
        <f t="shared" si="9"/>
        <v>14</v>
      </c>
      <c r="M41" s="357">
        <f t="shared" si="9"/>
        <v>14</v>
      </c>
      <c r="N41" s="357">
        <f t="shared" si="9"/>
        <v>4.2</v>
      </c>
      <c r="O41" s="357">
        <f t="shared" si="9"/>
        <v>4.2</v>
      </c>
      <c r="P41" s="357">
        <f t="shared" si="9"/>
        <v>4.2</v>
      </c>
      <c r="Q41" s="357">
        <f t="shared" si="9"/>
        <v>9.7999999999999989</v>
      </c>
      <c r="R41" s="357">
        <f t="shared" si="9"/>
        <v>14</v>
      </c>
      <c r="S41" s="357">
        <f t="shared" si="9"/>
        <v>14</v>
      </c>
      <c r="T41" s="357">
        <f t="shared" si="9"/>
        <v>14</v>
      </c>
      <c r="U41" s="357">
        <f t="shared" si="9"/>
        <v>12.6</v>
      </c>
      <c r="V41" s="357">
        <f t="shared" si="9"/>
        <v>14</v>
      </c>
      <c r="W41" s="357">
        <f t="shared" si="9"/>
        <v>14</v>
      </c>
      <c r="X41" s="357">
        <f t="shared" si="9"/>
        <v>14</v>
      </c>
      <c r="Y41" s="357">
        <f t="shared" si="9"/>
        <v>14</v>
      </c>
      <c r="Z41" s="357">
        <f t="shared" si="9"/>
        <v>4.2</v>
      </c>
      <c r="AA41" s="357">
        <f t="shared" si="9"/>
        <v>4.2</v>
      </c>
      <c r="AB41" s="357">
        <f t="shared" si="9"/>
        <v>4.2</v>
      </c>
      <c r="AC41" s="357">
        <f t="shared" si="9"/>
        <v>9.7999999999999989</v>
      </c>
      <c r="AD41" s="357">
        <f t="shared" si="9"/>
        <v>14</v>
      </c>
      <c r="AE41" s="357">
        <f t="shared" si="9"/>
        <v>14</v>
      </c>
      <c r="AF41" s="357">
        <f t="shared" si="9"/>
        <v>14</v>
      </c>
      <c r="AG41" s="357">
        <f t="shared" si="9"/>
        <v>12.6</v>
      </c>
      <c r="AH41" s="357">
        <f t="shared" si="9"/>
        <v>14</v>
      </c>
      <c r="AI41" s="357">
        <f t="shared" si="9"/>
        <v>14</v>
      </c>
      <c r="AJ41" s="357">
        <f t="shared" si="9"/>
        <v>14</v>
      </c>
      <c r="AK41" s="357">
        <f t="shared" si="9"/>
        <v>14</v>
      </c>
      <c r="AL41" s="357">
        <f t="shared" si="9"/>
        <v>4.2</v>
      </c>
      <c r="AM41" s="357">
        <f t="shared" si="9"/>
        <v>4.2</v>
      </c>
      <c r="AN41" s="357">
        <f t="shared" si="9"/>
        <v>4.2</v>
      </c>
      <c r="AO41" s="10"/>
    </row>
    <row r="42" spans="2:41">
      <c r="B42" s="222"/>
      <c r="C42" s="355" t="s">
        <v>143</v>
      </c>
      <c r="D42" s="213">
        <v>4</v>
      </c>
      <c r="E42" s="357">
        <f t="shared" ref="E42:AN42" si="10">$D$42*E22</f>
        <v>2</v>
      </c>
      <c r="F42" s="357">
        <f t="shared" si="10"/>
        <v>3.2</v>
      </c>
      <c r="G42" s="357">
        <f t="shared" si="10"/>
        <v>4</v>
      </c>
      <c r="H42" s="357">
        <f t="shared" si="10"/>
        <v>4</v>
      </c>
      <c r="I42" s="357">
        <f t="shared" si="10"/>
        <v>3.6</v>
      </c>
      <c r="J42" s="357">
        <f t="shared" si="10"/>
        <v>4</v>
      </c>
      <c r="K42" s="357">
        <f t="shared" si="10"/>
        <v>4</v>
      </c>
      <c r="L42" s="357">
        <f t="shared" si="10"/>
        <v>4</v>
      </c>
      <c r="M42" s="357">
        <f t="shared" si="10"/>
        <v>4</v>
      </c>
      <c r="N42" s="357">
        <f t="shared" si="10"/>
        <v>1.2</v>
      </c>
      <c r="O42" s="357">
        <f t="shared" si="10"/>
        <v>1.2</v>
      </c>
      <c r="P42" s="357">
        <f t="shared" si="10"/>
        <v>1.2</v>
      </c>
      <c r="Q42" s="357">
        <f t="shared" si="10"/>
        <v>2.8</v>
      </c>
      <c r="R42" s="357">
        <f t="shared" si="10"/>
        <v>4</v>
      </c>
      <c r="S42" s="357">
        <f t="shared" si="10"/>
        <v>4</v>
      </c>
      <c r="T42" s="357">
        <f t="shared" si="10"/>
        <v>4</v>
      </c>
      <c r="U42" s="357">
        <f t="shared" si="10"/>
        <v>3.6</v>
      </c>
      <c r="V42" s="357">
        <f t="shared" si="10"/>
        <v>4</v>
      </c>
      <c r="W42" s="357">
        <f t="shared" si="10"/>
        <v>4</v>
      </c>
      <c r="X42" s="357">
        <f t="shared" si="10"/>
        <v>4</v>
      </c>
      <c r="Y42" s="357">
        <f t="shared" si="10"/>
        <v>4</v>
      </c>
      <c r="Z42" s="357">
        <f t="shared" si="10"/>
        <v>1.2</v>
      </c>
      <c r="AA42" s="357">
        <f t="shared" si="10"/>
        <v>1.2</v>
      </c>
      <c r="AB42" s="357">
        <f t="shared" si="10"/>
        <v>1.2</v>
      </c>
      <c r="AC42" s="357">
        <f t="shared" si="10"/>
        <v>2.8</v>
      </c>
      <c r="AD42" s="357">
        <f t="shared" si="10"/>
        <v>4</v>
      </c>
      <c r="AE42" s="357">
        <f t="shared" si="10"/>
        <v>4</v>
      </c>
      <c r="AF42" s="357">
        <f t="shared" si="10"/>
        <v>4</v>
      </c>
      <c r="AG42" s="357">
        <f t="shared" si="10"/>
        <v>3.6</v>
      </c>
      <c r="AH42" s="357">
        <f t="shared" si="10"/>
        <v>4</v>
      </c>
      <c r="AI42" s="357">
        <f t="shared" si="10"/>
        <v>4</v>
      </c>
      <c r="AJ42" s="357">
        <f t="shared" si="10"/>
        <v>4</v>
      </c>
      <c r="AK42" s="357">
        <f t="shared" si="10"/>
        <v>4</v>
      </c>
      <c r="AL42" s="357">
        <f t="shared" si="10"/>
        <v>1.2</v>
      </c>
      <c r="AM42" s="357">
        <f t="shared" si="10"/>
        <v>1.2</v>
      </c>
      <c r="AN42" s="357">
        <f t="shared" si="10"/>
        <v>1.2</v>
      </c>
      <c r="AO42" s="10"/>
    </row>
    <row r="43" spans="2:41">
      <c r="B43" s="222"/>
      <c r="C43" s="196" t="s">
        <v>91</v>
      </c>
      <c r="D43" s="213"/>
      <c r="E43" s="208">
        <f>$D$39*E42*E41</f>
        <v>28000</v>
      </c>
      <c r="F43" s="208">
        <f t="shared" ref="F43:AN43" si="11">$D$39*F42*F41</f>
        <v>71680</v>
      </c>
      <c r="G43" s="208">
        <f t="shared" si="11"/>
        <v>112000</v>
      </c>
      <c r="H43" s="208">
        <f t="shared" si="11"/>
        <v>112000</v>
      </c>
      <c r="I43" s="208">
        <f t="shared" si="11"/>
        <v>90720</v>
      </c>
      <c r="J43" s="208">
        <f t="shared" si="11"/>
        <v>112000</v>
      </c>
      <c r="K43" s="208">
        <f t="shared" si="11"/>
        <v>112000</v>
      </c>
      <c r="L43" s="208">
        <f t="shared" si="11"/>
        <v>112000</v>
      </c>
      <c r="M43" s="208">
        <f t="shared" si="11"/>
        <v>112000</v>
      </c>
      <c r="N43" s="208">
        <f t="shared" si="11"/>
        <v>10080</v>
      </c>
      <c r="O43" s="208">
        <f t="shared" si="11"/>
        <v>10080</v>
      </c>
      <c r="P43" s="208">
        <f t="shared" si="11"/>
        <v>10080</v>
      </c>
      <c r="Q43" s="208">
        <f t="shared" si="11"/>
        <v>54879.999999999993</v>
      </c>
      <c r="R43" s="208">
        <f t="shared" si="11"/>
        <v>112000</v>
      </c>
      <c r="S43" s="208">
        <f t="shared" si="11"/>
        <v>112000</v>
      </c>
      <c r="T43" s="208">
        <f t="shared" si="11"/>
        <v>112000</v>
      </c>
      <c r="U43" s="208">
        <f t="shared" si="11"/>
        <v>90720</v>
      </c>
      <c r="V43" s="208">
        <f t="shared" si="11"/>
        <v>112000</v>
      </c>
      <c r="W43" s="208">
        <f t="shared" si="11"/>
        <v>112000</v>
      </c>
      <c r="X43" s="208">
        <f t="shared" si="11"/>
        <v>112000</v>
      </c>
      <c r="Y43" s="208">
        <f t="shared" si="11"/>
        <v>112000</v>
      </c>
      <c r="Z43" s="208">
        <f t="shared" si="11"/>
        <v>10080</v>
      </c>
      <c r="AA43" s="208">
        <f t="shared" si="11"/>
        <v>10080</v>
      </c>
      <c r="AB43" s="208">
        <f t="shared" si="11"/>
        <v>10080</v>
      </c>
      <c r="AC43" s="208">
        <f t="shared" si="11"/>
        <v>54879.999999999993</v>
      </c>
      <c r="AD43" s="208">
        <f t="shared" si="11"/>
        <v>112000</v>
      </c>
      <c r="AE43" s="208">
        <f t="shared" si="11"/>
        <v>112000</v>
      </c>
      <c r="AF43" s="208">
        <f t="shared" si="11"/>
        <v>112000</v>
      </c>
      <c r="AG43" s="208">
        <f t="shared" si="11"/>
        <v>90720</v>
      </c>
      <c r="AH43" s="208">
        <f t="shared" si="11"/>
        <v>112000</v>
      </c>
      <c r="AI43" s="208">
        <f t="shared" si="11"/>
        <v>112000</v>
      </c>
      <c r="AJ43" s="208">
        <f t="shared" si="11"/>
        <v>112000</v>
      </c>
      <c r="AK43" s="208">
        <f t="shared" si="11"/>
        <v>112000</v>
      </c>
      <c r="AL43" s="208">
        <f t="shared" si="11"/>
        <v>10080</v>
      </c>
      <c r="AM43" s="208">
        <f t="shared" si="11"/>
        <v>10080</v>
      </c>
      <c r="AN43" s="208">
        <f t="shared" si="11"/>
        <v>10080</v>
      </c>
      <c r="AO43" s="10"/>
    </row>
    <row r="44" spans="2:41">
      <c r="B44" s="222"/>
      <c r="C44" s="332" t="s">
        <v>144</v>
      </c>
      <c r="D44" s="333"/>
      <c r="E44" s="334"/>
      <c r="F44" s="334"/>
      <c r="G44" s="334"/>
      <c r="H44" s="334"/>
      <c r="I44" s="334"/>
      <c r="J44" s="334"/>
      <c r="K44" s="334"/>
      <c r="L44" s="334"/>
      <c r="M44" s="334"/>
      <c r="N44" s="334"/>
      <c r="O44" s="334"/>
      <c r="P44" s="334"/>
      <c r="Q44" s="334"/>
      <c r="R44" s="334"/>
      <c r="S44" s="334"/>
      <c r="T44" s="334"/>
      <c r="U44" s="334"/>
      <c r="V44" s="334"/>
      <c r="W44" s="334"/>
      <c r="X44" s="334"/>
      <c r="Y44" s="334"/>
      <c r="Z44" s="334"/>
      <c r="AA44" s="334"/>
      <c r="AB44" s="334"/>
      <c r="AC44" s="334"/>
      <c r="AD44" s="334"/>
      <c r="AE44" s="334"/>
      <c r="AF44" s="334"/>
      <c r="AG44" s="334"/>
      <c r="AH44" s="334"/>
      <c r="AI44" s="334"/>
      <c r="AJ44" s="334"/>
      <c r="AK44" s="334"/>
      <c r="AL44" s="334"/>
      <c r="AM44" s="334"/>
      <c r="AN44" s="334"/>
      <c r="AO44" s="10"/>
    </row>
    <row r="45" spans="2:41">
      <c r="B45" s="222"/>
      <c r="C45" s="196" t="s">
        <v>89</v>
      </c>
      <c r="D45" s="340"/>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7"/>
      <c r="AN45" s="187"/>
      <c r="AO45" s="10"/>
    </row>
    <row r="46" spans="2:41">
      <c r="B46" s="222"/>
      <c r="C46" s="196" t="s">
        <v>90</v>
      </c>
      <c r="D46" s="339">
        <v>2000</v>
      </c>
      <c r="E46" s="187" t="e">
        <f>'Ежемесячные затраты'!#REF!*E47</f>
        <v>#REF!</v>
      </c>
      <c r="F46" s="187" t="e">
        <f>'Ежемесячные затраты'!#REF!*F47</f>
        <v>#REF!</v>
      </c>
      <c r="G46" s="187" t="e">
        <f>'Ежемесячные затраты'!#REF!*G47</f>
        <v>#REF!</v>
      </c>
      <c r="H46" s="187" t="e">
        <f>'Ежемесячные затраты'!#REF!*H47</f>
        <v>#REF!</v>
      </c>
      <c r="I46" s="187" t="e">
        <f>'Ежемесячные затраты'!#REF!*I47</f>
        <v>#REF!</v>
      </c>
      <c r="J46" s="187" t="e">
        <f>'Ежемесячные затраты'!#REF!*J47</f>
        <v>#REF!</v>
      </c>
      <c r="K46" s="187" t="e">
        <f>'Ежемесячные затраты'!#REF!*K47</f>
        <v>#REF!</v>
      </c>
      <c r="L46" s="187" t="e">
        <f>'Ежемесячные затраты'!#REF!*L47</f>
        <v>#REF!</v>
      </c>
      <c r="M46" s="187" t="e">
        <f>'Ежемесячные затраты'!#REF!*M47</f>
        <v>#REF!</v>
      </c>
      <c r="N46" s="187" t="e">
        <f>'Ежемесячные затраты'!#REF!*N47</f>
        <v>#REF!</v>
      </c>
      <c r="O46" s="187" t="e">
        <f>'Ежемесячные затраты'!#REF!*O47</f>
        <v>#REF!</v>
      </c>
      <c r="P46" s="187" t="e">
        <f>'Ежемесячные затраты'!#REF!*P47</f>
        <v>#REF!</v>
      </c>
      <c r="Q46" s="187" t="e">
        <f>'Ежемесячные затраты'!#REF!*Q47</f>
        <v>#REF!</v>
      </c>
      <c r="R46" s="187" t="e">
        <f>'Ежемесячные затраты'!#REF!*R47</f>
        <v>#REF!</v>
      </c>
      <c r="S46" s="187" t="e">
        <f>'Ежемесячные затраты'!#REF!*S47</f>
        <v>#REF!</v>
      </c>
      <c r="T46" s="187" t="e">
        <f>'Ежемесячные затраты'!#REF!*T47</f>
        <v>#REF!</v>
      </c>
      <c r="U46" s="187" t="e">
        <f>'Ежемесячные затраты'!#REF!*U47</f>
        <v>#REF!</v>
      </c>
      <c r="V46" s="187" t="e">
        <f>'Ежемесячные затраты'!#REF!*V47</f>
        <v>#REF!</v>
      </c>
      <c r="W46" s="187" t="e">
        <f>'Ежемесячные затраты'!#REF!*W47</f>
        <v>#REF!</v>
      </c>
      <c r="X46" s="187" t="e">
        <f>'Ежемесячные затраты'!#REF!*X47</f>
        <v>#REF!</v>
      </c>
      <c r="Y46" s="187" t="e">
        <f>'Ежемесячные затраты'!#REF!*Y47</f>
        <v>#REF!</v>
      </c>
      <c r="Z46" s="187" t="e">
        <f>'Ежемесячные затраты'!#REF!*Z47</f>
        <v>#REF!</v>
      </c>
      <c r="AA46" s="187" t="e">
        <f>'Ежемесячные затраты'!#REF!*AA47</f>
        <v>#REF!</v>
      </c>
      <c r="AB46" s="187" t="e">
        <f>'Ежемесячные затраты'!#REF!*AB47</f>
        <v>#REF!</v>
      </c>
      <c r="AC46" s="187" t="e">
        <f>'Ежемесячные затраты'!#REF!*AC47</f>
        <v>#REF!</v>
      </c>
      <c r="AD46" s="187" t="e">
        <f>'Ежемесячные затраты'!#REF!*AD47</f>
        <v>#REF!</v>
      </c>
      <c r="AE46" s="187" t="e">
        <f>'Ежемесячные затраты'!#REF!*AE47</f>
        <v>#REF!</v>
      </c>
      <c r="AF46" s="187" t="e">
        <f>'Ежемесячные затраты'!#REF!*AF47</f>
        <v>#REF!</v>
      </c>
      <c r="AG46" s="187" t="e">
        <f>'Ежемесячные затраты'!#REF!*AG47</f>
        <v>#REF!</v>
      </c>
      <c r="AH46" s="187" t="e">
        <f>'Ежемесячные затраты'!#REF!*AH47</f>
        <v>#REF!</v>
      </c>
      <c r="AI46" s="187" t="e">
        <f>'Ежемесячные затраты'!#REF!*AI47</f>
        <v>#REF!</v>
      </c>
      <c r="AJ46" s="187" t="e">
        <f>'Ежемесячные затраты'!#REF!*AJ47</f>
        <v>#REF!</v>
      </c>
      <c r="AK46" s="187" t="e">
        <f>'Ежемесячные затраты'!#REF!*AK47</f>
        <v>#REF!</v>
      </c>
      <c r="AL46" s="187" t="e">
        <f>'Ежемесячные затраты'!#REF!*AL47</f>
        <v>#REF!</v>
      </c>
      <c r="AM46" s="187" t="e">
        <f>'Ежемесячные затраты'!#REF!*AM47</f>
        <v>#REF!</v>
      </c>
      <c r="AN46" s="187" t="e">
        <f>'Ежемесячные затраты'!#REF!*AN47</f>
        <v>#REF!</v>
      </c>
      <c r="AO46" s="10"/>
    </row>
    <row r="47" spans="2:41" ht="15.75" customHeight="1">
      <c r="B47" s="222"/>
      <c r="C47" s="196" t="s">
        <v>147</v>
      </c>
      <c r="D47" s="339">
        <v>4</v>
      </c>
      <c r="E47" s="187">
        <f>$D$47*E49</f>
        <v>4</v>
      </c>
      <c r="F47" s="187">
        <f t="shared" ref="F47:AN47" si="12">$D$47*F49</f>
        <v>4</v>
      </c>
      <c r="G47" s="187">
        <f t="shared" si="12"/>
        <v>4</v>
      </c>
      <c r="H47" s="187">
        <f t="shared" si="12"/>
        <v>4</v>
      </c>
      <c r="I47" s="187">
        <f t="shared" si="12"/>
        <v>4</v>
      </c>
      <c r="J47" s="187">
        <f t="shared" si="12"/>
        <v>4</v>
      </c>
      <c r="K47" s="187">
        <f t="shared" si="12"/>
        <v>4</v>
      </c>
      <c r="L47" s="187">
        <f t="shared" si="12"/>
        <v>4</v>
      </c>
      <c r="M47" s="187">
        <f t="shared" si="12"/>
        <v>4</v>
      </c>
      <c r="N47" s="187">
        <f t="shared" si="12"/>
        <v>4</v>
      </c>
      <c r="O47" s="187">
        <f t="shared" si="12"/>
        <v>4</v>
      </c>
      <c r="P47" s="187">
        <f t="shared" si="12"/>
        <v>4</v>
      </c>
      <c r="Q47" s="187">
        <f t="shared" si="12"/>
        <v>4</v>
      </c>
      <c r="R47" s="187">
        <f t="shared" si="12"/>
        <v>4</v>
      </c>
      <c r="S47" s="187">
        <f t="shared" si="12"/>
        <v>4</v>
      </c>
      <c r="T47" s="187">
        <f t="shared" si="12"/>
        <v>4</v>
      </c>
      <c r="U47" s="187">
        <f t="shared" si="12"/>
        <v>4</v>
      </c>
      <c r="V47" s="187">
        <f t="shared" si="12"/>
        <v>4</v>
      </c>
      <c r="W47" s="187">
        <f t="shared" si="12"/>
        <v>4</v>
      </c>
      <c r="X47" s="187">
        <f t="shared" si="12"/>
        <v>4</v>
      </c>
      <c r="Y47" s="187">
        <f t="shared" si="12"/>
        <v>4</v>
      </c>
      <c r="Z47" s="187">
        <f t="shared" si="12"/>
        <v>4</v>
      </c>
      <c r="AA47" s="187">
        <f t="shared" si="12"/>
        <v>4</v>
      </c>
      <c r="AB47" s="187">
        <f t="shared" si="12"/>
        <v>4</v>
      </c>
      <c r="AC47" s="187">
        <f t="shared" si="12"/>
        <v>4</v>
      </c>
      <c r="AD47" s="187">
        <f t="shared" si="12"/>
        <v>4</v>
      </c>
      <c r="AE47" s="187">
        <f t="shared" si="12"/>
        <v>4</v>
      </c>
      <c r="AF47" s="187">
        <f t="shared" si="12"/>
        <v>4</v>
      </c>
      <c r="AG47" s="187">
        <f t="shared" si="12"/>
        <v>4</v>
      </c>
      <c r="AH47" s="187">
        <f t="shared" si="12"/>
        <v>4</v>
      </c>
      <c r="AI47" s="187">
        <f t="shared" si="12"/>
        <v>4</v>
      </c>
      <c r="AJ47" s="187">
        <f t="shared" si="12"/>
        <v>4</v>
      </c>
      <c r="AK47" s="187">
        <f t="shared" si="12"/>
        <v>4</v>
      </c>
      <c r="AL47" s="187">
        <f t="shared" si="12"/>
        <v>4</v>
      </c>
      <c r="AM47" s="187">
        <f t="shared" si="12"/>
        <v>4</v>
      </c>
      <c r="AN47" s="187">
        <f t="shared" si="12"/>
        <v>4</v>
      </c>
      <c r="AO47" s="10"/>
    </row>
    <row r="48" spans="2:41">
      <c r="B48" s="222"/>
      <c r="C48" s="355" t="s">
        <v>142</v>
      </c>
      <c r="D48" s="339">
        <v>14</v>
      </c>
      <c r="E48" s="357">
        <f t="shared" ref="E48:AN48" si="13">$D$48*E22</f>
        <v>7</v>
      </c>
      <c r="F48" s="357">
        <f t="shared" si="13"/>
        <v>11.200000000000001</v>
      </c>
      <c r="G48" s="357">
        <f t="shared" si="13"/>
        <v>14</v>
      </c>
      <c r="H48" s="357">
        <f t="shared" si="13"/>
        <v>14</v>
      </c>
      <c r="I48" s="357">
        <f t="shared" si="13"/>
        <v>12.6</v>
      </c>
      <c r="J48" s="357">
        <f t="shared" si="13"/>
        <v>14</v>
      </c>
      <c r="K48" s="357">
        <f t="shared" si="13"/>
        <v>14</v>
      </c>
      <c r="L48" s="357">
        <f t="shared" si="13"/>
        <v>14</v>
      </c>
      <c r="M48" s="357">
        <f t="shared" si="13"/>
        <v>14</v>
      </c>
      <c r="N48" s="357">
        <f t="shared" si="13"/>
        <v>4.2</v>
      </c>
      <c r="O48" s="357">
        <f t="shared" si="13"/>
        <v>4.2</v>
      </c>
      <c r="P48" s="357">
        <f t="shared" si="13"/>
        <v>4.2</v>
      </c>
      <c r="Q48" s="357">
        <f t="shared" si="13"/>
        <v>9.7999999999999989</v>
      </c>
      <c r="R48" s="357">
        <f t="shared" si="13"/>
        <v>14</v>
      </c>
      <c r="S48" s="357">
        <f t="shared" si="13"/>
        <v>14</v>
      </c>
      <c r="T48" s="357">
        <f t="shared" si="13"/>
        <v>14</v>
      </c>
      <c r="U48" s="357">
        <f t="shared" si="13"/>
        <v>12.6</v>
      </c>
      <c r="V48" s="357">
        <f t="shared" si="13"/>
        <v>14</v>
      </c>
      <c r="W48" s="357">
        <f t="shared" si="13"/>
        <v>14</v>
      </c>
      <c r="X48" s="357">
        <f t="shared" si="13"/>
        <v>14</v>
      </c>
      <c r="Y48" s="357">
        <f t="shared" si="13"/>
        <v>14</v>
      </c>
      <c r="Z48" s="357">
        <f t="shared" si="13"/>
        <v>4.2</v>
      </c>
      <c r="AA48" s="357">
        <f t="shared" si="13"/>
        <v>4.2</v>
      </c>
      <c r="AB48" s="357">
        <f t="shared" si="13"/>
        <v>4.2</v>
      </c>
      <c r="AC48" s="357">
        <f t="shared" si="13"/>
        <v>9.7999999999999989</v>
      </c>
      <c r="AD48" s="357">
        <f t="shared" si="13"/>
        <v>14</v>
      </c>
      <c r="AE48" s="357">
        <f t="shared" si="13"/>
        <v>14</v>
      </c>
      <c r="AF48" s="357">
        <f t="shared" si="13"/>
        <v>14</v>
      </c>
      <c r="AG48" s="357">
        <f t="shared" si="13"/>
        <v>12.6</v>
      </c>
      <c r="AH48" s="357">
        <f t="shared" si="13"/>
        <v>14</v>
      </c>
      <c r="AI48" s="357">
        <f t="shared" si="13"/>
        <v>14</v>
      </c>
      <c r="AJ48" s="357">
        <f t="shared" si="13"/>
        <v>14</v>
      </c>
      <c r="AK48" s="357">
        <f t="shared" si="13"/>
        <v>14</v>
      </c>
      <c r="AL48" s="357">
        <f t="shared" si="13"/>
        <v>4.2</v>
      </c>
      <c r="AM48" s="357">
        <f t="shared" si="13"/>
        <v>4.2</v>
      </c>
      <c r="AN48" s="357">
        <f t="shared" si="13"/>
        <v>4.2</v>
      </c>
      <c r="AO48" s="10"/>
    </row>
    <row r="49" spans="2:41">
      <c r="B49" s="222"/>
      <c r="C49" s="355" t="s">
        <v>143</v>
      </c>
      <c r="D49" s="213">
        <v>1</v>
      </c>
      <c r="E49" s="357">
        <v>1</v>
      </c>
      <c r="F49" s="357">
        <v>1</v>
      </c>
      <c r="G49" s="357">
        <v>1</v>
      </c>
      <c r="H49" s="357">
        <v>1</v>
      </c>
      <c r="I49" s="357">
        <v>1</v>
      </c>
      <c r="J49" s="357">
        <v>1</v>
      </c>
      <c r="K49" s="357">
        <v>1</v>
      </c>
      <c r="L49" s="357">
        <v>1</v>
      </c>
      <c r="M49" s="357">
        <v>1</v>
      </c>
      <c r="N49" s="357">
        <v>1</v>
      </c>
      <c r="O49" s="357">
        <v>1</v>
      </c>
      <c r="P49" s="357">
        <v>1</v>
      </c>
      <c r="Q49" s="357">
        <v>1</v>
      </c>
      <c r="R49" s="357">
        <v>1</v>
      </c>
      <c r="S49" s="357">
        <v>1</v>
      </c>
      <c r="T49" s="357">
        <v>1</v>
      </c>
      <c r="U49" s="357">
        <v>1</v>
      </c>
      <c r="V49" s="357">
        <v>1</v>
      </c>
      <c r="W49" s="357">
        <v>1</v>
      </c>
      <c r="X49" s="357">
        <v>1</v>
      </c>
      <c r="Y49" s="357">
        <v>1</v>
      </c>
      <c r="Z49" s="357">
        <v>1</v>
      </c>
      <c r="AA49" s="357">
        <v>1</v>
      </c>
      <c r="AB49" s="357">
        <v>1</v>
      </c>
      <c r="AC49" s="357">
        <v>1</v>
      </c>
      <c r="AD49" s="357">
        <v>1</v>
      </c>
      <c r="AE49" s="357">
        <v>1</v>
      </c>
      <c r="AF49" s="357">
        <v>1</v>
      </c>
      <c r="AG49" s="357">
        <v>1</v>
      </c>
      <c r="AH49" s="357">
        <v>1</v>
      </c>
      <c r="AI49" s="357">
        <v>1</v>
      </c>
      <c r="AJ49" s="357">
        <v>1</v>
      </c>
      <c r="AK49" s="357">
        <v>1</v>
      </c>
      <c r="AL49" s="357">
        <v>1</v>
      </c>
      <c r="AM49" s="357">
        <v>1</v>
      </c>
      <c r="AN49" s="357">
        <v>1</v>
      </c>
      <c r="AO49" s="10"/>
    </row>
    <row r="50" spans="2:41">
      <c r="B50" s="222"/>
      <c r="C50" s="196" t="s">
        <v>91</v>
      </c>
      <c r="D50" s="213"/>
      <c r="E50" s="208">
        <f>$D$46*E49*E48</f>
        <v>14000</v>
      </c>
      <c r="F50" s="208">
        <f t="shared" ref="F50:AN50" si="14">$D$46*F49*F48</f>
        <v>22400.000000000004</v>
      </c>
      <c r="G50" s="208">
        <f t="shared" si="14"/>
        <v>28000</v>
      </c>
      <c r="H50" s="208">
        <f t="shared" si="14"/>
        <v>28000</v>
      </c>
      <c r="I50" s="208">
        <f t="shared" si="14"/>
        <v>25200</v>
      </c>
      <c r="J50" s="208">
        <f t="shared" si="14"/>
        <v>28000</v>
      </c>
      <c r="K50" s="208">
        <f t="shared" si="14"/>
        <v>28000</v>
      </c>
      <c r="L50" s="208">
        <f t="shared" si="14"/>
        <v>28000</v>
      </c>
      <c r="M50" s="208">
        <f t="shared" si="14"/>
        <v>28000</v>
      </c>
      <c r="N50" s="208">
        <f t="shared" si="14"/>
        <v>8400</v>
      </c>
      <c r="O50" s="208">
        <f t="shared" si="14"/>
        <v>8400</v>
      </c>
      <c r="P50" s="208">
        <f t="shared" si="14"/>
        <v>8400</v>
      </c>
      <c r="Q50" s="208">
        <f t="shared" si="14"/>
        <v>19599.999999999996</v>
      </c>
      <c r="R50" s="208">
        <f t="shared" si="14"/>
        <v>28000</v>
      </c>
      <c r="S50" s="208">
        <f t="shared" si="14"/>
        <v>28000</v>
      </c>
      <c r="T50" s="208">
        <f t="shared" si="14"/>
        <v>28000</v>
      </c>
      <c r="U50" s="208">
        <f t="shared" si="14"/>
        <v>25200</v>
      </c>
      <c r="V50" s="208">
        <f t="shared" si="14"/>
        <v>28000</v>
      </c>
      <c r="W50" s="208">
        <f t="shared" si="14"/>
        <v>28000</v>
      </c>
      <c r="X50" s="208">
        <f t="shared" si="14"/>
        <v>28000</v>
      </c>
      <c r="Y50" s="208">
        <f t="shared" si="14"/>
        <v>28000</v>
      </c>
      <c r="Z50" s="208">
        <f t="shared" si="14"/>
        <v>8400</v>
      </c>
      <c r="AA50" s="208">
        <f t="shared" si="14"/>
        <v>8400</v>
      </c>
      <c r="AB50" s="208">
        <f t="shared" si="14"/>
        <v>8400</v>
      </c>
      <c r="AC50" s="208">
        <f t="shared" si="14"/>
        <v>19599.999999999996</v>
      </c>
      <c r="AD50" s="208">
        <f t="shared" si="14"/>
        <v>28000</v>
      </c>
      <c r="AE50" s="208">
        <f t="shared" si="14"/>
        <v>28000</v>
      </c>
      <c r="AF50" s="208">
        <f t="shared" si="14"/>
        <v>28000</v>
      </c>
      <c r="AG50" s="208">
        <f t="shared" si="14"/>
        <v>25200</v>
      </c>
      <c r="AH50" s="208">
        <f t="shared" si="14"/>
        <v>28000</v>
      </c>
      <c r="AI50" s="208">
        <f t="shared" si="14"/>
        <v>28000</v>
      </c>
      <c r="AJ50" s="208">
        <f t="shared" si="14"/>
        <v>28000</v>
      </c>
      <c r="AK50" s="208">
        <f t="shared" si="14"/>
        <v>28000</v>
      </c>
      <c r="AL50" s="208">
        <f t="shared" si="14"/>
        <v>8400</v>
      </c>
      <c r="AM50" s="208">
        <f t="shared" si="14"/>
        <v>8400</v>
      </c>
      <c r="AN50" s="208">
        <f t="shared" si="14"/>
        <v>8400</v>
      </c>
      <c r="AO50" s="10"/>
    </row>
    <row r="51" spans="2:41" s="206" customFormat="1">
      <c r="B51" s="203"/>
      <c r="C51" s="204" t="s">
        <v>92</v>
      </c>
      <c r="D51" s="214">
        <f>IF('Входящие данные'!E12="DARK CITY POINT",100000,IF('Входящие данные'!E12="DARK CITY STALL",200000,350000))</f>
        <v>350000</v>
      </c>
      <c r="E51" s="208">
        <f>E29+E36+E43+E50</f>
        <v>210000</v>
      </c>
      <c r="F51" s="208">
        <f t="shared" ref="F51:AN51" si="15">F29+F36+F43+F50</f>
        <v>524160.00000000006</v>
      </c>
      <c r="G51" s="208">
        <f t="shared" si="15"/>
        <v>812000</v>
      </c>
      <c r="H51" s="208">
        <f t="shared" si="15"/>
        <v>812000</v>
      </c>
      <c r="I51" s="208">
        <f t="shared" si="15"/>
        <v>660240</v>
      </c>
      <c r="J51" s="208">
        <f t="shared" si="15"/>
        <v>812000</v>
      </c>
      <c r="K51" s="208">
        <f t="shared" si="15"/>
        <v>812000</v>
      </c>
      <c r="L51" s="208">
        <f t="shared" si="15"/>
        <v>812000</v>
      </c>
      <c r="M51" s="208">
        <f t="shared" si="15"/>
        <v>812000</v>
      </c>
      <c r="N51" s="208">
        <f t="shared" si="15"/>
        <v>78960</v>
      </c>
      <c r="O51" s="208">
        <f t="shared" si="15"/>
        <v>78960</v>
      </c>
      <c r="P51" s="208">
        <f t="shared" si="15"/>
        <v>78960</v>
      </c>
      <c r="Q51" s="208">
        <f t="shared" si="15"/>
        <v>403759.99999999994</v>
      </c>
      <c r="R51" s="208">
        <f t="shared" si="15"/>
        <v>812000</v>
      </c>
      <c r="S51" s="208">
        <f t="shared" si="15"/>
        <v>812000</v>
      </c>
      <c r="T51" s="208">
        <f t="shared" si="15"/>
        <v>812000</v>
      </c>
      <c r="U51" s="208">
        <f t="shared" si="15"/>
        <v>660240</v>
      </c>
      <c r="V51" s="208">
        <f t="shared" si="15"/>
        <v>812000</v>
      </c>
      <c r="W51" s="208">
        <f t="shared" si="15"/>
        <v>812000</v>
      </c>
      <c r="X51" s="208">
        <f t="shared" si="15"/>
        <v>812000</v>
      </c>
      <c r="Y51" s="208">
        <f t="shared" si="15"/>
        <v>812000</v>
      </c>
      <c r="Z51" s="208">
        <f t="shared" si="15"/>
        <v>78960</v>
      </c>
      <c r="AA51" s="208">
        <f t="shared" si="15"/>
        <v>78960</v>
      </c>
      <c r="AB51" s="208">
        <f t="shared" si="15"/>
        <v>78960</v>
      </c>
      <c r="AC51" s="208">
        <f t="shared" si="15"/>
        <v>403759.99999999994</v>
      </c>
      <c r="AD51" s="208">
        <f t="shared" si="15"/>
        <v>812000</v>
      </c>
      <c r="AE51" s="208">
        <f t="shared" si="15"/>
        <v>812000</v>
      </c>
      <c r="AF51" s="208">
        <f t="shared" si="15"/>
        <v>812000</v>
      </c>
      <c r="AG51" s="208">
        <f t="shared" si="15"/>
        <v>660240</v>
      </c>
      <c r="AH51" s="208">
        <f t="shared" si="15"/>
        <v>812000</v>
      </c>
      <c r="AI51" s="208">
        <f t="shared" si="15"/>
        <v>812000</v>
      </c>
      <c r="AJ51" s="208">
        <f t="shared" si="15"/>
        <v>812000</v>
      </c>
      <c r="AK51" s="208">
        <f t="shared" si="15"/>
        <v>812000</v>
      </c>
      <c r="AL51" s="208">
        <f t="shared" si="15"/>
        <v>78960</v>
      </c>
      <c r="AM51" s="208">
        <f t="shared" si="15"/>
        <v>78960</v>
      </c>
      <c r="AN51" s="208">
        <f t="shared" si="15"/>
        <v>78960</v>
      </c>
      <c r="AO51" s="205"/>
    </row>
    <row r="52" spans="2:41" ht="15" customHeight="1" thickBot="1">
      <c r="B52" s="13"/>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5"/>
    </row>
    <row r="53" spans="2:41" ht="15" customHeight="1">
      <c r="D53" s="329">
        <f>D51/'Ежемесячные затраты'!E19</f>
        <v>350000</v>
      </c>
    </row>
    <row r="54" spans="2:41" ht="15" customHeight="1">
      <c r="F54" s="216"/>
    </row>
    <row r="55" spans="2:41" ht="15" customHeight="1">
      <c r="F55" s="216"/>
    </row>
    <row r="56" spans="2:41" ht="15" customHeight="1">
      <c r="F56" s="283"/>
    </row>
    <row r="64" spans="2:41" ht="15" customHeight="1">
      <c r="D64" s="283"/>
    </row>
    <row r="65" spans="4:4" ht="15" customHeight="1">
      <c r="D65" s="283"/>
    </row>
    <row r="66" spans="4:4" ht="15" customHeight="1">
      <c r="D66" s="283"/>
    </row>
  </sheetData>
  <mergeCells count="13">
    <mergeCell ref="C11:J11"/>
    <mergeCell ref="B3:AO3"/>
    <mergeCell ref="B4:AO4"/>
    <mergeCell ref="H6:J6"/>
    <mergeCell ref="I7:K7"/>
    <mergeCell ref="I8:K8"/>
    <mergeCell ref="D19:G19"/>
    <mergeCell ref="C13:AN13"/>
    <mergeCell ref="D14:G14"/>
    <mergeCell ref="D15:G15"/>
    <mergeCell ref="D16:G16"/>
    <mergeCell ref="D17:G17"/>
    <mergeCell ref="D18:G18"/>
  </mergeCells>
  <pageMargins left="0.70866141732283472" right="0.70866141732283472" top="0.74803149606299213" bottom="0.74803149606299213" header="0.31496062992125984" footer="0.31496062992125984"/>
  <pageSetup paperSize="9" scale="34"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50"/>
  <sheetViews>
    <sheetView showGridLines="0" zoomScale="70" zoomScaleNormal="70" workbookViewId="0">
      <selection activeCell="G28" sqref="G28"/>
    </sheetView>
  </sheetViews>
  <sheetFormatPr defaultColWidth="15.140625" defaultRowHeight="15" customHeight="1" outlineLevelRow="1"/>
  <cols>
    <col min="1" max="2" width="5.28515625" style="33" customWidth="1"/>
    <col min="3" max="3" width="51" style="33" bestFit="1" customWidth="1"/>
    <col min="4" max="4" width="13" style="103" bestFit="1" customWidth="1"/>
    <col min="5" max="5" width="14.7109375" style="33" bestFit="1" customWidth="1"/>
    <col min="6" max="6" width="14.5703125" style="33" bestFit="1" customWidth="1"/>
    <col min="7" max="7" width="14" style="33" bestFit="1" customWidth="1"/>
    <col min="8" max="8" width="15.7109375" style="33" bestFit="1" customWidth="1"/>
    <col min="9" max="20" width="14" style="33" bestFit="1" customWidth="1"/>
    <col min="21" max="21" width="15.140625" style="33" customWidth="1"/>
    <col min="22" max="25" width="15.140625" style="33" bestFit="1" customWidth="1"/>
    <col min="26" max="27" width="15.7109375" style="33" bestFit="1" customWidth="1"/>
    <col min="28" max="39" width="15.7109375" style="186" bestFit="1" customWidth="1"/>
    <col min="40" max="40" width="15.7109375" style="33" bestFit="1" customWidth="1"/>
    <col min="41" max="41" width="6.140625" style="350" customWidth="1"/>
    <col min="42" max="16384" width="15.140625" style="33"/>
  </cols>
  <sheetData>
    <row r="1" spans="1:41" ht="15" customHeight="1" thickBot="1">
      <c r="A1" s="206"/>
      <c r="AO1" s="14"/>
    </row>
    <row r="2" spans="1:41" ht="15" customHeight="1">
      <c r="B2" s="4"/>
      <c r="C2" s="17"/>
      <c r="D2" s="104"/>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8"/>
    </row>
    <row r="3" spans="1:41" ht="20.25">
      <c r="B3" s="406"/>
      <c r="C3" s="407"/>
      <c r="D3" s="407"/>
      <c r="E3" s="407"/>
      <c r="F3" s="407"/>
      <c r="G3" s="407"/>
      <c r="H3" s="407"/>
      <c r="I3" s="407"/>
      <c r="J3" s="407"/>
      <c r="K3" s="407"/>
      <c r="L3" s="407"/>
      <c r="M3" s="407"/>
      <c r="N3" s="407"/>
      <c r="O3" s="407"/>
      <c r="P3" s="407"/>
      <c r="Q3" s="407"/>
      <c r="R3" s="407"/>
      <c r="S3" s="407"/>
      <c r="T3" s="407"/>
      <c r="U3" s="407"/>
      <c r="V3" s="407"/>
      <c r="W3" s="407"/>
      <c r="X3" s="407"/>
      <c r="Y3" s="407"/>
      <c r="Z3" s="407"/>
      <c r="AA3" s="407"/>
      <c r="AB3" s="407"/>
      <c r="AC3" s="407"/>
      <c r="AD3" s="407"/>
      <c r="AE3" s="407"/>
      <c r="AF3" s="407"/>
      <c r="AG3" s="407"/>
      <c r="AH3" s="407"/>
      <c r="AI3" s="407"/>
      <c r="AJ3" s="407"/>
      <c r="AK3" s="407"/>
      <c r="AL3" s="407"/>
      <c r="AM3" s="407"/>
      <c r="AN3" s="407"/>
      <c r="AO3" s="364"/>
    </row>
    <row r="4" spans="1:41" ht="20.25">
      <c r="B4" s="406"/>
      <c r="C4" s="407"/>
      <c r="D4" s="407"/>
      <c r="E4" s="407"/>
      <c r="F4" s="407"/>
      <c r="G4" s="407"/>
      <c r="H4" s="407"/>
      <c r="I4" s="407"/>
      <c r="J4" s="407"/>
      <c r="K4" s="407"/>
      <c r="L4" s="407"/>
      <c r="M4" s="407"/>
      <c r="N4" s="407"/>
      <c r="O4" s="407"/>
      <c r="P4" s="407"/>
      <c r="Q4" s="407"/>
      <c r="R4" s="407"/>
      <c r="S4" s="407"/>
      <c r="T4" s="407"/>
      <c r="U4" s="407"/>
      <c r="V4" s="407"/>
      <c r="W4" s="407"/>
      <c r="X4" s="407"/>
      <c r="Y4" s="407"/>
      <c r="Z4" s="407"/>
      <c r="AA4" s="407"/>
      <c r="AB4" s="407"/>
      <c r="AC4" s="407"/>
      <c r="AD4" s="407"/>
      <c r="AE4" s="407"/>
      <c r="AF4" s="407"/>
      <c r="AG4" s="407"/>
      <c r="AH4" s="407"/>
      <c r="AI4" s="407"/>
      <c r="AJ4" s="407"/>
      <c r="AK4" s="407"/>
      <c r="AL4" s="407"/>
      <c r="AM4" s="407"/>
      <c r="AN4" s="407"/>
      <c r="AO4" s="364"/>
    </row>
    <row r="5" spans="1:41" ht="107.25" customHeight="1">
      <c r="B5" s="8"/>
      <c r="C5" s="1"/>
      <c r="D5" s="44"/>
      <c r="E5" s="1"/>
      <c r="F5" s="1"/>
      <c r="G5" s="1"/>
      <c r="H5" s="1"/>
      <c r="I5" s="1"/>
      <c r="J5" s="1"/>
      <c r="K5" s="216"/>
      <c r="L5" s="1"/>
      <c r="M5" s="1"/>
      <c r="N5" s="1"/>
      <c r="O5" s="1"/>
      <c r="P5" s="1"/>
      <c r="Q5" s="1"/>
      <c r="R5" s="1"/>
      <c r="S5" s="1"/>
      <c r="T5" s="1"/>
      <c r="U5" s="1"/>
      <c r="V5" s="1"/>
      <c r="W5" s="1"/>
      <c r="X5" s="1"/>
      <c r="Y5" s="1"/>
      <c r="Z5" s="1"/>
      <c r="AA5" s="1"/>
      <c r="AB5" s="1"/>
      <c r="AC5" s="1"/>
      <c r="AD5" s="1"/>
      <c r="AE5" s="1"/>
      <c r="AF5" s="1"/>
      <c r="AG5" s="1"/>
      <c r="AH5" s="1"/>
      <c r="AI5" s="1"/>
      <c r="AJ5" s="1"/>
      <c r="AK5" s="1"/>
      <c r="AL5" s="1"/>
      <c r="AM5" s="1"/>
      <c r="AN5" s="221"/>
      <c r="AO5" s="10"/>
    </row>
    <row r="6" spans="1:41" ht="15.75">
      <c r="B6" s="8"/>
      <c r="C6" s="1"/>
      <c r="D6" s="409" t="s">
        <v>8</v>
      </c>
      <c r="E6" s="409"/>
      <c r="F6" s="1"/>
      <c r="G6" s="1"/>
      <c r="H6" s="1"/>
      <c r="I6" s="1"/>
      <c r="J6" s="1"/>
      <c r="K6" s="216"/>
      <c r="L6" s="1"/>
      <c r="M6" s="1"/>
      <c r="N6" s="1"/>
      <c r="O6" s="1"/>
      <c r="P6" s="1"/>
      <c r="Q6" s="1"/>
      <c r="R6" s="1"/>
      <c r="S6" s="1"/>
      <c r="T6" s="1"/>
      <c r="U6" s="1"/>
      <c r="V6" s="1"/>
      <c r="W6" s="336"/>
      <c r="X6" s="1"/>
      <c r="Y6" s="1"/>
      <c r="Z6" s="1"/>
      <c r="AA6" s="1"/>
      <c r="AB6" s="1"/>
      <c r="AC6" s="1"/>
      <c r="AD6" s="1"/>
      <c r="AE6" s="1"/>
      <c r="AF6" s="1"/>
      <c r="AG6" s="1"/>
      <c r="AH6" s="1"/>
      <c r="AI6" s="1"/>
      <c r="AJ6" s="1"/>
      <c r="AK6" s="1"/>
      <c r="AL6" s="1"/>
      <c r="AM6" s="1"/>
      <c r="AN6" s="221"/>
      <c r="AO6" s="10"/>
    </row>
    <row r="7" spans="1:41" ht="15.75">
      <c r="B7" s="8"/>
      <c r="C7" s="1"/>
      <c r="D7" s="393"/>
      <c r="E7" s="404" t="s">
        <v>5</v>
      </c>
      <c r="F7" s="404"/>
      <c r="G7" s="22"/>
      <c r="H7" s="22"/>
      <c r="I7" s="22"/>
      <c r="J7" s="1"/>
      <c r="K7" s="216"/>
      <c r="L7" s="1"/>
      <c r="M7" s="36"/>
      <c r="N7" s="36"/>
      <c r="O7" s="36"/>
      <c r="P7" s="193"/>
      <c r="Q7" s="193"/>
      <c r="R7" s="193"/>
      <c r="S7" s="193"/>
      <c r="T7" s="193"/>
      <c r="U7" s="193"/>
      <c r="V7" s="193"/>
      <c r="W7" s="193"/>
      <c r="X7" s="193"/>
      <c r="Y7" s="193"/>
      <c r="Z7" s="193"/>
      <c r="AA7" s="193"/>
      <c r="AB7" s="193"/>
      <c r="AC7" s="193"/>
      <c r="AD7" s="193"/>
      <c r="AE7" s="193"/>
      <c r="AF7" s="193"/>
      <c r="AG7" s="193"/>
      <c r="AH7" s="193"/>
      <c r="AI7" s="193"/>
      <c r="AJ7" s="193"/>
      <c r="AK7" s="193"/>
      <c r="AL7" s="193"/>
      <c r="AM7" s="193"/>
      <c r="AN7" s="221"/>
      <c r="AO7" s="10"/>
    </row>
    <row r="8" spans="1:41" ht="15" customHeight="1">
      <c r="B8" s="8"/>
      <c r="C8" s="1"/>
      <c r="D8" s="200"/>
      <c r="E8" s="414" t="s">
        <v>6</v>
      </c>
      <c r="F8" s="404"/>
      <c r="G8" s="22"/>
      <c r="H8" s="22"/>
      <c r="I8" s="22"/>
      <c r="J8" s="1"/>
      <c r="K8" s="216"/>
      <c r="L8" s="1"/>
      <c r="M8" s="36"/>
      <c r="N8" s="36"/>
      <c r="O8" s="36"/>
      <c r="P8" s="193"/>
      <c r="Q8" s="193"/>
      <c r="R8" s="193"/>
      <c r="S8" s="193"/>
      <c r="T8" s="193"/>
      <c r="U8" s="193"/>
      <c r="V8" s="193"/>
      <c r="W8" s="193"/>
      <c r="X8" s="193"/>
      <c r="Y8" s="193"/>
      <c r="Z8" s="193"/>
      <c r="AA8" s="193"/>
      <c r="AB8" s="193"/>
      <c r="AC8" s="193"/>
      <c r="AD8" s="193"/>
      <c r="AE8" s="193"/>
      <c r="AF8" s="193"/>
      <c r="AG8" s="193"/>
      <c r="AH8" s="193"/>
      <c r="AI8" s="193"/>
      <c r="AJ8" s="193"/>
      <c r="AK8" s="193"/>
      <c r="AL8" s="193"/>
      <c r="AM8" s="193"/>
      <c r="AN8" s="221"/>
      <c r="AO8" s="10"/>
    </row>
    <row r="9" spans="1:41" s="295" customFormat="1" ht="15.75">
      <c r="B9" s="222"/>
      <c r="C9" s="221"/>
      <c r="D9" s="320"/>
      <c r="E9" s="328"/>
      <c r="F9" s="328"/>
      <c r="G9" s="22"/>
      <c r="H9" s="22"/>
      <c r="I9" s="22"/>
      <c r="J9" s="221"/>
      <c r="K9" s="283"/>
      <c r="L9" s="221"/>
      <c r="M9" s="36"/>
      <c r="N9" s="36"/>
      <c r="O9" s="36"/>
      <c r="P9" s="290"/>
      <c r="Q9" s="290"/>
      <c r="R9" s="290"/>
      <c r="S9" s="290"/>
      <c r="T9" s="290"/>
      <c r="U9" s="290"/>
      <c r="V9" s="290"/>
      <c r="W9" s="290"/>
      <c r="X9" s="290"/>
      <c r="Y9" s="290"/>
      <c r="Z9" s="290"/>
      <c r="AA9" s="290"/>
      <c r="AB9" s="290"/>
      <c r="AC9" s="290"/>
      <c r="AD9" s="290"/>
      <c r="AE9" s="290"/>
      <c r="AF9" s="290"/>
      <c r="AG9" s="290"/>
      <c r="AH9" s="290"/>
      <c r="AI9" s="290"/>
      <c r="AJ9" s="290"/>
      <c r="AK9" s="290"/>
      <c r="AL9" s="290"/>
      <c r="AM9" s="290"/>
      <c r="AN9" s="221"/>
      <c r="AO9" s="10"/>
    </row>
    <row r="10" spans="1:41" s="295" customFormat="1">
      <c r="B10" s="222"/>
      <c r="C10" s="221"/>
      <c r="D10" s="320"/>
      <c r="E10" s="328"/>
      <c r="F10" s="328"/>
      <c r="G10" s="22"/>
      <c r="H10" s="22"/>
      <c r="I10" s="22"/>
      <c r="J10" s="221"/>
      <c r="K10" s="221"/>
      <c r="L10" s="221"/>
      <c r="M10" s="36"/>
      <c r="N10" s="36"/>
      <c r="O10" s="36"/>
      <c r="P10" s="290"/>
      <c r="Q10" s="290"/>
      <c r="R10" s="290"/>
      <c r="S10" s="290"/>
      <c r="T10" s="290"/>
      <c r="U10" s="290"/>
      <c r="V10" s="290"/>
      <c r="W10" s="290"/>
      <c r="X10" s="290"/>
      <c r="Y10" s="290"/>
      <c r="Z10" s="290"/>
      <c r="AA10" s="290"/>
      <c r="AB10" s="290"/>
      <c r="AC10" s="290"/>
      <c r="AD10" s="290"/>
      <c r="AE10" s="290"/>
      <c r="AF10" s="290"/>
      <c r="AG10" s="290"/>
      <c r="AH10" s="290"/>
      <c r="AI10" s="290"/>
      <c r="AJ10" s="290"/>
      <c r="AK10" s="290"/>
      <c r="AL10" s="290"/>
      <c r="AM10" s="290"/>
      <c r="AN10" s="221"/>
      <c r="AO10" s="10"/>
    </row>
    <row r="11" spans="1:41" ht="12" customHeight="1">
      <c r="B11" s="8"/>
      <c r="C11" s="1"/>
      <c r="D11" s="44"/>
      <c r="E11" s="221"/>
      <c r="F11" s="221"/>
      <c r="G11" s="22"/>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221"/>
      <c r="AO11" s="10"/>
    </row>
    <row r="12" spans="1:41" s="295" customFormat="1" ht="27.75" customHeight="1">
      <c r="B12" s="222"/>
      <c r="C12" s="221"/>
      <c r="D12" s="44"/>
      <c r="E12" s="221"/>
      <c r="F12" s="221"/>
      <c r="G12" s="221"/>
      <c r="H12" s="221"/>
      <c r="I12" s="221"/>
      <c r="J12" s="221"/>
      <c r="K12" s="221"/>
      <c r="L12" s="221"/>
      <c r="M12" s="221"/>
      <c r="N12" s="221"/>
      <c r="O12" s="221"/>
      <c r="P12" s="221"/>
      <c r="Q12" s="221"/>
      <c r="R12" s="221"/>
      <c r="S12" s="221"/>
      <c r="T12" s="221"/>
      <c r="U12" s="221"/>
      <c r="V12" s="221"/>
      <c r="W12" s="221"/>
      <c r="X12" s="221"/>
      <c r="Y12" s="221"/>
      <c r="Z12" s="221"/>
      <c r="AA12" s="221"/>
      <c r="AB12" s="221"/>
      <c r="AC12" s="221"/>
      <c r="AD12" s="221"/>
      <c r="AE12" s="221"/>
      <c r="AF12" s="221"/>
      <c r="AG12" s="221"/>
      <c r="AH12" s="221"/>
      <c r="AI12" s="221"/>
      <c r="AJ12" s="221"/>
      <c r="AK12" s="221"/>
      <c r="AL12" s="221"/>
      <c r="AM12" s="221"/>
      <c r="AN12" s="221"/>
      <c r="AO12" s="10"/>
    </row>
    <row r="13" spans="1:41" ht="20.25">
      <c r="B13" s="8"/>
      <c r="C13" s="58" t="s">
        <v>26</v>
      </c>
      <c r="D13" s="105"/>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377"/>
      <c r="AO13" s="369"/>
    </row>
    <row r="14" spans="1:41">
      <c r="B14" s="8"/>
      <c r="C14" s="27"/>
      <c r="D14" s="27" t="s">
        <v>67</v>
      </c>
      <c r="E14" s="28" t="str">
        <f>Продажи!E21</f>
        <v>Январь</v>
      </c>
      <c r="F14" s="28" t="str">
        <f>Продажи!F21</f>
        <v>Февраль</v>
      </c>
      <c r="G14" s="28" t="str">
        <f>Продажи!G21</f>
        <v>Март</v>
      </c>
      <c r="H14" s="28" t="str">
        <f>Продажи!H21</f>
        <v>Апрель</v>
      </c>
      <c r="I14" s="28" t="str">
        <f>Продажи!I21</f>
        <v>Май</v>
      </c>
      <c r="J14" s="28" t="str">
        <f>Продажи!J21</f>
        <v>Июнь</v>
      </c>
      <c r="K14" s="28" t="str">
        <f>Продажи!K21</f>
        <v>Июль</v>
      </c>
      <c r="L14" s="28" t="str">
        <f>Продажи!L21</f>
        <v>Август</v>
      </c>
      <c r="M14" s="28" t="str">
        <f>Продажи!M21</f>
        <v>Сентябрь</v>
      </c>
      <c r="N14" s="28" t="str">
        <f>Продажи!N21</f>
        <v>Октябрь</v>
      </c>
      <c r="O14" s="28" t="str">
        <f>Продажи!O21</f>
        <v>Ноябрь</v>
      </c>
      <c r="P14" s="28" t="str">
        <f>Продажи!P21</f>
        <v>Декабрь</v>
      </c>
      <c r="Q14" s="28" t="str">
        <f>Продажи!Q21</f>
        <v>Январь</v>
      </c>
      <c r="R14" s="28" t="str">
        <f>Продажи!R21</f>
        <v>Февраль</v>
      </c>
      <c r="S14" s="28" t="str">
        <f>Продажи!S21</f>
        <v>Март</v>
      </c>
      <c r="T14" s="28" t="str">
        <f>Продажи!T21</f>
        <v>Апрель</v>
      </c>
      <c r="U14" s="28" t="str">
        <f>Продажи!U21</f>
        <v>Май</v>
      </c>
      <c r="V14" s="28" t="str">
        <f>Продажи!V21</f>
        <v>Июнь</v>
      </c>
      <c r="W14" s="28" t="str">
        <f>Продажи!W21</f>
        <v>Июль</v>
      </c>
      <c r="X14" s="28" t="str">
        <f>Продажи!X21</f>
        <v>Август</v>
      </c>
      <c r="Y14" s="28" t="str">
        <f>Продажи!Y21</f>
        <v>Сентябрь</v>
      </c>
      <c r="Z14" s="28" t="str">
        <f>Продажи!Z21</f>
        <v>Октябрь</v>
      </c>
      <c r="AA14" s="28" t="str">
        <f>Продажи!AA21</f>
        <v>Ноябрь</v>
      </c>
      <c r="AB14" s="28" t="str">
        <f>Продажи!AB21</f>
        <v>Декабрь</v>
      </c>
      <c r="AC14" s="28" t="str">
        <f>Продажи!AC21</f>
        <v>Январь</v>
      </c>
      <c r="AD14" s="28" t="str">
        <f>Продажи!AD21</f>
        <v>Февраль</v>
      </c>
      <c r="AE14" s="28" t="str">
        <f>Продажи!AE21</f>
        <v>Март</v>
      </c>
      <c r="AF14" s="28" t="str">
        <f>Продажи!AF21</f>
        <v>Апрель</v>
      </c>
      <c r="AG14" s="28" t="str">
        <f>Продажи!AG21</f>
        <v>Май</v>
      </c>
      <c r="AH14" s="28" t="str">
        <f>Продажи!AH21</f>
        <v>Июнь</v>
      </c>
      <c r="AI14" s="28" t="str">
        <f>Продажи!AI21</f>
        <v>Июль</v>
      </c>
      <c r="AJ14" s="28" t="str">
        <f>Продажи!AJ21</f>
        <v>Август</v>
      </c>
      <c r="AK14" s="28" t="str">
        <f>Продажи!AK21</f>
        <v>Сентябрь</v>
      </c>
      <c r="AL14" s="28" t="str">
        <f>Продажи!AL21</f>
        <v>Октябрь</v>
      </c>
      <c r="AM14" s="28" t="str">
        <f>Продажи!AM21</f>
        <v>Ноябрь</v>
      </c>
      <c r="AN14" s="28" t="str">
        <f>Продажи!AN21</f>
        <v>Декабрь</v>
      </c>
      <c r="AO14" s="370"/>
    </row>
    <row r="15" spans="1:41" hidden="1">
      <c r="B15" s="8"/>
      <c r="C15" s="27"/>
      <c r="D15" s="27"/>
      <c r="E15" s="28">
        <v>1</v>
      </c>
      <c r="F15" s="28">
        <v>2</v>
      </c>
      <c r="G15" s="28">
        <v>3</v>
      </c>
      <c r="H15" s="28">
        <v>4</v>
      </c>
      <c r="I15" s="28">
        <v>5</v>
      </c>
      <c r="J15" s="28">
        <v>6</v>
      </c>
      <c r="K15" s="28">
        <v>7</v>
      </c>
      <c r="L15" s="28">
        <v>8</v>
      </c>
      <c r="M15" s="28">
        <v>9</v>
      </c>
      <c r="N15" s="28">
        <v>10</v>
      </c>
      <c r="O15" s="28">
        <v>11</v>
      </c>
      <c r="P15" s="28">
        <v>12</v>
      </c>
      <c r="Q15" s="28">
        <v>13</v>
      </c>
      <c r="R15" s="28">
        <v>14</v>
      </c>
      <c r="S15" s="28">
        <v>15</v>
      </c>
      <c r="T15" s="28">
        <v>16</v>
      </c>
      <c r="U15" s="28">
        <v>17</v>
      </c>
      <c r="V15" s="28">
        <v>18</v>
      </c>
      <c r="W15" s="28">
        <v>19</v>
      </c>
      <c r="X15" s="28">
        <v>20</v>
      </c>
      <c r="Y15" s="28">
        <v>21</v>
      </c>
      <c r="Z15" s="28">
        <v>22</v>
      </c>
      <c r="AA15" s="28">
        <v>23</v>
      </c>
      <c r="AB15" s="28">
        <v>24</v>
      </c>
      <c r="AC15" s="28">
        <v>25</v>
      </c>
      <c r="AD15" s="28">
        <v>26</v>
      </c>
      <c r="AE15" s="28">
        <v>27</v>
      </c>
      <c r="AF15" s="28">
        <v>28</v>
      </c>
      <c r="AG15" s="28">
        <v>29</v>
      </c>
      <c r="AH15" s="28">
        <v>30</v>
      </c>
      <c r="AI15" s="28">
        <v>31</v>
      </c>
      <c r="AJ15" s="28">
        <v>32</v>
      </c>
      <c r="AK15" s="28">
        <v>33</v>
      </c>
      <c r="AL15" s="28">
        <v>34</v>
      </c>
      <c r="AM15" s="28">
        <v>35</v>
      </c>
      <c r="AN15" s="28">
        <v>36</v>
      </c>
      <c r="AO15" s="370"/>
    </row>
    <row r="16" spans="1:41">
      <c r="B16" s="8"/>
      <c r="C16" s="29" t="s">
        <v>25</v>
      </c>
      <c r="D16" s="113">
        <f t="shared" ref="D16:D25" si="0">SUM(E16:AN16)</f>
        <v>8882874.3000000007</v>
      </c>
      <c r="E16" s="199">
        <f>Продажи!E34</f>
        <v>120862.8</v>
      </c>
      <c r="F16" s="199">
        <f>Продажи!F34</f>
        <v>109166.39999999999</v>
      </c>
      <c r="G16" s="199">
        <f>Продажи!G34</f>
        <v>141006.59999999998</v>
      </c>
      <c r="H16" s="199">
        <f>Продажи!H34</f>
        <v>155952</v>
      </c>
      <c r="I16" s="199">
        <f>Продажи!I34</f>
        <v>171222.3</v>
      </c>
      <c r="J16" s="199">
        <f>Продажи!J34</f>
        <v>194940</v>
      </c>
      <c r="K16" s="199">
        <f>Продажи!K34</f>
        <v>201438</v>
      </c>
      <c r="L16" s="199">
        <f>Продажи!L34</f>
        <v>201438</v>
      </c>
      <c r="M16" s="199">
        <f>Продажи!M34</f>
        <v>155952</v>
      </c>
      <c r="N16" s="199">
        <f>Продажи!N34</f>
        <v>151078.5</v>
      </c>
      <c r="O16" s="199">
        <f>Продажи!O34</f>
        <v>146205</v>
      </c>
      <c r="P16" s="199">
        <f>Продажи!P34</f>
        <v>151078.5</v>
      </c>
      <c r="Q16" s="199">
        <f>Продажи!Q34</f>
        <v>120862.8</v>
      </c>
      <c r="R16" s="199">
        <f>Продажи!R34</f>
        <v>109166.39999999999</v>
      </c>
      <c r="S16" s="199">
        <f>Продажи!S34</f>
        <v>235011</v>
      </c>
      <c r="T16" s="199">
        <f>Продажи!T34</f>
        <v>259920</v>
      </c>
      <c r="U16" s="199">
        <f>Продажи!U34</f>
        <v>285370.5</v>
      </c>
      <c r="V16" s="199">
        <f>Продажи!V34</f>
        <v>324900</v>
      </c>
      <c r="W16" s="199">
        <f>Продажи!W34</f>
        <v>335730</v>
      </c>
      <c r="X16" s="199">
        <f>Продажи!X34</f>
        <v>335730</v>
      </c>
      <c r="Y16" s="199">
        <f>Продажи!Y34</f>
        <v>259920</v>
      </c>
      <c r="Z16" s="199">
        <f>Продажи!Z34</f>
        <v>251797.5</v>
      </c>
      <c r="AA16" s="199">
        <f>Продажи!AA34</f>
        <v>243675</v>
      </c>
      <c r="AB16" s="199">
        <f>Продажи!AB34</f>
        <v>251797.5</v>
      </c>
      <c r="AC16" s="199">
        <f>Продажи!AC34</f>
        <v>201438</v>
      </c>
      <c r="AD16" s="199">
        <f>Продажи!AD34</f>
        <v>181944</v>
      </c>
      <c r="AE16" s="199">
        <f>Продажи!AE34</f>
        <v>235011</v>
      </c>
      <c r="AF16" s="199">
        <f>Продажи!AF34</f>
        <v>259920</v>
      </c>
      <c r="AG16" s="199">
        <f>Продажи!AG34</f>
        <v>285370.5</v>
      </c>
      <c r="AH16" s="199">
        <f>Продажи!AH34</f>
        <v>454860</v>
      </c>
      <c r="AI16" s="199">
        <f>Продажи!AI34</f>
        <v>470022</v>
      </c>
      <c r="AJ16" s="199">
        <f>Продажи!AJ34</f>
        <v>470022</v>
      </c>
      <c r="AK16" s="199">
        <f>Продажи!AK34</f>
        <v>363888</v>
      </c>
      <c r="AL16" s="199">
        <f>Продажи!AL34</f>
        <v>352516.5</v>
      </c>
      <c r="AM16" s="199">
        <f>Продажи!AM34</f>
        <v>341145</v>
      </c>
      <c r="AN16" s="199">
        <f>Продажи!AN34</f>
        <v>352516.5</v>
      </c>
      <c r="AO16" s="371"/>
    </row>
    <row r="17" spans="2:41" s="49" customFormat="1">
      <c r="B17" s="8"/>
      <c r="C17" s="29" t="s">
        <v>27</v>
      </c>
      <c r="D17" s="113">
        <f t="shared" si="0"/>
        <v>4807000</v>
      </c>
      <c r="E17" s="199">
        <f>SUM(E18:E23)</f>
        <v>37000</v>
      </c>
      <c r="F17" s="199">
        <f>SUM(F18:F23)</f>
        <v>37000</v>
      </c>
      <c r="G17" s="199">
        <f>SUM(G18:G23)</f>
        <v>97000</v>
      </c>
      <c r="H17" s="199">
        <f>SUM(H18:H23)</f>
        <v>92000</v>
      </c>
      <c r="I17" s="199">
        <f>SUM(I18:I23)</f>
        <v>92000</v>
      </c>
      <c r="J17" s="199">
        <f>SUM(J18:J23)</f>
        <v>92000</v>
      </c>
      <c r="K17" s="199">
        <f>SUM(K18:K23)</f>
        <v>92000</v>
      </c>
      <c r="L17" s="199">
        <f>SUM(L18:L23)</f>
        <v>92000</v>
      </c>
      <c r="M17" s="199">
        <f>SUM(M18:M23)</f>
        <v>92000</v>
      </c>
      <c r="N17" s="199">
        <f>SUM(N18:N23)</f>
        <v>92000</v>
      </c>
      <c r="O17" s="199">
        <f>SUM(O18:O23)</f>
        <v>92000</v>
      </c>
      <c r="P17" s="199">
        <f>SUM(P18:P23)</f>
        <v>92000</v>
      </c>
      <c r="Q17" s="199">
        <f>SUM(Q18:Q23)</f>
        <v>92000</v>
      </c>
      <c r="R17" s="199">
        <f>SUM(R18:R23)</f>
        <v>92000</v>
      </c>
      <c r="S17" s="199">
        <f>SUM(S18:S23)</f>
        <v>892000</v>
      </c>
      <c r="T17" s="199">
        <f>SUM(T18:T23)</f>
        <v>92000</v>
      </c>
      <c r="U17" s="199">
        <f>SUM(U18:U23)</f>
        <v>92000</v>
      </c>
      <c r="V17" s="199">
        <f>SUM(V18:V23)</f>
        <v>92000</v>
      </c>
      <c r="W17" s="199">
        <f>SUM(W18:W23)</f>
        <v>92000</v>
      </c>
      <c r="X17" s="199">
        <f>SUM(X18:X23)</f>
        <v>92000</v>
      </c>
      <c r="Y17" s="199">
        <f>SUM(Y18:Y23)</f>
        <v>92000</v>
      </c>
      <c r="Z17" s="199">
        <f>SUM(Z18:Z23)</f>
        <v>92000</v>
      </c>
      <c r="AA17" s="199">
        <f>SUM(AA18:AA23)</f>
        <v>92000</v>
      </c>
      <c r="AB17" s="199">
        <f>SUM(AB18:AB23)</f>
        <v>92000</v>
      </c>
      <c r="AC17" s="199">
        <f>SUM(AC18:AC23)</f>
        <v>92000</v>
      </c>
      <c r="AD17" s="199">
        <f>SUM(AD18:AD23)</f>
        <v>92000</v>
      </c>
      <c r="AE17" s="199">
        <f>SUM(AE18:AE23)</f>
        <v>92000</v>
      </c>
      <c r="AF17" s="199">
        <f>SUM(AF18:AF23)</f>
        <v>92000</v>
      </c>
      <c r="AG17" s="199">
        <f>SUM(AG18:AG23)</f>
        <v>92000</v>
      </c>
      <c r="AH17" s="199">
        <f>SUM(AH18:AH23)</f>
        <v>892000</v>
      </c>
      <c r="AI17" s="199">
        <f>SUM(AI18:AI23)</f>
        <v>92000</v>
      </c>
      <c r="AJ17" s="199">
        <f>SUM(AJ18:AJ23)</f>
        <v>92000</v>
      </c>
      <c r="AK17" s="199">
        <f>SUM(AK18:AK23)</f>
        <v>92000</v>
      </c>
      <c r="AL17" s="199">
        <f>SUM(AL18:AL23)</f>
        <v>92000</v>
      </c>
      <c r="AM17" s="199">
        <f>SUM(AM18:AM23)</f>
        <v>92000</v>
      </c>
      <c r="AN17" s="199">
        <f>SUM(AN18:AN23)</f>
        <v>92000</v>
      </c>
      <c r="AO17" s="371"/>
    </row>
    <row r="18" spans="2:41" outlineLevel="1">
      <c r="B18" s="8"/>
      <c r="C18" s="52" t="s">
        <v>35</v>
      </c>
      <c r="D18" s="114">
        <f t="shared" si="0"/>
        <v>432000</v>
      </c>
      <c r="E18" s="201">
        <f>'Ежемесячные затраты'!$F$16</f>
        <v>12000</v>
      </c>
      <c r="F18" s="201">
        <f>'Ежемесячные затраты'!$F$16</f>
        <v>12000</v>
      </c>
      <c r="G18" s="201">
        <f>'Ежемесячные затраты'!$F$16</f>
        <v>12000</v>
      </c>
      <c r="H18" s="201">
        <f>'Ежемесячные затраты'!$F$16</f>
        <v>12000</v>
      </c>
      <c r="I18" s="201">
        <f>'Ежемесячные затраты'!$F$16</f>
        <v>12000</v>
      </c>
      <c r="J18" s="201">
        <f>'Ежемесячные затраты'!$F$16</f>
        <v>12000</v>
      </c>
      <c r="K18" s="201">
        <f>'Ежемесячные затраты'!$F$16</f>
        <v>12000</v>
      </c>
      <c r="L18" s="201">
        <f>'Ежемесячные затраты'!$F$16</f>
        <v>12000</v>
      </c>
      <c r="M18" s="201">
        <f>'Ежемесячные затраты'!$F$16</f>
        <v>12000</v>
      </c>
      <c r="N18" s="201">
        <f>'Ежемесячные затраты'!$F$16</f>
        <v>12000</v>
      </c>
      <c r="O18" s="201">
        <f>'Ежемесячные затраты'!$F$16</f>
        <v>12000</v>
      </c>
      <c r="P18" s="201">
        <f>'Ежемесячные затраты'!$F$16</f>
        <v>12000</v>
      </c>
      <c r="Q18" s="201">
        <f>'Ежемесячные затраты'!$F$16</f>
        <v>12000</v>
      </c>
      <c r="R18" s="201">
        <f>'Ежемесячные затраты'!$F$16</f>
        <v>12000</v>
      </c>
      <c r="S18" s="201">
        <f>'Ежемесячные затраты'!$F$16</f>
        <v>12000</v>
      </c>
      <c r="T18" s="201">
        <f>'Ежемесячные затраты'!$F$16</f>
        <v>12000</v>
      </c>
      <c r="U18" s="201">
        <f>'Ежемесячные затраты'!$F$16</f>
        <v>12000</v>
      </c>
      <c r="V18" s="201">
        <f>'Ежемесячные затраты'!$F$16</f>
        <v>12000</v>
      </c>
      <c r="W18" s="201">
        <f>'Ежемесячные затраты'!$F$16</f>
        <v>12000</v>
      </c>
      <c r="X18" s="201">
        <f>'Ежемесячные затраты'!$F$16</f>
        <v>12000</v>
      </c>
      <c r="Y18" s="201">
        <f>'Ежемесячные затраты'!$F$16</f>
        <v>12000</v>
      </c>
      <c r="Z18" s="201">
        <f>'Ежемесячные затраты'!$F$16</f>
        <v>12000</v>
      </c>
      <c r="AA18" s="201">
        <f>'Ежемесячные затраты'!$F$16</f>
        <v>12000</v>
      </c>
      <c r="AB18" s="201">
        <f>'Ежемесячные затраты'!$F$16</f>
        <v>12000</v>
      </c>
      <c r="AC18" s="201">
        <f>'Ежемесячные затраты'!$F$16</f>
        <v>12000</v>
      </c>
      <c r="AD18" s="201">
        <f>'Ежемесячные затраты'!$F$16</f>
        <v>12000</v>
      </c>
      <c r="AE18" s="201">
        <f>'Ежемесячные затраты'!$F$16</f>
        <v>12000</v>
      </c>
      <c r="AF18" s="201">
        <f>'Ежемесячные затраты'!$F$16</f>
        <v>12000</v>
      </c>
      <c r="AG18" s="201">
        <f>'Ежемесячные затраты'!$F$16</f>
        <v>12000</v>
      </c>
      <c r="AH18" s="201">
        <f>'Ежемесячные затраты'!$F$16</f>
        <v>12000</v>
      </c>
      <c r="AI18" s="201">
        <f>'Ежемесячные затраты'!$F$16</f>
        <v>12000</v>
      </c>
      <c r="AJ18" s="201">
        <f>'Ежемесячные затраты'!$F$16</f>
        <v>12000</v>
      </c>
      <c r="AK18" s="201">
        <f>'Ежемесячные затраты'!$F$16</f>
        <v>12000</v>
      </c>
      <c r="AL18" s="201">
        <f>'Ежемесячные затраты'!$F$16</f>
        <v>12000</v>
      </c>
      <c r="AM18" s="201">
        <f>'Ежемесячные затраты'!$F$16</f>
        <v>12000</v>
      </c>
      <c r="AN18" s="201">
        <f>'Ежемесячные затраты'!$F$16</f>
        <v>12000</v>
      </c>
      <c r="AO18" s="372"/>
    </row>
    <row r="19" spans="2:41" outlineLevel="1">
      <c r="B19" s="8"/>
      <c r="C19" s="52" t="s">
        <v>72</v>
      </c>
      <c r="D19" s="114">
        <f t="shared" si="0"/>
        <v>2040000</v>
      </c>
      <c r="E19" s="201">
        <v>0</v>
      </c>
      <c r="F19" s="201">
        <v>0</v>
      </c>
      <c r="G19" s="201">
        <f>'Ежемесячные затраты'!$F$18</f>
        <v>60000</v>
      </c>
      <c r="H19" s="201">
        <f>'Ежемесячные затраты'!$F$18</f>
        <v>60000</v>
      </c>
      <c r="I19" s="201">
        <f>'Ежемесячные затраты'!$F$18</f>
        <v>60000</v>
      </c>
      <c r="J19" s="201">
        <f>'Ежемесячные затраты'!$F$18</f>
        <v>60000</v>
      </c>
      <c r="K19" s="201">
        <f>'Ежемесячные затраты'!$F$18</f>
        <v>60000</v>
      </c>
      <c r="L19" s="201">
        <f>'Ежемесячные затраты'!$F$18</f>
        <v>60000</v>
      </c>
      <c r="M19" s="201">
        <f>'Ежемесячные затраты'!$F$18</f>
        <v>60000</v>
      </c>
      <c r="N19" s="201">
        <f>'Ежемесячные затраты'!$F$18</f>
        <v>60000</v>
      </c>
      <c r="O19" s="201">
        <f>'Ежемесячные затраты'!$F$18</f>
        <v>60000</v>
      </c>
      <c r="P19" s="201">
        <f>'Ежемесячные затраты'!$F$18</f>
        <v>60000</v>
      </c>
      <c r="Q19" s="201">
        <f>'Ежемесячные затраты'!$F$18</f>
        <v>60000</v>
      </c>
      <c r="R19" s="201">
        <f>'Ежемесячные затраты'!$F$18</f>
        <v>60000</v>
      </c>
      <c r="S19" s="201">
        <f>'Ежемесячные затраты'!$F$18</f>
        <v>60000</v>
      </c>
      <c r="T19" s="201">
        <f>'Ежемесячные затраты'!$F$18</f>
        <v>60000</v>
      </c>
      <c r="U19" s="201">
        <f>'Ежемесячные затраты'!$F$18</f>
        <v>60000</v>
      </c>
      <c r="V19" s="201">
        <f>'Ежемесячные затраты'!$F$18</f>
        <v>60000</v>
      </c>
      <c r="W19" s="201">
        <f>'Ежемесячные затраты'!$F$18</f>
        <v>60000</v>
      </c>
      <c r="X19" s="201">
        <f>'Ежемесячные затраты'!$F$18</f>
        <v>60000</v>
      </c>
      <c r="Y19" s="201">
        <f>'Ежемесячные затраты'!$F$18</f>
        <v>60000</v>
      </c>
      <c r="Z19" s="201">
        <f>'Ежемесячные затраты'!$F$18</f>
        <v>60000</v>
      </c>
      <c r="AA19" s="201">
        <f>'Ежемесячные затраты'!$F$18</f>
        <v>60000</v>
      </c>
      <c r="AB19" s="201">
        <f>'Ежемесячные затраты'!$F$18</f>
        <v>60000</v>
      </c>
      <c r="AC19" s="201">
        <f>'Ежемесячные затраты'!$F$18</f>
        <v>60000</v>
      </c>
      <c r="AD19" s="201">
        <f>'Ежемесячные затраты'!$F$18</f>
        <v>60000</v>
      </c>
      <c r="AE19" s="201">
        <f>'Ежемесячные затраты'!$F$18</f>
        <v>60000</v>
      </c>
      <c r="AF19" s="201">
        <f>'Ежемесячные затраты'!$F$18</f>
        <v>60000</v>
      </c>
      <c r="AG19" s="201">
        <f>'Ежемесячные затраты'!$F$18</f>
        <v>60000</v>
      </c>
      <c r="AH19" s="201">
        <f>'Ежемесячные затраты'!$F$18</f>
        <v>60000</v>
      </c>
      <c r="AI19" s="201">
        <f>'Ежемесячные затраты'!$F$18</f>
        <v>60000</v>
      </c>
      <c r="AJ19" s="201">
        <f>'Ежемесячные затраты'!$F$18</f>
        <v>60000</v>
      </c>
      <c r="AK19" s="201">
        <f>'Ежемесячные затраты'!$F$18</f>
        <v>60000</v>
      </c>
      <c r="AL19" s="201">
        <f>'Ежемесячные затраты'!$F$18</f>
        <v>60000</v>
      </c>
      <c r="AM19" s="201">
        <f>'Ежемесячные затраты'!$F$18</f>
        <v>60000</v>
      </c>
      <c r="AN19" s="201">
        <f>'Ежемесячные затраты'!$F$18</f>
        <v>60000</v>
      </c>
      <c r="AO19" s="372"/>
    </row>
    <row r="20" spans="2:41" s="102" customFormat="1" outlineLevel="1">
      <c r="B20" s="8"/>
      <c r="C20" s="52" t="s">
        <v>69</v>
      </c>
      <c r="D20" s="114">
        <f t="shared" si="0"/>
        <v>0</v>
      </c>
      <c r="E20" s="201">
        <f>IF('Входящие данные'!E16=0,0,Кредитование!D8)</f>
        <v>0</v>
      </c>
      <c r="F20" s="201">
        <f>E20</f>
        <v>0</v>
      </c>
      <c r="G20" s="201">
        <f>F20</f>
        <v>0</v>
      </c>
      <c r="H20" s="201">
        <f t="shared" ref="H20:AN20" si="1">G20</f>
        <v>0</v>
      </c>
      <c r="I20" s="201">
        <f t="shared" si="1"/>
        <v>0</v>
      </c>
      <c r="J20" s="201">
        <f t="shared" si="1"/>
        <v>0</v>
      </c>
      <c r="K20" s="201">
        <f t="shared" si="1"/>
        <v>0</v>
      </c>
      <c r="L20" s="201">
        <f t="shared" si="1"/>
        <v>0</v>
      </c>
      <c r="M20" s="201">
        <f t="shared" si="1"/>
        <v>0</v>
      </c>
      <c r="N20" s="201">
        <f t="shared" si="1"/>
        <v>0</v>
      </c>
      <c r="O20" s="201">
        <f t="shared" si="1"/>
        <v>0</v>
      </c>
      <c r="P20" s="201">
        <f t="shared" si="1"/>
        <v>0</v>
      </c>
      <c r="Q20" s="201">
        <f t="shared" si="1"/>
        <v>0</v>
      </c>
      <c r="R20" s="201">
        <f t="shared" si="1"/>
        <v>0</v>
      </c>
      <c r="S20" s="201">
        <f t="shared" si="1"/>
        <v>0</v>
      </c>
      <c r="T20" s="201">
        <f t="shared" si="1"/>
        <v>0</v>
      </c>
      <c r="U20" s="201">
        <f t="shared" si="1"/>
        <v>0</v>
      </c>
      <c r="V20" s="201">
        <f t="shared" si="1"/>
        <v>0</v>
      </c>
      <c r="W20" s="201">
        <f t="shared" si="1"/>
        <v>0</v>
      </c>
      <c r="X20" s="201">
        <f t="shared" si="1"/>
        <v>0</v>
      </c>
      <c r="Y20" s="201">
        <f t="shared" si="1"/>
        <v>0</v>
      </c>
      <c r="Z20" s="201">
        <f t="shared" si="1"/>
        <v>0</v>
      </c>
      <c r="AA20" s="201">
        <f t="shared" si="1"/>
        <v>0</v>
      </c>
      <c r="AB20" s="201">
        <f t="shared" si="1"/>
        <v>0</v>
      </c>
      <c r="AC20" s="201">
        <f t="shared" si="1"/>
        <v>0</v>
      </c>
      <c r="AD20" s="201">
        <f t="shared" si="1"/>
        <v>0</v>
      </c>
      <c r="AE20" s="201">
        <f t="shared" si="1"/>
        <v>0</v>
      </c>
      <c r="AF20" s="201">
        <f t="shared" si="1"/>
        <v>0</v>
      </c>
      <c r="AG20" s="201">
        <f t="shared" si="1"/>
        <v>0</v>
      </c>
      <c r="AH20" s="201">
        <f t="shared" si="1"/>
        <v>0</v>
      </c>
      <c r="AI20" s="201">
        <f t="shared" si="1"/>
        <v>0</v>
      </c>
      <c r="AJ20" s="201">
        <f t="shared" si="1"/>
        <v>0</v>
      </c>
      <c r="AK20" s="201">
        <f t="shared" si="1"/>
        <v>0</v>
      </c>
      <c r="AL20" s="201">
        <f t="shared" si="1"/>
        <v>0</v>
      </c>
      <c r="AM20" s="201">
        <f t="shared" si="1"/>
        <v>0</v>
      </c>
      <c r="AN20" s="201">
        <f t="shared" si="1"/>
        <v>0</v>
      </c>
      <c r="AO20" s="372"/>
    </row>
    <row r="21" spans="2:41" s="327" customFormat="1" outlineLevel="1">
      <c r="B21" s="222"/>
      <c r="C21" s="52" t="s">
        <v>133</v>
      </c>
      <c r="D21" s="114">
        <f t="shared" si="0"/>
        <v>195000</v>
      </c>
      <c r="E21" s="201">
        <f>'Ежемесячные затраты'!$F$23</f>
        <v>10000</v>
      </c>
      <c r="F21" s="201">
        <f>'Ежемесячные затраты'!$F$23</f>
        <v>10000</v>
      </c>
      <c r="G21" s="201">
        <f>'Ежемесячные затраты'!$F$23</f>
        <v>10000</v>
      </c>
      <c r="H21" s="201">
        <v>5000</v>
      </c>
      <c r="I21" s="201">
        <v>5000</v>
      </c>
      <c r="J21" s="201">
        <v>5000</v>
      </c>
      <c r="K21" s="201">
        <v>5000</v>
      </c>
      <c r="L21" s="201">
        <v>5000</v>
      </c>
      <c r="M21" s="201">
        <v>5000</v>
      </c>
      <c r="N21" s="201">
        <v>5000</v>
      </c>
      <c r="O21" s="201">
        <v>5000</v>
      </c>
      <c r="P21" s="201">
        <v>5000</v>
      </c>
      <c r="Q21" s="201">
        <v>5000</v>
      </c>
      <c r="R21" s="201">
        <v>5000</v>
      </c>
      <c r="S21" s="201">
        <v>5000</v>
      </c>
      <c r="T21" s="201">
        <v>5000</v>
      </c>
      <c r="U21" s="201">
        <v>5000</v>
      </c>
      <c r="V21" s="201">
        <v>5000</v>
      </c>
      <c r="W21" s="201">
        <v>5000</v>
      </c>
      <c r="X21" s="201">
        <v>5000</v>
      </c>
      <c r="Y21" s="201">
        <v>5000</v>
      </c>
      <c r="Z21" s="201">
        <v>5000</v>
      </c>
      <c r="AA21" s="201">
        <v>5000</v>
      </c>
      <c r="AB21" s="201">
        <v>5000</v>
      </c>
      <c r="AC21" s="201">
        <v>5000</v>
      </c>
      <c r="AD21" s="201">
        <v>5000</v>
      </c>
      <c r="AE21" s="201">
        <v>5000</v>
      </c>
      <c r="AF21" s="201">
        <v>5000</v>
      </c>
      <c r="AG21" s="201">
        <v>5000</v>
      </c>
      <c r="AH21" s="201">
        <v>5000</v>
      </c>
      <c r="AI21" s="201">
        <v>5000</v>
      </c>
      <c r="AJ21" s="201">
        <v>5000</v>
      </c>
      <c r="AK21" s="201">
        <v>5000</v>
      </c>
      <c r="AL21" s="201">
        <v>5000</v>
      </c>
      <c r="AM21" s="201">
        <v>5000</v>
      </c>
      <c r="AN21" s="201">
        <v>5000</v>
      </c>
      <c r="AO21" s="372"/>
    </row>
    <row r="22" spans="2:41" s="350" customFormat="1" outlineLevel="1">
      <c r="B22" s="222"/>
      <c r="C22" s="52" t="s">
        <v>75</v>
      </c>
      <c r="D22" s="114">
        <f t="shared" si="0"/>
        <v>360000</v>
      </c>
      <c r="E22" s="201">
        <f>IF('Входящие данные'!E12="Инвестиционный",'Ежемесячные затраты'!$F$28*Прибыль_окупаемость!E16,'Ежемесячные затраты'!$F$27)</f>
        <v>10000</v>
      </c>
      <c r="F22" s="201">
        <f>IF('Входящие данные'!F12="Инвестиционный",'Ежемесячные затраты'!$F$28*Прибыль_окупаемость!F16,'Ежемесячные затраты'!$F$27)</f>
        <v>10000</v>
      </c>
      <c r="G22" s="201">
        <f>IF('Входящие данные'!G12="Инвестиционный",'Ежемесячные затраты'!$F$28*Прибыль_окупаемость!G16,'Ежемесячные затраты'!$F$27)</f>
        <v>10000</v>
      </c>
      <c r="H22" s="201">
        <f>IF('Входящие данные'!H12="Инвестиционный",'Ежемесячные затраты'!$F$28*Прибыль_окупаемость!H16,'Ежемесячные затраты'!$F$27)</f>
        <v>10000</v>
      </c>
      <c r="I22" s="201">
        <f>IF('Входящие данные'!I12="Инвестиционный",'Ежемесячные затраты'!$F$28*Прибыль_окупаемость!I16,'Ежемесячные затраты'!$F$27)</f>
        <v>10000</v>
      </c>
      <c r="J22" s="201">
        <f>IF('Входящие данные'!J12="Инвестиционный",'Ежемесячные затраты'!$F$28*Прибыль_окупаемость!J16,'Ежемесячные затраты'!$F$27)</f>
        <v>10000</v>
      </c>
      <c r="K22" s="201">
        <f>IF('Входящие данные'!K12="Инвестиционный",'Ежемесячные затраты'!$F$28*Прибыль_окупаемость!K16,'Ежемесячные затраты'!$F$27)</f>
        <v>10000</v>
      </c>
      <c r="L22" s="201">
        <f>IF('Входящие данные'!L12="Инвестиционный",'Ежемесячные затраты'!$F$28*Прибыль_окупаемость!L16,'Ежемесячные затраты'!$F$27)</f>
        <v>10000</v>
      </c>
      <c r="M22" s="201">
        <f>IF('Входящие данные'!M12="Инвестиционный",'Ежемесячные затраты'!$F$28*Прибыль_окупаемость!M16,'Ежемесячные затраты'!$F$27)</f>
        <v>10000</v>
      </c>
      <c r="N22" s="201">
        <f>IF('Входящие данные'!N12="Инвестиционный",'Ежемесячные затраты'!$F$28*Прибыль_окупаемость!N16,'Ежемесячные затраты'!$F$27)</f>
        <v>10000</v>
      </c>
      <c r="O22" s="201">
        <f>IF('Входящие данные'!O12="Инвестиционный",'Ежемесячные затраты'!$F$28*Прибыль_окупаемость!O16,'Ежемесячные затраты'!$F$27)</f>
        <v>10000</v>
      </c>
      <c r="P22" s="201">
        <f>IF('Входящие данные'!P12="Инвестиционный",'Ежемесячные затраты'!$F$28*Прибыль_окупаемость!P16,'Ежемесячные затраты'!$F$27)</f>
        <v>10000</v>
      </c>
      <c r="Q22" s="201">
        <f>IF('Входящие данные'!Q12="Инвестиционный",'Ежемесячные затраты'!$F$28*Прибыль_окупаемость!Q16,'Ежемесячные затраты'!$F$27)</f>
        <v>10000</v>
      </c>
      <c r="R22" s="201">
        <f>IF('Входящие данные'!R12="Инвестиционный",'Ежемесячные затраты'!$F$28*Прибыль_окупаемость!R16,'Ежемесячные затраты'!$F$27)</f>
        <v>10000</v>
      </c>
      <c r="S22" s="201">
        <f>IF('Входящие данные'!S12="Инвестиционный",'Ежемесячные затраты'!$F$28*Прибыль_окупаемость!S16,'Ежемесячные затраты'!$F$27)</f>
        <v>10000</v>
      </c>
      <c r="T22" s="201">
        <f>IF('Входящие данные'!T12="Инвестиционный",'Ежемесячные затраты'!$F$28*Прибыль_окупаемость!T16,'Ежемесячные затраты'!$F$27)</f>
        <v>10000</v>
      </c>
      <c r="U22" s="201">
        <f>IF('Входящие данные'!U12="Инвестиционный",'Ежемесячные затраты'!$F$28*Прибыль_окупаемость!U16,'Ежемесячные затраты'!$F$27)</f>
        <v>10000</v>
      </c>
      <c r="V22" s="201">
        <f>IF('Входящие данные'!V12="Инвестиционный",'Ежемесячные затраты'!$F$28*Прибыль_окупаемость!V16,'Ежемесячные затраты'!$F$27)</f>
        <v>10000</v>
      </c>
      <c r="W22" s="201">
        <f>IF('Входящие данные'!W12="Инвестиционный",'Ежемесячные затраты'!$F$28*Прибыль_окупаемость!W16,'Ежемесячные затраты'!$F$27)</f>
        <v>10000</v>
      </c>
      <c r="X22" s="201">
        <f>IF('Входящие данные'!X12="Инвестиционный",'Ежемесячные затраты'!$F$28*Прибыль_окупаемость!X16,'Ежемесячные затраты'!$F$27)</f>
        <v>10000</v>
      </c>
      <c r="Y22" s="201">
        <f>IF('Входящие данные'!Y12="Инвестиционный",'Ежемесячные затраты'!$F$28*Прибыль_окупаемость!Y16,'Ежемесячные затраты'!$F$27)</f>
        <v>10000</v>
      </c>
      <c r="Z22" s="201">
        <f>IF('Входящие данные'!Z12="Инвестиционный",'Ежемесячные затраты'!$F$28*Прибыль_окупаемость!Z16,'Ежемесячные затраты'!$F$27)</f>
        <v>10000</v>
      </c>
      <c r="AA22" s="201">
        <f>IF('Входящие данные'!AA12="Инвестиционный",'Ежемесячные затраты'!$F$28*Прибыль_окупаемость!AA16,'Ежемесячные затраты'!$F$27)</f>
        <v>10000</v>
      </c>
      <c r="AB22" s="201">
        <f>IF('Входящие данные'!AB12="Инвестиционный",'Ежемесячные затраты'!$F$28*Прибыль_окупаемость!AB16,'Ежемесячные затраты'!$F$27)</f>
        <v>10000</v>
      </c>
      <c r="AC22" s="201">
        <f>IF('Входящие данные'!AC12="Инвестиционный",'Ежемесячные затраты'!$F$28*Прибыль_окупаемость!AC16,'Ежемесячные затраты'!$F$27)</f>
        <v>10000</v>
      </c>
      <c r="AD22" s="201">
        <f>IF('Входящие данные'!AD12="Инвестиционный",'Ежемесячные затраты'!$F$28*Прибыль_окупаемость!AD16,'Ежемесячные затраты'!$F$27)</f>
        <v>10000</v>
      </c>
      <c r="AE22" s="201">
        <f>IF('Входящие данные'!AE12="Инвестиционный",'Ежемесячные затраты'!$F$28*Прибыль_окупаемость!AE16,'Ежемесячные затраты'!$F$27)</f>
        <v>10000</v>
      </c>
      <c r="AF22" s="201">
        <f>IF('Входящие данные'!AF12="Инвестиционный",'Ежемесячные затраты'!$F$28*Прибыль_окупаемость!AF16,'Ежемесячные затраты'!$F$27)</f>
        <v>10000</v>
      </c>
      <c r="AG22" s="201">
        <f>IF('Входящие данные'!AG12="Инвестиционный",'Ежемесячные затраты'!$F$28*Прибыль_окупаемость!AG16,'Ежемесячные затраты'!$F$27)</f>
        <v>10000</v>
      </c>
      <c r="AH22" s="201">
        <f>IF('Входящие данные'!AH12="Инвестиционный",'Ежемесячные затраты'!$F$28*Прибыль_окупаемость!AH16,'Ежемесячные затраты'!$F$27)</f>
        <v>10000</v>
      </c>
      <c r="AI22" s="201">
        <f>IF('Входящие данные'!AI12="Инвестиционный",'Ежемесячные затраты'!$F$28*Прибыль_окупаемость!AI16,'Ежемесячные затраты'!$F$27)</f>
        <v>10000</v>
      </c>
      <c r="AJ22" s="201">
        <f>IF('Входящие данные'!AJ12="Инвестиционный",'Ежемесячные затраты'!$F$28*Прибыль_окупаемость!AJ16,'Ежемесячные затраты'!$F$27)</f>
        <v>10000</v>
      </c>
      <c r="AK22" s="201">
        <f>IF('Входящие данные'!AK12="Инвестиционный",'Ежемесячные затраты'!$F$28*Прибыль_окупаемость!AK16,'Ежемесячные затраты'!$F$27)</f>
        <v>10000</v>
      </c>
      <c r="AL22" s="201">
        <f>IF('Входящие данные'!AL12="Инвестиционный",'Ежемесячные затраты'!$F$28*Прибыль_окупаемость!AL16,'Ежемесячные затраты'!$F$27)</f>
        <v>10000</v>
      </c>
      <c r="AM22" s="201">
        <f>IF('Входящие данные'!AM12="Инвестиционный",'Ежемесячные затраты'!$F$28*Прибыль_окупаемость!AM16,'Ежемесячные затраты'!$F$27)</f>
        <v>10000</v>
      </c>
      <c r="AN22" s="201">
        <f>IF('Входящие данные'!AN12="Инвестиционный",'Ежемесячные затраты'!$F$28*Прибыль_окупаемость!AN16,'Ежемесячные затраты'!$F$27)</f>
        <v>10000</v>
      </c>
      <c r="AO22" s="372"/>
    </row>
    <row r="23" spans="2:41" s="211" customFormat="1" outlineLevel="1">
      <c r="B23" s="8"/>
      <c r="C23" s="52" t="s">
        <v>71</v>
      </c>
      <c r="D23" s="114">
        <f t="shared" si="0"/>
        <v>1780000</v>
      </c>
      <c r="E23" s="201">
        <f>'Ежемесячные затраты'!$F$30</f>
        <v>5000</v>
      </c>
      <c r="F23" s="201">
        <f>'Ежемесячные затраты'!$F$30</f>
        <v>5000</v>
      </c>
      <c r="G23" s="201">
        <f>'Ежемесячные затраты'!$F$30</f>
        <v>5000</v>
      </c>
      <c r="H23" s="201">
        <f>'Ежемесячные затраты'!$F$30</f>
        <v>5000</v>
      </c>
      <c r="I23" s="201">
        <f>'Ежемесячные затраты'!$F$30</f>
        <v>5000</v>
      </c>
      <c r="J23" s="201">
        <f>'Ежемесячные затраты'!$F$30</f>
        <v>5000</v>
      </c>
      <c r="K23" s="201">
        <f>'Ежемесячные затраты'!$F$30</f>
        <v>5000</v>
      </c>
      <c r="L23" s="201">
        <f>'Ежемесячные затраты'!$F$30</f>
        <v>5000</v>
      </c>
      <c r="M23" s="201">
        <f>'Ежемесячные затраты'!$F$30</f>
        <v>5000</v>
      </c>
      <c r="N23" s="201">
        <f>'Ежемесячные затраты'!$F$30</f>
        <v>5000</v>
      </c>
      <c r="O23" s="201">
        <f>'Ежемесячные затраты'!$F$30</f>
        <v>5000</v>
      </c>
      <c r="P23" s="201">
        <f>'Ежемесячные затраты'!$F$30</f>
        <v>5000</v>
      </c>
      <c r="Q23" s="201">
        <f>'Ежемесячные затраты'!$F$30</f>
        <v>5000</v>
      </c>
      <c r="R23" s="201">
        <f>'Ежемесячные затраты'!$F$30</f>
        <v>5000</v>
      </c>
      <c r="S23" s="201">
        <f>'Ежемесячные затраты'!$F$30+'Ежемесячные затраты'!$F$32*'Ежемесячные затраты'!$E$32</f>
        <v>805000</v>
      </c>
      <c r="T23" s="201">
        <f>'Ежемесячные затраты'!$F$30</f>
        <v>5000</v>
      </c>
      <c r="U23" s="201">
        <f>'Ежемесячные затраты'!$F$30</f>
        <v>5000</v>
      </c>
      <c r="V23" s="201">
        <f>'Ежемесячные затраты'!$F$30</f>
        <v>5000</v>
      </c>
      <c r="W23" s="201">
        <f>'Ежемесячные затраты'!$F$30</f>
        <v>5000</v>
      </c>
      <c r="X23" s="201">
        <f>'Ежемесячные затраты'!$F$30</f>
        <v>5000</v>
      </c>
      <c r="Y23" s="201">
        <f>'Ежемесячные затраты'!$F$30</f>
        <v>5000</v>
      </c>
      <c r="Z23" s="201">
        <f>'Ежемесячные затраты'!$F$30</f>
        <v>5000</v>
      </c>
      <c r="AA23" s="201">
        <f>'Ежемесячные затраты'!$F$30</f>
        <v>5000</v>
      </c>
      <c r="AB23" s="201">
        <f>'Ежемесячные затраты'!$F$30</f>
        <v>5000</v>
      </c>
      <c r="AC23" s="201">
        <f>'Ежемесячные затраты'!$F$30</f>
        <v>5000</v>
      </c>
      <c r="AD23" s="201">
        <f>'Ежемесячные затраты'!$F$30</f>
        <v>5000</v>
      </c>
      <c r="AE23" s="201">
        <f>'Ежемесячные затраты'!$F$30</f>
        <v>5000</v>
      </c>
      <c r="AF23" s="201">
        <f>'Ежемесячные затраты'!$F$30</f>
        <v>5000</v>
      </c>
      <c r="AG23" s="201">
        <f>'Ежемесячные затраты'!$F$30</f>
        <v>5000</v>
      </c>
      <c r="AH23" s="201">
        <f>'Ежемесячные затраты'!$F$30+'Ежемесячные затраты'!F33*'Ежемесячные затраты'!E33</f>
        <v>805000</v>
      </c>
      <c r="AI23" s="201">
        <f>'Ежемесячные затраты'!$F$30</f>
        <v>5000</v>
      </c>
      <c r="AJ23" s="201">
        <f>'Ежемесячные затраты'!$F$30</f>
        <v>5000</v>
      </c>
      <c r="AK23" s="201">
        <f>'Ежемесячные затраты'!$F$30</f>
        <v>5000</v>
      </c>
      <c r="AL23" s="201">
        <f>'Ежемесячные затраты'!$F$30</f>
        <v>5000</v>
      </c>
      <c r="AM23" s="201">
        <f>'Ежемесячные затраты'!$F$30</f>
        <v>5000</v>
      </c>
      <c r="AN23" s="201">
        <f>'Ежемесячные затраты'!$F$30</f>
        <v>5000</v>
      </c>
      <c r="AO23" s="372"/>
    </row>
    <row r="24" spans="2:41" ht="15.75" customHeight="1">
      <c r="B24" s="8"/>
      <c r="C24" s="30" t="s">
        <v>2</v>
      </c>
      <c r="D24" s="115">
        <f t="shared" si="0"/>
        <v>1708000</v>
      </c>
      <c r="E24" s="199">
        <f>'Инвестиции на орг-цию бизнеса'!$E$32</f>
        <v>1708000</v>
      </c>
      <c r="F24" s="199"/>
      <c r="G24" s="199"/>
      <c r="H24" s="199"/>
      <c r="I24" s="199"/>
      <c r="J24" s="199"/>
      <c r="K24" s="199"/>
      <c r="L24" s="199"/>
      <c r="M24" s="199"/>
      <c r="N24" s="199"/>
      <c r="O24" s="199"/>
      <c r="P24" s="199"/>
      <c r="Q24" s="199"/>
      <c r="R24" s="199"/>
      <c r="S24" s="199"/>
      <c r="T24" s="199"/>
      <c r="U24" s="199"/>
      <c r="V24" s="199"/>
      <c r="W24" s="199"/>
      <c r="X24" s="199"/>
      <c r="Y24" s="199"/>
      <c r="Z24" s="199"/>
      <c r="AA24" s="199"/>
      <c r="AB24" s="199"/>
      <c r="AC24" s="199"/>
      <c r="AD24" s="199"/>
      <c r="AE24" s="199"/>
      <c r="AF24" s="199"/>
      <c r="AG24" s="199"/>
      <c r="AH24" s="199"/>
      <c r="AI24" s="199"/>
      <c r="AJ24" s="199"/>
      <c r="AK24" s="199"/>
      <c r="AL24" s="199"/>
      <c r="AM24" s="199"/>
      <c r="AN24" s="199"/>
      <c r="AO24" s="371"/>
    </row>
    <row r="25" spans="2:41" s="34" customFormat="1" ht="15.75" customHeight="1">
      <c r="B25" s="8"/>
      <c r="C25" s="41" t="s">
        <v>184</v>
      </c>
      <c r="D25" s="116">
        <f t="shared" si="0"/>
        <v>4075874.3</v>
      </c>
      <c r="E25" s="201">
        <f>E16-E17</f>
        <v>83862.8</v>
      </c>
      <c r="F25" s="201">
        <f>F16-F17</f>
        <v>72166.399999999994</v>
      </c>
      <c r="G25" s="201">
        <f>G16-G17</f>
        <v>44006.599999999977</v>
      </c>
      <c r="H25" s="201">
        <f>H16-H17</f>
        <v>63952</v>
      </c>
      <c r="I25" s="201">
        <f>I16-I17</f>
        <v>79222.299999999988</v>
      </c>
      <c r="J25" s="201">
        <f>J16-J17</f>
        <v>102940</v>
      </c>
      <c r="K25" s="201">
        <f>K16-K17</f>
        <v>109438</v>
      </c>
      <c r="L25" s="201">
        <f>L16-L17</f>
        <v>109438</v>
      </c>
      <c r="M25" s="201">
        <f>M16-M17</f>
        <v>63952</v>
      </c>
      <c r="N25" s="201">
        <f>N16-N17</f>
        <v>59078.5</v>
      </c>
      <c r="O25" s="201">
        <f>O16-O17</f>
        <v>54205</v>
      </c>
      <c r="P25" s="201">
        <f>P16-P17</f>
        <v>59078.5</v>
      </c>
      <c r="Q25" s="201">
        <f>Q16-Q17</f>
        <v>28862.800000000003</v>
      </c>
      <c r="R25" s="201">
        <f>R16-R17</f>
        <v>17166.399999999994</v>
      </c>
      <c r="S25" s="201">
        <f>S16-S17</f>
        <v>-656989</v>
      </c>
      <c r="T25" s="201">
        <f>T16-T17</f>
        <v>167920</v>
      </c>
      <c r="U25" s="201">
        <f>U16-U17</f>
        <v>193370.5</v>
      </c>
      <c r="V25" s="201">
        <f>V16-V17</f>
        <v>232900</v>
      </c>
      <c r="W25" s="201">
        <f>W16-W17</f>
        <v>243730</v>
      </c>
      <c r="X25" s="201">
        <f>X16-X17</f>
        <v>243730</v>
      </c>
      <c r="Y25" s="201">
        <f>Y16-Y17</f>
        <v>167920</v>
      </c>
      <c r="Z25" s="201">
        <f>Z16-Z17</f>
        <v>159797.5</v>
      </c>
      <c r="AA25" s="201">
        <f>AA16-AA17</f>
        <v>151675</v>
      </c>
      <c r="AB25" s="201">
        <f>AB16-AB17</f>
        <v>159797.5</v>
      </c>
      <c r="AC25" s="201">
        <f>AC16-AC17</f>
        <v>109438</v>
      </c>
      <c r="AD25" s="201">
        <f>AD16-AD17</f>
        <v>89944</v>
      </c>
      <c r="AE25" s="201">
        <f>AE16-AE17</f>
        <v>143011</v>
      </c>
      <c r="AF25" s="201">
        <f>AF16-AF17</f>
        <v>167920</v>
      </c>
      <c r="AG25" s="201">
        <f>AG16-AG17</f>
        <v>193370.5</v>
      </c>
      <c r="AH25" s="201">
        <f>AH16-AH17</f>
        <v>-437140</v>
      </c>
      <c r="AI25" s="201">
        <f>AI16-AI17</f>
        <v>378022</v>
      </c>
      <c r="AJ25" s="201">
        <f>AJ16-AJ17</f>
        <v>378022</v>
      </c>
      <c r="AK25" s="201">
        <f>AK16-AK17</f>
        <v>271888</v>
      </c>
      <c r="AL25" s="201">
        <f>AL16-AL17</f>
        <v>260516.5</v>
      </c>
      <c r="AM25" s="201">
        <f>AM16-AM17</f>
        <v>249145</v>
      </c>
      <c r="AN25" s="201">
        <f>AN16-AN17</f>
        <v>260516.5</v>
      </c>
      <c r="AO25" s="372"/>
    </row>
    <row r="26" spans="2:41" s="211" customFormat="1" outlineLevel="1">
      <c r="B26" s="8"/>
      <c r="C26" s="52" t="s">
        <v>33</v>
      </c>
      <c r="D26" s="114">
        <f>SUM(E26:AN26)</f>
        <v>618935.07000000007</v>
      </c>
      <c r="E26" s="201">
        <f>'Ежемесячные затраты'!$E$22*E25</f>
        <v>12579.42</v>
      </c>
      <c r="F26" s="201">
        <f>'Ежемесячные затраты'!$E$22*F25</f>
        <v>10824.96</v>
      </c>
      <c r="G26" s="201">
        <f>'Ежемесячные затраты'!$E$22*G25</f>
        <v>6600.9899999999961</v>
      </c>
      <c r="H26" s="201">
        <f>'Ежемесячные затраты'!$E$22*H25</f>
        <v>9592.7999999999993</v>
      </c>
      <c r="I26" s="201">
        <f>'Ежемесячные затраты'!$E$22*I25</f>
        <v>11883.344999999998</v>
      </c>
      <c r="J26" s="201">
        <f>'Ежемесячные затраты'!$E$22*J25</f>
        <v>15441</v>
      </c>
      <c r="K26" s="201">
        <f>'Ежемесячные затраты'!$E$22*K25</f>
        <v>16415.7</v>
      </c>
      <c r="L26" s="201">
        <f>'Ежемесячные затраты'!$E$22*L25</f>
        <v>16415.7</v>
      </c>
      <c r="M26" s="201">
        <f>'Ежемесячные затраты'!$E$22*M25</f>
        <v>9592.7999999999993</v>
      </c>
      <c r="N26" s="201">
        <f>'Ежемесячные затраты'!$E$22*N25</f>
        <v>8861.7749999999996</v>
      </c>
      <c r="O26" s="201">
        <f>'Ежемесячные затраты'!$E$22*O25</f>
        <v>8130.75</v>
      </c>
      <c r="P26" s="201">
        <f>'Ежемесячные затраты'!$E$22*P25+P16*1%</f>
        <v>10372.56</v>
      </c>
      <c r="Q26" s="201">
        <f>'Ежемесячные затраты'!$E$22*Q25</f>
        <v>4329.42</v>
      </c>
      <c r="R26" s="201">
        <f>'Ежемесячные затраты'!$E$22*R25</f>
        <v>2574.9599999999991</v>
      </c>
      <c r="S26" s="201">
        <f>'Ежемесячные затраты'!$E$22*S25</f>
        <v>-98548.349999999991</v>
      </c>
      <c r="T26" s="201">
        <f>'Ежемесячные затраты'!$E$22*T25</f>
        <v>25188</v>
      </c>
      <c r="U26" s="201">
        <f>'Ежемесячные затраты'!$E$22*U25</f>
        <v>29005.575000000001</v>
      </c>
      <c r="V26" s="201">
        <f>'Ежемесячные затраты'!$E$22*V25</f>
        <v>34935</v>
      </c>
      <c r="W26" s="201">
        <f>'Ежемесячные затраты'!$E$22*W25</f>
        <v>36559.5</v>
      </c>
      <c r="X26" s="201">
        <f>'Ежемесячные затраты'!$E$22*X25</f>
        <v>36559.5</v>
      </c>
      <c r="Y26" s="201">
        <f>'Ежемесячные затраты'!$E$22*Y25</f>
        <v>25188</v>
      </c>
      <c r="Z26" s="201">
        <f>'Ежемесячные затраты'!$E$22*Z25</f>
        <v>23969.625</v>
      </c>
      <c r="AA26" s="201">
        <f>'Ежемесячные затраты'!$E$22*AA25</f>
        <v>22751.25</v>
      </c>
      <c r="AB26" s="201">
        <f>'Ежемесячные затраты'!$E$22*AB25+AB16*1%</f>
        <v>26487.599999999999</v>
      </c>
      <c r="AC26" s="201">
        <f>'Ежемесячные затраты'!$E$22*AC25</f>
        <v>16415.7</v>
      </c>
      <c r="AD26" s="201">
        <f>'Ежемесячные затраты'!$E$22*AD25</f>
        <v>13491.6</v>
      </c>
      <c r="AE26" s="201">
        <f>'Ежемесячные затраты'!$E$22*AE25</f>
        <v>21451.649999999998</v>
      </c>
      <c r="AF26" s="201">
        <f>'Ежемесячные затраты'!$E$22*AF25</f>
        <v>25188</v>
      </c>
      <c r="AG26" s="201">
        <f>'Ежемесячные затраты'!$E$22*AG25</f>
        <v>29005.575000000001</v>
      </c>
      <c r="AH26" s="201">
        <f>'Ежемесячные затраты'!$E$22*AH25</f>
        <v>-65571</v>
      </c>
      <c r="AI26" s="201">
        <f>'Ежемесячные затраты'!$E$22*AI25</f>
        <v>56703.299999999996</v>
      </c>
      <c r="AJ26" s="201">
        <f>'Ежемесячные затраты'!$E$22*AJ25</f>
        <v>56703.299999999996</v>
      </c>
      <c r="AK26" s="201">
        <f>'Ежемесячные затраты'!$E$22*AK25</f>
        <v>40783.199999999997</v>
      </c>
      <c r="AL26" s="201">
        <f>'Ежемесячные затраты'!$E$22*AL25</f>
        <v>39077.474999999999</v>
      </c>
      <c r="AM26" s="201">
        <f>'Ежемесячные затраты'!$E$22*AM25</f>
        <v>37371.75</v>
      </c>
      <c r="AN26" s="201">
        <f>'Ежемесячные затраты'!$E$22*AN25+AN16*1%</f>
        <v>42602.64</v>
      </c>
      <c r="AO26" s="372"/>
    </row>
    <row r="27" spans="2:41" s="350" customFormat="1" ht="15.75" customHeight="1">
      <c r="B27" s="222"/>
      <c r="C27" s="41" t="s">
        <v>16</v>
      </c>
      <c r="D27" s="114">
        <f>SUM(E27:AN27)</f>
        <v>3456939.2299999995</v>
      </c>
      <c r="E27" s="201">
        <f>E25-E26</f>
        <v>71283.38</v>
      </c>
      <c r="F27" s="201">
        <f t="shared" ref="F27:AN27" si="2">F25-F26</f>
        <v>61341.439999999995</v>
      </c>
      <c r="G27" s="201">
        <f t="shared" si="2"/>
        <v>37405.609999999979</v>
      </c>
      <c r="H27" s="201">
        <f t="shared" si="2"/>
        <v>54359.199999999997</v>
      </c>
      <c r="I27" s="201">
        <f t="shared" si="2"/>
        <v>67338.954999999987</v>
      </c>
      <c r="J27" s="201">
        <f t="shared" si="2"/>
        <v>87499</v>
      </c>
      <c r="K27" s="201">
        <f t="shared" si="2"/>
        <v>93022.3</v>
      </c>
      <c r="L27" s="201">
        <f t="shared" si="2"/>
        <v>93022.3</v>
      </c>
      <c r="M27" s="201">
        <f t="shared" si="2"/>
        <v>54359.199999999997</v>
      </c>
      <c r="N27" s="201">
        <f t="shared" si="2"/>
        <v>50216.724999999999</v>
      </c>
      <c r="O27" s="201">
        <f t="shared" si="2"/>
        <v>46074.25</v>
      </c>
      <c r="P27" s="201">
        <f t="shared" si="2"/>
        <v>48705.94</v>
      </c>
      <c r="Q27" s="201">
        <f t="shared" si="2"/>
        <v>24533.380000000005</v>
      </c>
      <c r="R27" s="201">
        <f t="shared" si="2"/>
        <v>14591.439999999995</v>
      </c>
      <c r="S27" s="201">
        <f t="shared" si="2"/>
        <v>-558440.65</v>
      </c>
      <c r="T27" s="201">
        <f t="shared" si="2"/>
        <v>142732</v>
      </c>
      <c r="U27" s="201">
        <f t="shared" si="2"/>
        <v>164364.92499999999</v>
      </c>
      <c r="V27" s="201">
        <f t="shared" si="2"/>
        <v>197965</v>
      </c>
      <c r="W27" s="201">
        <f t="shared" si="2"/>
        <v>207170.5</v>
      </c>
      <c r="X27" s="201">
        <f t="shared" si="2"/>
        <v>207170.5</v>
      </c>
      <c r="Y27" s="201">
        <f t="shared" si="2"/>
        <v>142732</v>
      </c>
      <c r="Z27" s="201">
        <f t="shared" si="2"/>
        <v>135827.875</v>
      </c>
      <c r="AA27" s="201">
        <f t="shared" si="2"/>
        <v>128923.75</v>
      </c>
      <c r="AB27" s="201">
        <f t="shared" si="2"/>
        <v>133309.9</v>
      </c>
      <c r="AC27" s="201">
        <f t="shared" si="2"/>
        <v>93022.3</v>
      </c>
      <c r="AD27" s="201">
        <f t="shared" si="2"/>
        <v>76452.399999999994</v>
      </c>
      <c r="AE27" s="201">
        <f t="shared" si="2"/>
        <v>121559.35</v>
      </c>
      <c r="AF27" s="201">
        <f t="shared" si="2"/>
        <v>142732</v>
      </c>
      <c r="AG27" s="201">
        <f t="shared" si="2"/>
        <v>164364.92499999999</v>
      </c>
      <c r="AH27" s="201">
        <f t="shared" si="2"/>
        <v>-371569</v>
      </c>
      <c r="AI27" s="201">
        <f t="shared" si="2"/>
        <v>321318.7</v>
      </c>
      <c r="AJ27" s="201">
        <f t="shared" si="2"/>
        <v>321318.7</v>
      </c>
      <c r="AK27" s="201">
        <f t="shared" si="2"/>
        <v>231104.8</v>
      </c>
      <c r="AL27" s="201">
        <f t="shared" si="2"/>
        <v>221439.02499999999</v>
      </c>
      <c r="AM27" s="201">
        <f t="shared" si="2"/>
        <v>211773.25</v>
      </c>
      <c r="AN27" s="201">
        <f t="shared" si="2"/>
        <v>217913.86</v>
      </c>
      <c r="AO27" s="372"/>
    </row>
    <row r="28" spans="2:41" s="34" customFormat="1" ht="15.75" customHeight="1">
      <c r="B28" s="8"/>
      <c r="C28" s="42" t="s">
        <v>17</v>
      </c>
      <c r="D28" s="116"/>
      <c r="E28" s="201">
        <f>E27</f>
        <v>71283.38</v>
      </c>
      <c r="F28" s="201">
        <f>E28+F27</f>
        <v>132624.82</v>
      </c>
      <c r="G28" s="201">
        <f t="shared" ref="G28:AN28" si="3">F28+G27</f>
        <v>170030.43</v>
      </c>
      <c r="H28" s="201">
        <f t="shared" si="3"/>
        <v>224389.63</v>
      </c>
      <c r="I28" s="201">
        <f t="shared" si="3"/>
        <v>291728.58499999996</v>
      </c>
      <c r="J28" s="201">
        <f t="shared" si="3"/>
        <v>379227.58499999996</v>
      </c>
      <c r="K28" s="201">
        <f t="shared" si="3"/>
        <v>472249.88499999995</v>
      </c>
      <c r="L28" s="201">
        <f t="shared" si="3"/>
        <v>565272.18499999994</v>
      </c>
      <c r="M28" s="201">
        <f t="shared" si="3"/>
        <v>619631.38499999989</v>
      </c>
      <c r="N28" s="201">
        <f t="shared" si="3"/>
        <v>669848.10999999987</v>
      </c>
      <c r="O28" s="201">
        <f t="shared" si="3"/>
        <v>715922.35999999987</v>
      </c>
      <c r="P28" s="201">
        <f t="shared" si="3"/>
        <v>764628.29999999981</v>
      </c>
      <c r="Q28" s="201">
        <f t="shared" si="3"/>
        <v>789161.67999999982</v>
      </c>
      <c r="R28" s="201">
        <f t="shared" si="3"/>
        <v>803753.11999999976</v>
      </c>
      <c r="S28" s="201">
        <f t="shared" si="3"/>
        <v>245312.46999999974</v>
      </c>
      <c r="T28" s="201">
        <f t="shared" si="3"/>
        <v>388044.46999999974</v>
      </c>
      <c r="U28" s="201">
        <f t="shared" si="3"/>
        <v>552409.39499999979</v>
      </c>
      <c r="V28" s="201">
        <f t="shared" si="3"/>
        <v>750374.39499999979</v>
      </c>
      <c r="W28" s="201">
        <f t="shared" si="3"/>
        <v>957544.89499999979</v>
      </c>
      <c r="X28" s="201">
        <f t="shared" si="3"/>
        <v>1164715.3949999998</v>
      </c>
      <c r="Y28" s="201">
        <f t="shared" si="3"/>
        <v>1307447.3949999998</v>
      </c>
      <c r="Z28" s="201">
        <f t="shared" si="3"/>
        <v>1443275.2699999998</v>
      </c>
      <c r="AA28" s="201">
        <f t="shared" si="3"/>
        <v>1572199.0199999998</v>
      </c>
      <c r="AB28" s="201">
        <f t="shared" si="3"/>
        <v>1705508.9199999997</v>
      </c>
      <c r="AC28" s="201">
        <f t="shared" si="3"/>
        <v>1798531.2199999997</v>
      </c>
      <c r="AD28" s="201">
        <f t="shared" si="3"/>
        <v>1874983.6199999996</v>
      </c>
      <c r="AE28" s="201">
        <f t="shared" si="3"/>
        <v>1996542.9699999997</v>
      </c>
      <c r="AF28" s="201">
        <f t="shared" si="3"/>
        <v>2139274.9699999997</v>
      </c>
      <c r="AG28" s="201">
        <f t="shared" si="3"/>
        <v>2303639.8949999996</v>
      </c>
      <c r="AH28" s="201">
        <f t="shared" si="3"/>
        <v>1932070.8949999996</v>
      </c>
      <c r="AI28" s="201">
        <f t="shared" si="3"/>
        <v>2253389.5949999997</v>
      </c>
      <c r="AJ28" s="201">
        <f t="shared" si="3"/>
        <v>2574708.2949999999</v>
      </c>
      <c r="AK28" s="201">
        <f t="shared" si="3"/>
        <v>2805813.0949999997</v>
      </c>
      <c r="AL28" s="201">
        <f t="shared" si="3"/>
        <v>3027252.1199999996</v>
      </c>
      <c r="AM28" s="201">
        <f t="shared" si="3"/>
        <v>3239025.3699999996</v>
      </c>
      <c r="AN28" s="201">
        <f t="shared" si="3"/>
        <v>3456939.2299999995</v>
      </c>
      <c r="AO28" s="372"/>
    </row>
    <row r="29" spans="2:41" ht="15.75" customHeight="1">
      <c r="B29" s="8"/>
      <c r="C29" s="30" t="s">
        <v>15</v>
      </c>
      <c r="D29" s="116"/>
      <c r="E29" s="199">
        <f>E28-E24</f>
        <v>-1636716.62</v>
      </c>
      <c r="F29" s="199">
        <f t="shared" ref="F29:AM29" si="4">E29+F25</f>
        <v>-1564550.2200000002</v>
      </c>
      <c r="G29" s="199">
        <f t="shared" si="4"/>
        <v>-1520543.62</v>
      </c>
      <c r="H29" s="199">
        <f t="shared" si="4"/>
        <v>-1456591.62</v>
      </c>
      <c r="I29" s="199">
        <f t="shared" si="4"/>
        <v>-1377369.32</v>
      </c>
      <c r="J29" s="199">
        <f t="shared" si="4"/>
        <v>-1274429.32</v>
      </c>
      <c r="K29" s="199">
        <f t="shared" si="4"/>
        <v>-1164991.32</v>
      </c>
      <c r="L29" s="199">
        <f t="shared" si="4"/>
        <v>-1055553.32</v>
      </c>
      <c r="M29" s="199">
        <f t="shared" si="4"/>
        <v>-991601.32000000007</v>
      </c>
      <c r="N29" s="199">
        <f t="shared" si="4"/>
        <v>-932522.82000000007</v>
      </c>
      <c r="O29" s="199">
        <f t="shared" si="4"/>
        <v>-878317.82000000007</v>
      </c>
      <c r="P29" s="199">
        <f t="shared" si="4"/>
        <v>-819239.32000000007</v>
      </c>
      <c r="Q29" s="199">
        <f t="shared" si="4"/>
        <v>-790376.52</v>
      </c>
      <c r="R29" s="199">
        <f t="shared" si="4"/>
        <v>-773210.12</v>
      </c>
      <c r="S29" s="199">
        <f t="shared" si="4"/>
        <v>-1430199.12</v>
      </c>
      <c r="T29" s="199">
        <f t="shared" si="4"/>
        <v>-1262279.1200000001</v>
      </c>
      <c r="U29" s="199">
        <f t="shared" si="4"/>
        <v>-1068908.6200000001</v>
      </c>
      <c r="V29" s="199">
        <f t="shared" si="4"/>
        <v>-836008.62000000011</v>
      </c>
      <c r="W29" s="199">
        <f t="shared" si="4"/>
        <v>-592278.62000000011</v>
      </c>
      <c r="X29" s="199">
        <f t="shared" si="4"/>
        <v>-348548.62000000011</v>
      </c>
      <c r="Y29" s="199">
        <f t="shared" si="4"/>
        <v>-180628.62000000011</v>
      </c>
      <c r="Z29" s="199">
        <f t="shared" si="4"/>
        <v>-20831.120000000112</v>
      </c>
      <c r="AA29" s="199">
        <f t="shared" si="4"/>
        <v>130843.87999999989</v>
      </c>
      <c r="AB29" s="199">
        <f t="shared" si="4"/>
        <v>290641.37999999989</v>
      </c>
      <c r="AC29" s="199">
        <f t="shared" si="4"/>
        <v>400079.37999999989</v>
      </c>
      <c r="AD29" s="199">
        <f t="shared" si="4"/>
        <v>490023.37999999989</v>
      </c>
      <c r="AE29" s="199">
        <f t="shared" si="4"/>
        <v>633034.37999999989</v>
      </c>
      <c r="AF29" s="199">
        <f t="shared" si="4"/>
        <v>800954.37999999989</v>
      </c>
      <c r="AG29" s="199">
        <f t="shared" si="4"/>
        <v>994324.87999999989</v>
      </c>
      <c r="AH29" s="199">
        <f t="shared" si="4"/>
        <v>557184.87999999989</v>
      </c>
      <c r="AI29" s="199">
        <f t="shared" si="4"/>
        <v>935206.87999999989</v>
      </c>
      <c r="AJ29" s="199">
        <f t="shared" si="4"/>
        <v>1313228.8799999999</v>
      </c>
      <c r="AK29" s="199">
        <f t="shared" si="4"/>
        <v>1585116.88</v>
      </c>
      <c r="AL29" s="199">
        <f t="shared" si="4"/>
        <v>1845633.38</v>
      </c>
      <c r="AM29" s="199">
        <f t="shared" si="4"/>
        <v>2094778.38</v>
      </c>
      <c r="AN29" s="199">
        <f>AM29+AN25</f>
        <v>2355294.88</v>
      </c>
      <c r="AO29" s="371"/>
    </row>
    <row r="30" spans="2:41">
      <c r="B30" s="8"/>
      <c r="C30" s="31" t="s">
        <v>3</v>
      </c>
      <c r="D30" s="28"/>
      <c r="E30" s="202" t="str">
        <f>IF(E29&lt;0,"",E15)</f>
        <v/>
      </c>
      <c r="F30" s="202" t="str">
        <f>IF(F29&lt;0,"",IF(E29&gt;0,"",F15))</f>
        <v/>
      </c>
      <c r="G30" s="202" t="str">
        <f>IF(G29&lt;0,"",IF(F29&gt;0,"",G15))</f>
        <v/>
      </c>
      <c r="H30" s="202" t="str">
        <f>IF(H29&lt;0,"",IF(G29&gt;0,"",H15))</f>
        <v/>
      </c>
      <c r="I30" s="202" t="str">
        <f>IF(I29&lt;0,"",IF(H29&gt;0,"",I15))</f>
        <v/>
      </c>
      <c r="J30" s="202" t="str">
        <f>IF(J29&lt;0,"",IF(I29&gt;0,"",J15))</f>
        <v/>
      </c>
      <c r="K30" s="202" t="str">
        <f>IF(K29&lt;0,"",IF(J29&gt;0,"",K15))</f>
        <v/>
      </c>
      <c r="L30" s="202" t="str">
        <f>IF(L29&lt;0,"",IF(K29&gt;0,"",L15))</f>
        <v/>
      </c>
      <c r="M30" s="202" t="str">
        <f>IF(M29&lt;0,"",IF(L29&gt;0,"",M15))</f>
        <v/>
      </c>
      <c r="N30" s="202" t="str">
        <f>IF(N29&lt;0,"",IF(M29&gt;0,"",N15))</f>
        <v/>
      </c>
      <c r="O30" s="202" t="str">
        <f>IF(O29&lt;0,"",IF(N29&gt;0,"",O15))</f>
        <v/>
      </c>
      <c r="P30" s="202" t="str">
        <f>IF(P29&lt;0,"",IF(O29&gt;0,"",P15))</f>
        <v/>
      </c>
      <c r="Q30" s="202" t="str">
        <f>IF(Q29&lt;0,"",IF(P29&gt;0,"",Q15))</f>
        <v/>
      </c>
      <c r="R30" s="202" t="str">
        <f>IF(R29&lt;0,"",IF(Q29&gt;0,"",R15))</f>
        <v/>
      </c>
      <c r="S30" s="202" t="str">
        <f>IF(S29&lt;0,"",IF(R29&gt;0,"",S15))</f>
        <v/>
      </c>
      <c r="T30" s="202" t="str">
        <f>IF(T29&lt;0,"",IF(S29&gt;0,"",T15))</f>
        <v/>
      </c>
      <c r="U30" s="202" t="str">
        <f>IF(U29&lt;0,"",IF(T29&gt;0,"",U15))</f>
        <v/>
      </c>
      <c r="V30" s="202" t="str">
        <f>IF(V29&lt;0,"",IF(U29&gt;0,"",V15))</f>
        <v/>
      </c>
      <c r="W30" s="202" t="str">
        <f>IF(W29&lt;0,"",IF(V29&gt;0,"",W15))</f>
        <v/>
      </c>
      <c r="X30" s="202" t="str">
        <f>IF(X29&lt;0,"",IF(W29&gt;0,"",X15))</f>
        <v/>
      </c>
      <c r="Y30" s="202" t="str">
        <f>IF(Y29&lt;0,"",IF(X29&gt;0,"",Y15))</f>
        <v/>
      </c>
      <c r="Z30" s="202" t="str">
        <f>IF(Z29&lt;0,"",IF(Y29&gt;0,"",Z15))</f>
        <v/>
      </c>
      <c r="AA30" s="202">
        <f>IF(AA29&lt;0,"",IF(Z29&gt;0,"",AA15))</f>
        <v>23</v>
      </c>
      <c r="AB30" s="202" t="str">
        <f>IF(AB29&lt;0,"",IF(AA29&gt;0,"",AB15))</f>
        <v/>
      </c>
      <c r="AC30" s="202" t="str">
        <f>IF(AC29&lt;0,"",IF(AB29&gt;0,"",AC15))</f>
        <v/>
      </c>
      <c r="AD30" s="202" t="str">
        <f>IF(AD29&lt;0,"",IF(AC29&gt;0,"",AD15))</f>
        <v/>
      </c>
      <c r="AE30" s="202" t="str">
        <f>IF(AE29&lt;0,"",IF(AD29&gt;0,"",AE15))</f>
        <v/>
      </c>
      <c r="AF30" s="202" t="str">
        <f>IF(AF29&lt;0,"",IF(AE29&gt;0,"",AF15))</f>
        <v/>
      </c>
      <c r="AG30" s="202" t="str">
        <f>IF(AG29&lt;0,"",IF(AF29&gt;0,"",AG15))</f>
        <v/>
      </c>
      <c r="AH30" s="202" t="str">
        <f>IF(AH29&lt;0,"",IF(AG29&gt;0,"",AH15))</f>
        <v/>
      </c>
      <c r="AI30" s="202" t="str">
        <f>IF(AI29&lt;0,"",IF(AH29&gt;0,"",AI15))</f>
        <v/>
      </c>
      <c r="AJ30" s="202" t="str">
        <f>IF(AJ29&lt;0,"",IF(AI29&gt;0,"",AJ15))</f>
        <v/>
      </c>
      <c r="AK30" s="202" t="str">
        <f>IF(AK29&lt;0,"",IF(AJ29&gt;0,"",AK15))</f>
        <v/>
      </c>
      <c r="AL30" s="202" t="str">
        <f>IF(AL29&lt;0,"",IF(AK29&gt;0,"",AL15))</f>
        <v/>
      </c>
      <c r="AM30" s="202" t="str">
        <f>IF(AM29&lt;0,"",IF(AL29&gt;0,"",AM15))</f>
        <v/>
      </c>
      <c r="AN30" s="202" t="str">
        <f>IF(AN29&lt;0,"",IF(AM29&gt;0,"",AN15))</f>
        <v/>
      </c>
      <c r="AO30" s="373"/>
    </row>
    <row r="31" spans="2:41" s="78" customFormat="1" ht="24.75" hidden="1" customHeight="1">
      <c r="B31" s="8"/>
      <c r="C31" s="31" t="s">
        <v>43</v>
      </c>
      <c r="D31" s="28"/>
      <c r="E31" s="83">
        <f>E25/(1+$F$39)^($E$15/12)</f>
        <v>67711.438563515258</v>
      </c>
      <c r="F31" s="83">
        <f>F25/(1+$F$39)^($E$15/12)</f>
        <v>58267.679590355525</v>
      </c>
      <c r="G31" s="83">
        <f>G25/(1+$F$39)^($E$15/12)</f>
        <v>35531.250951425289</v>
      </c>
      <c r="H31" s="83">
        <f>H25/(1+$F$39)^($E$15/12)</f>
        <v>51635.312904099643</v>
      </c>
      <c r="I31" s="83">
        <f>I25/(1+$F$39)^($E$15/12)</f>
        <v>63964.664896835951</v>
      </c>
      <c r="J31" s="83">
        <f>J25/(1+$F$39)^($E$15/12)</f>
        <v>83114.509481298752</v>
      </c>
      <c r="K31" s="83">
        <f>K25/(1+$F$39)^($E$15/12)</f>
        <v>88361.042244165263</v>
      </c>
      <c r="L31" s="83">
        <f>L25/(1+$F$39)^($E$15/12)</f>
        <v>88361.042244165263</v>
      </c>
      <c r="M31" s="83">
        <f>M25/(1+$F$39)^($E$15/12)</f>
        <v>51635.312904099643</v>
      </c>
      <c r="N31" s="83">
        <f>N25/(1+$F$39)^($E$15/12)</f>
        <v>47700.413331949756</v>
      </c>
      <c r="O31" s="83">
        <f>O25/(1+$F$39)^($E$15/12)</f>
        <v>43765.513759799869</v>
      </c>
      <c r="P31" s="83">
        <f>P25/(1+$F$39)^($E$15/12)</f>
        <v>47700.413331949756</v>
      </c>
      <c r="Q31" s="83">
        <f>Q25/(1+$F$39)^($E$15/12)</f>
        <v>23304.035984620456</v>
      </c>
      <c r="R31" s="83">
        <f>R25/(1+$F$39)^($E$15/12)</f>
        <v>13860.277011460719</v>
      </c>
      <c r="S31" s="83">
        <f>S25/(1+$F$39)^($E$15/12)</f>
        <v>-530457.72750737309</v>
      </c>
      <c r="T31" s="83">
        <f>T25/(1+$F$39)^($E$15/12)</f>
        <v>135579.83710996393</v>
      </c>
      <c r="U31" s="83">
        <f>U25/(1+$F$39)^($E$15/12)</f>
        <v>156128.75709785777</v>
      </c>
      <c r="V31" s="83">
        <f>V25/(1+$F$39)^($E$15/12)</f>
        <v>188045.1647386291</v>
      </c>
      <c r="W31" s="83">
        <f>W25/(1+$F$39)^($E$15/12)</f>
        <v>196789.38601007327</v>
      </c>
      <c r="X31" s="83">
        <f>X25/(1+$F$39)^($E$15/12)</f>
        <v>196789.38601007327</v>
      </c>
      <c r="Y31" s="83">
        <f>Y25/(1+$F$39)^($E$15/12)</f>
        <v>135579.83710996393</v>
      </c>
      <c r="Z31" s="83">
        <f>Z25/(1+$F$39)^($E$15/12)</f>
        <v>129021.67115638078</v>
      </c>
      <c r="AA31" s="83">
        <f>AA25/(1+$F$39)^($E$15/12)</f>
        <v>122463.50520279762</v>
      </c>
      <c r="AB31" s="83">
        <f>AB25/(1+$F$39)^($E$15/12)</f>
        <v>129021.67115638078</v>
      </c>
      <c r="AC31" s="83">
        <f>AC25/(1+$F$39)^($E$15/12)</f>
        <v>88361.042244165263</v>
      </c>
      <c r="AD31" s="83">
        <f>AD25/(1+$F$39)^($E$15/12)</f>
        <v>72621.443955565715</v>
      </c>
      <c r="AE31" s="83">
        <f>AE25/(1+$F$39)^($E$15/12)</f>
        <v>115468.12818564227</v>
      </c>
      <c r="AF31" s="83">
        <f>AF25/(1+$F$39)^($E$15/12)</f>
        <v>135579.83710996393</v>
      </c>
      <c r="AG31" s="83">
        <f>AG25/(1+$F$39)^($E$15/12)</f>
        <v>156128.75709785777</v>
      </c>
      <c r="AH31" s="83">
        <f>AH25/(1+$F$39)^($E$15/12)</f>
        <v>-352950.03569705592</v>
      </c>
      <c r="AI31" s="83">
        <f>AI25/(1+$F$39)^($E$15/12)</f>
        <v>305217.72977598128</v>
      </c>
      <c r="AJ31" s="83">
        <f>AJ25/(1+$F$39)^($E$15/12)</f>
        <v>305217.72977598128</v>
      </c>
      <c r="AK31" s="83">
        <f>AK25/(1+$F$39)^($E$15/12)</f>
        <v>219524.3613158282</v>
      </c>
      <c r="AL31" s="83">
        <f>AL25/(1+$F$39)^($E$15/12)</f>
        <v>210342.92898081179</v>
      </c>
      <c r="AM31" s="83">
        <f>AM25/(1+$F$39)^($E$15/12)</f>
        <v>201161.49664579539</v>
      </c>
      <c r="AN31" s="83">
        <f>AN25/(1+$F$39)^($E$15/12)</f>
        <v>210342.92898081179</v>
      </c>
      <c r="AO31" s="374"/>
    </row>
    <row r="32" spans="2:41" s="78" customFormat="1" ht="20.25" hidden="1" customHeight="1">
      <c r="B32" s="8"/>
      <c r="C32" s="31"/>
      <c r="D32" s="28"/>
      <c r="E32" s="83">
        <f>-E24+E31</f>
        <v>-1640288.5614364848</v>
      </c>
      <c r="F32" s="83">
        <f>E32+F31</f>
        <v>-1582020.8818461292</v>
      </c>
      <c r="G32" s="83">
        <f>F32+G31</f>
        <v>-1546489.6308947038</v>
      </c>
      <c r="H32" s="83">
        <f t="shared" ref="H32:AA32" si="5">G32+H31</f>
        <v>-1494854.3179906041</v>
      </c>
      <c r="I32" s="83">
        <f t="shared" si="5"/>
        <v>-1430889.6530937681</v>
      </c>
      <c r="J32" s="83">
        <f t="shared" si="5"/>
        <v>-1347775.1436124693</v>
      </c>
      <c r="K32" s="83">
        <f t="shared" si="5"/>
        <v>-1259414.1013683041</v>
      </c>
      <c r="L32" s="83">
        <f t="shared" si="5"/>
        <v>-1171053.0591241389</v>
      </c>
      <c r="M32" s="83">
        <f t="shared" si="5"/>
        <v>-1119417.7462200392</v>
      </c>
      <c r="N32" s="83">
        <f t="shared" si="5"/>
        <v>-1071717.3328880894</v>
      </c>
      <c r="O32" s="83">
        <f t="shared" si="5"/>
        <v>-1027951.8191282895</v>
      </c>
      <c r="P32" s="83">
        <f t="shared" si="5"/>
        <v>-980251.40579633974</v>
      </c>
      <c r="Q32" s="83">
        <f t="shared" si="5"/>
        <v>-956947.36981171928</v>
      </c>
      <c r="R32" s="83">
        <f t="shared" si="5"/>
        <v>-943087.09280025854</v>
      </c>
      <c r="S32" s="83">
        <f t="shared" si="5"/>
        <v>-1473544.8203076315</v>
      </c>
      <c r="T32" s="83">
        <f t="shared" si="5"/>
        <v>-1337964.9831976676</v>
      </c>
      <c r="U32" s="83">
        <f t="shared" si="5"/>
        <v>-1181836.2260998099</v>
      </c>
      <c r="V32" s="83">
        <f t="shared" si="5"/>
        <v>-993791.06136118073</v>
      </c>
      <c r="W32" s="83">
        <f t="shared" si="5"/>
        <v>-797001.67535110749</v>
      </c>
      <c r="X32" s="83">
        <f t="shared" si="5"/>
        <v>-600212.28934103425</v>
      </c>
      <c r="Y32" s="83">
        <f t="shared" si="5"/>
        <v>-464632.45223107032</v>
      </c>
      <c r="Z32" s="83">
        <f t="shared" si="5"/>
        <v>-335610.78107468953</v>
      </c>
      <c r="AA32" s="83">
        <f t="shared" si="5"/>
        <v>-213147.27587189191</v>
      </c>
      <c r="AB32" s="83">
        <f t="shared" ref="AB32:AM32" si="6">AA32+AB31</f>
        <v>-84125.60471551113</v>
      </c>
      <c r="AC32" s="83">
        <f t="shared" si="6"/>
        <v>4235.4375286541326</v>
      </c>
      <c r="AD32" s="83">
        <f t="shared" si="6"/>
        <v>76856.881484219848</v>
      </c>
      <c r="AE32" s="83">
        <f t="shared" si="6"/>
        <v>192325.00966986211</v>
      </c>
      <c r="AF32" s="83">
        <f t="shared" si="6"/>
        <v>327904.84677982604</v>
      </c>
      <c r="AG32" s="83">
        <f t="shared" si="6"/>
        <v>484033.60387768381</v>
      </c>
      <c r="AH32" s="83">
        <f t="shared" si="6"/>
        <v>131083.56818062789</v>
      </c>
      <c r="AI32" s="83">
        <f t="shared" si="6"/>
        <v>436301.29795660917</v>
      </c>
      <c r="AJ32" s="83">
        <f t="shared" si="6"/>
        <v>741519.02773259045</v>
      </c>
      <c r="AK32" s="83">
        <f t="shared" si="6"/>
        <v>961043.38904841861</v>
      </c>
      <c r="AL32" s="83">
        <f t="shared" si="6"/>
        <v>1171386.3180292305</v>
      </c>
      <c r="AM32" s="83">
        <f t="shared" si="6"/>
        <v>1372547.8146750259</v>
      </c>
      <c r="AN32" s="110">
        <f>AM32+AN31</f>
        <v>1582890.7436558376</v>
      </c>
      <c r="AO32" s="374"/>
    </row>
    <row r="33" spans="2:41" s="78" customFormat="1" ht="21.75" hidden="1" customHeight="1">
      <c r="B33" s="8"/>
      <c r="C33" s="31" t="s">
        <v>44</v>
      </c>
      <c r="D33" s="28"/>
      <c r="E33" s="32" t="str">
        <f>IF(E32&lt;0,"",E15)</f>
        <v/>
      </c>
      <c r="F33" s="32" t="str">
        <f>IF(F32&lt;0,"",IF(E32&gt;0,"",F15))</f>
        <v/>
      </c>
      <c r="G33" s="32" t="str">
        <f>IF(G32&lt;0,"",IF(F32&gt;0,"",G15))</f>
        <v/>
      </c>
      <c r="H33" s="32" t="str">
        <f>IF(H32&lt;0,"",IF(G32&gt;0,"",H15))</f>
        <v/>
      </c>
      <c r="I33" s="32" t="str">
        <f>IF(I32&lt;0,"",IF(H32&gt;0,"",I15))</f>
        <v/>
      </c>
      <c r="J33" s="32" t="str">
        <f>IF(J32&lt;0,"",IF(I32&gt;0,"",J15))</f>
        <v/>
      </c>
      <c r="K33" s="32" t="str">
        <f>IF(K32&lt;0,"",IF(J32&gt;0,"",K15))</f>
        <v/>
      </c>
      <c r="L33" s="32" t="str">
        <f>IF(L32&lt;0,"",IF(K32&gt;0,"",L15))</f>
        <v/>
      </c>
      <c r="M33" s="32" t="str">
        <f>IF(M32&lt;0,"",IF(L32&gt;0,"",M15))</f>
        <v/>
      </c>
      <c r="N33" s="32" t="str">
        <f>IF(N32&lt;0,"",IF(M32&gt;0,"",N15))</f>
        <v/>
      </c>
      <c r="O33" s="32" t="str">
        <f>IF(O32&lt;0,"",IF(N32&gt;0,"",O15))</f>
        <v/>
      </c>
      <c r="P33" s="32" t="str">
        <f>IF(P32&lt;0,"",IF(O32&gt;0,"",P15))</f>
        <v/>
      </c>
      <c r="Q33" s="32" t="str">
        <f>IF(Q32&lt;0,"",IF(P32&gt;0,"",Q15))</f>
        <v/>
      </c>
      <c r="R33" s="32" t="str">
        <f>IF(R32&lt;0,"",IF(Q32&gt;0,"",R15))</f>
        <v/>
      </c>
      <c r="S33" s="32" t="str">
        <f>IF(S32&lt;0,"",IF(R32&gt;0,"",S15))</f>
        <v/>
      </c>
      <c r="T33" s="32" t="str">
        <f>IF(T32&lt;0,"",IF(S32&gt;0,"",T15))</f>
        <v/>
      </c>
      <c r="U33" s="32" t="str">
        <f>IF(U32&lt;0,"",IF(T32&gt;0,"",U15))</f>
        <v/>
      </c>
      <c r="V33" s="32" t="str">
        <f>IF(V32&lt;0,"",IF(U32&gt;0,"",V15))</f>
        <v/>
      </c>
      <c r="W33" s="32" t="str">
        <f>IF(W32&lt;0,"",IF(V32&gt;0,"",W15))</f>
        <v/>
      </c>
      <c r="X33" s="32" t="str">
        <f>IF(X32&lt;0,"",IF(W32&gt;0,"",X15))</f>
        <v/>
      </c>
      <c r="Y33" s="32" t="str">
        <f>IF(Y32&lt;0,"",IF(X32&gt;0,"",Y15))</f>
        <v/>
      </c>
      <c r="Z33" s="32" t="str">
        <f>IF(Z32&lt;0,"",IF(Y32&gt;0,"",Z15))</f>
        <v/>
      </c>
      <c r="AA33" s="32" t="str">
        <f>IF(AA32&lt;0,"",IF(Z32&gt;0,"",AA15))</f>
        <v/>
      </c>
      <c r="AB33" s="32" t="str">
        <f>IF(AB32&lt;0,"",IF(AA32&gt;0,"",AB15))</f>
        <v/>
      </c>
      <c r="AC33" s="32">
        <f>IF(AC32&lt;0,"",IF(AB32&gt;0,"",AC15))</f>
        <v>25</v>
      </c>
      <c r="AD33" s="32" t="str">
        <f>IF(AD32&lt;0,"",IF(AC32&gt;0,"",AD15))</f>
        <v/>
      </c>
      <c r="AE33" s="32" t="str">
        <f>IF(AE32&lt;0,"",IF(AD32&gt;0,"",AE15))</f>
        <v/>
      </c>
      <c r="AF33" s="32" t="str">
        <f>IF(AF32&lt;0,"",IF(AE32&gt;0,"",AF15))</f>
        <v/>
      </c>
      <c r="AG33" s="32" t="str">
        <f>IF(AG32&lt;0,"",IF(AF32&gt;0,"",AG15))</f>
        <v/>
      </c>
      <c r="AH33" s="32" t="str">
        <f>IF(AH32&lt;0,"",IF(AG32&gt;0,"",AH15))</f>
        <v/>
      </c>
      <c r="AI33" s="32" t="str">
        <f>IF(AI32&lt;0,"",IF(AH32&gt;0,"",AI15))</f>
        <v/>
      </c>
      <c r="AJ33" s="32" t="str">
        <f>IF(AJ32&lt;0,"",IF(AI32&gt;0,"",AJ15))</f>
        <v/>
      </c>
      <c r="AK33" s="32" t="str">
        <f>IF(AK32&lt;0,"",IF(AJ32&gt;0,"",AK15))</f>
        <v/>
      </c>
      <c r="AL33" s="32" t="str">
        <f>IF(AL32&lt;0,"",IF(AK32&gt;0,"",AL15))</f>
        <v/>
      </c>
      <c r="AM33" s="32" t="str">
        <f>IF(AM32&lt;0,"",IF(AL32&gt;0,"",AM15))</f>
        <v/>
      </c>
      <c r="AN33" s="109" t="str">
        <f>IF(AN32&lt;0,"",IF(AM32&gt;0,"",AN15))</f>
        <v/>
      </c>
      <c r="AO33" s="375"/>
    </row>
    <row r="34" spans="2:41" s="78" customFormat="1" ht="9.75" hidden="1" customHeight="1">
      <c r="B34" s="8"/>
      <c r="C34" s="84">
        <f>-E24</f>
        <v>-1708000</v>
      </c>
      <c r="D34" s="84"/>
      <c r="E34" s="85">
        <f>E25</f>
        <v>83862.8</v>
      </c>
      <c r="F34" s="85">
        <f>F25</f>
        <v>72166.399999999994</v>
      </c>
      <c r="G34" s="85">
        <f>G25</f>
        <v>44006.599999999977</v>
      </c>
      <c r="H34" s="85">
        <f>H25</f>
        <v>63952</v>
      </c>
      <c r="I34" s="85">
        <f t="shared" ref="I34:AA34" si="7">I25</f>
        <v>79222.299999999988</v>
      </c>
      <c r="J34" s="85">
        <f t="shared" si="7"/>
        <v>102940</v>
      </c>
      <c r="K34" s="85">
        <f t="shared" si="7"/>
        <v>109438</v>
      </c>
      <c r="L34" s="85">
        <f t="shared" si="7"/>
        <v>109438</v>
      </c>
      <c r="M34" s="85">
        <f t="shared" si="7"/>
        <v>63952</v>
      </c>
      <c r="N34" s="85">
        <f t="shared" si="7"/>
        <v>59078.5</v>
      </c>
      <c r="O34" s="85">
        <f t="shared" si="7"/>
        <v>54205</v>
      </c>
      <c r="P34" s="85">
        <f t="shared" si="7"/>
        <v>59078.5</v>
      </c>
      <c r="Q34" s="85">
        <f t="shared" si="7"/>
        <v>28862.800000000003</v>
      </c>
      <c r="R34" s="85">
        <f t="shared" si="7"/>
        <v>17166.399999999994</v>
      </c>
      <c r="S34" s="85">
        <f t="shared" si="7"/>
        <v>-656989</v>
      </c>
      <c r="T34" s="85">
        <f t="shared" si="7"/>
        <v>167920</v>
      </c>
      <c r="U34" s="85">
        <f t="shared" si="7"/>
        <v>193370.5</v>
      </c>
      <c r="V34" s="85">
        <f t="shared" si="7"/>
        <v>232900</v>
      </c>
      <c r="W34" s="85">
        <f t="shared" si="7"/>
        <v>243730</v>
      </c>
      <c r="X34" s="85">
        <f t="shared" si="7"/>
        <v>243730</v>
      </c>
      <c r="Y34" s="85">
        <f t="shared" si="7"/>
        <v>167920</v>
      </c>
      <c r="Z34" s="85">
        <f t="shared" si="7"/>
        <v>159797.5</v>
      </c>
      <c r="AA34" s="85">
        <f t="shared" si="7"/>
        <v>151675</v>
      </c>
      <c r="AB34" s="85">
        <f t="shared" ref="AB34:AM34" si="8">AB25</f>
        <v>159797.5</v>
      </c>
      <c r="AC34" s="85">
        <f t="shared" si="8"/>
        <v>109438</v>
      </c>
      <c r="AD34" s="85">
        <f t="shared" si="8"/>
        <v>89944</v>
      </c>
      <c r="AE34" s="85">
        <f t="shared" si="8"/>
        <v>143011</v>
      </c>
      <c r="AF34" s="85">
        <f t="shared" si="8"/>
        <v>167920</v>
      </c>
      <c r="AG34" s="85">
        <f t="shared" si="8"/>
        <v>193370.5</v>
      </c>
      <c r="AH34" s="85">
        <f t="shared" si="8"/>
        <v>-437140</v>
      </c>
      <c r="AI34" s="85">
        <f t="shared" si="8"/>
        <v>378022</v>
      </c>
      <c r="AJ34" s="85">
        <f t="shared" si="8"/>
        <v>378022</v>
      </c>
      <c r="AK34" s="85">
        <f t="shared" si="8"/>
        <v>271888</v>
      </c>
      <c r="AL34" s="85">
        <f t="shared" si="8"/>
        <v>260516.5</v>
      </c>
      <c r="AM34" s="85">
        <f t="shared" si="8"/>
        <v>249145</v>
      </c>
      <c r="AN34" s="111">
        <f>AN25</f>
        <v>260516.5</v>
      </c>
      <c r="AO34" s="376"/>
    </row>
    <row r="35" spans="2:41">
      <c r="B35" s="8"/>
      <c r="C35" s="26"/>
      <c r="D35" s="106"/>
      <c r="E35" s="26"/>
      <c r="F35" s="26"/>
      <c r="G35" s="26"/>
      <c r="H35" s="26"/>
      <c r="I35" s="26"/>
      <c r="J35" s="26"/>
      <c r="K35" s="23"/>
      <c r="L35" s="23"/>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112"/>
    </row>
    <row r="36" spans="2:41">
      <c r="B36" s="8"/>
      <c r="C36" s="451" t="s">
        <v>11</v>
      </c>
      <c r="D36" s="451"/>
      <c r="E36" s="451"/>
      <c r="F36" s="451"/>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21"/>
      <c r="AO36" s="10"/>
    </row>
    <row r="37" spans="2:41">
      <c r="B37" s="8"/>
      <c r="C37" s="452" t="s">
        <v>13</v>
      </c>
      <c r="D37" s="452"/>
      <c r="E37" s="452">
        <f>AVERAGE(E25:AN25)</f>
        <v>113218.73055555555</v>
      </c>
      <c r="F37" s="80">
        <f>AVERAGE(E27:AN27)</f>
        <v>96026.089722222212</v>
      </c>
      <c r="G37" s="1"/>
      <c r="H37" s="24"/>
      <c r="I37" s="1"/>
      <c r="J37" s="1"/>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21"/>
      <c r="AO37" s="10"/>
    </row>
    <row r="38" spans="2:41" s="78" customFormat="1">
      <c r="B38" s="8"/>
      <c r="C38" s="452" t="s">
        <v>37</v>
      </c>
      <c r="D38" s="452"/>
      <c r="E38" s="452"/>
      <c r="F38" s="79">
        <f>SUM(E30:AN30)</f>
        <v>23</v>
      </c>
      <c r="G38" s="1"/>
      <c r="H38" s="24"/>
      <c r="I38" s="1"/>
      <c r="J38" s="1"/>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21"/>
      <c r="AO38" s="10"/>
    </row>
    <row r="39" spans="2:41" s="78" customFormat="1">
      <c r="B39" s="8"/>
      <c r="C39" s="452" t="s">
        <v>38</v>
      </c>
      <c r="D39" s="452"/>
      <c r="E39" s="452"/>
      <c r="F39" s="383">
        <f>(1+Глоссарий!G12)/(1+Глоссарий!G13)+10</f>
        <v>12.028301886792452</v>
      </c>
      <c r="G39" s="1"/>
      <c r="H39" s="24"/>
      <c r="I39" s="1"/>
      <c r="J39" s="1"/>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21"/>
      <c r="AO39" s="10"/>
    </row>
    <row r="40" spans="2:41" s="78" customFormat="1" hidden="1">
      <c r="B40" s="8"/>
      <c r="C40" s="452" t="s">
        <v>39</v>
      </c>
      <c r="D40" s="452"/>
      <c r="E40" s="452"/>
      <c r="F40" s="79">
        <f>SUM(E33:AN33)</f>
        <v>25</v>
      </c>
      <c r="G40" s="1"/>
      <c r="H40" s="24"/>
      <c r="I40" s="1"/>
      <c r="J40" s="1"/>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21"/>
      <c r="AO40" s="10"/>
    </row>
    <row r="41" spans="2:41" s="78" customFormat="1">
      <c r="B41" s="8"/>
      <c r="C41" s="453" t="s">
        <v>40</v>
      </c>
      <c r="D41" s="454"/>
      <c r="E41" s="455"/>
      <c r="F41" s="80">
        <f>-E24+SUM(E31:AN31)</f>
        <v>1582890.7436558367</v>
      </c>
      <c r="G41" s="1"/>
      <c r="H41" s="24"/>
      <c r="I41" s="1"/>
      <c r="J41" s="1"/>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21"/>
      <c r="AO41" s="10"/>
    </row>
    <row r="42" spans="2:41" s="78" customFormat="1">
      <c r="B42" s="8"/>
      <c r="C42" s="456" t="s">
        <v>41</v>
      </c>
      <c r="D42" s="456"/>
      <c r="E42" s="456"/>
      <c r="F42" s="81">
        <f>F41/E24</f>
        <v>0.92675102087578265</v>
      </c>
      <c r="G42" s="1"/>
      <c r="H42" s="24"/>
      <c r="I42" s="1"/>
      <c r="J42" s="1"/>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21"/>
      <c r="AO42" s="10"/>
    </row>
    <row r="43" spans="2:41" s="78" customFormat="1">
      <c r="B43" s="8"/>
      <c r="C43" s="456" t="s">
        <v>42</v>
      </c>
      <c r="D43" s="456"/>
      <c r="E43" s="456"/>
      <c r="F43" s="82">
        <f>IRR(C34:AN34,F39)</f>
        <v>4.1714791787919703E-2</v>
      </c>
      <c r="G43" s="1"/>
      <c r="H43" s="24"/>
      <c r="I43" s="1"/>
      <c r="J43" s="1"/>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21"/>
      <c r="AO43" s="10"/>
    </row>
    <row r="44" spans="2:41" s="49" customFormat="1" ht="99" customHeight="1">
      <c r="B44" s="8"/>
      <c r="C44" s="26"/>
      <c r="D44" s="106"/>
      <c r="E44" s="346"/>
      <c r="F44" s="53"/>
      <c r="G44" s="1"/>
      <c r="H44" s="24"/>
      <c r="I44" s="1"/>
      <c r="J44" s="1"/>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21"/>
      <c r="AO44" s="10"/>
    </row>
    <row r="45" spans="2:41" ht="36" customHeight="1">
      <c r="B45" s="8"/>
      <c r="C45" s="1"/>
      <c r="D45" s="44"/>
      <c r="E45" s="22"/>
      <c r="F45" s="22"/>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221"/>
      <c r="AO45" s="10"/>
    </row>
    <row r="46" spans="2:41" s="209" customFormat="1" ht="265.5" customHeight="1">
      <c r="B46" s="8"/>
      <c r="C46"/>
      <c r="D46" s="44"/>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221"/>
      <c r="AO46" s="10"/>
    </row>
    <row r="47" spans="2:41" ht="153.75" customHeight="1" thickBot="1">
      <c r="B47" s="13"/>
      <c r="C47" s="14"/>
      <c r="D47" s="107"/>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5"/>
    </row>
    <row r="49" spans="4:39" ht="15" customHeight="1">
      <c r="D49" s="108"/>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row>
    <row r="50" spans="4:39" ht="15" customHeight="1">
      <c r="D50" s="108"/>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row>
  </sheetData>
  <mergeCells count="13">
    <mergeCell ref="C37:E37"/>
    <mergeCell ref="C41:E41"/>
    <mergeCell ref="C42:E42"/>
    <mergeCell ref="C43:E43"/>
    <mergeCell ref="C38:E38"/>
    <mergeCell ref="C39:E39"/>
    <mergeCell ref="C40:E40"/>
    <mergeCell ref="B3:AN3"/>
    <mergeCell ref="B4:AN4"/>
    <mergeCell ref="C36:F36"/>
    <mergeCell ref="D6:E6"/>
    <mergeCell ref="E7:F7"/>
    <mergeCell ref="E8:F8"/>
  </mergeCells>
  <pageMargins left="0.70866141732283472" right="0.70866141732283472" top="0.74803149606299213" bottom="0.74803149606299213" header="0.31496062992125984" footer="0.31496062992125984"/>
  <pageSetup paperSize="9" scale="2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13</vt:i4>
      </vt:variant>
      <vt:variant>
        <vt:lpstr>Именованные диапазоны</vt:lpstr>
      </vt:variant>
      <vt:variant>
        <vt:i4>1</vt:i4>
      </vt:variant>
    </vt:vector>
  </HeadingPairs>
  <TitlesOfParts>
    <vt:vector size="14" baseType="lpstr">
      <vt:lpstr>Титульная страница</vt:lpstr>
      <vt:lpstr>Структура</vt:lpstr>
      <vt:lpstr>Входящие данные</vt:lpstr>
      <vt:lpstr>Этапы запуска Проекта</vt:lpstr>
      <vt:lpstr>Инвестиции на орг-цию бизнеса</vt:lpstr>
      <vt:lpstr>Ежемесячные затраты</vt:lpstr>
      <vt:lpstr>Продажи</vt:lpstr>
      <vt:lpstr>для расчета ЗП</vt:lpstr>
      <vt:lpstr>Прибыль_окупаемость</vt:lpstr>
      <vt:lpstr>Гибкость</vt:lpstr>
      <vt:lpstr>Глоссарий</vt:lpstr>
      <vt:lpstr>Кредитование</vt:lpstr>
      <vt:lpstr>Лист1</vt:lpstr>
      <vt:lpstr>'Титульная страница'!page1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Франчайзинг 5</dc:creator>
  <cp:lastModifiedBy>User</cp:lastModifiedBy>
  <cp:lastPrinted>2016-11-02T09:16:40Z</cp:lastPrinted>
  <dcterms:created xsi:type="dcterms:W3CDTF">2015-06-28T20:32:06Z</dcterms:created>
  <dcterms:modified xsi:type="dcterms:W3CDTF">2017-05-04T16:08:36Z</dcterms:modified>
</cp:coreProperties>
</file>